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Elena CIUPE\Desktop\sedinta ordinara IUNIE 2025\pct.4\"/>
    </mc:Choice>
  </mc:AlternateContent>
  <workbookProtection lockStructure="1"/>
  <bookViews>
    <workbookView xWindow="0" yWindow="0" windowWidth="23040" windowHeight="9192" tabRatio="946" firstSheet="1" activeTab="12"/>
  </bookViews>
  <sheets>
    <sheet name="Date generale" sheetId="1" r:id="rId1"/>
    <sheet name="Date de context" sheetId="2" r:id="rId2"/>
    <sheet name="Date macro-economice" sheetId="3" r:id="rId3"/>
    <sheet name="Strategia" sheetId="4" r:id="rId4"/>
    <sheet name="Cererea" sheetId="5" r:id="rId5"/>
    <sheet name="Costuri operare" sheetId="6" r:id="rId6"/>
    <sheet name="Masuri de crestere a eficientei" sheetId="8" r:id="rId7"/>
    <sheet name="Investitii si finantare" sheetId="10" r:id="rId8"/>
    <sheet name="Amortizare si redeventa" sheetId="7" r:id="rId9"/>
    <sheet name="Nivel tarife" sheetId="12" r:id="rId10"/>
    <sheet name="Venituri" sheetId="13" r:id="rId11"/>
    <sheet name="Suportabilitate" sheetId="9" r:id="rId12"/>
    <sheet name="Centralizare" sheetId="14" r:id="rId13"/>
    <sheet name="indicatori" sheetId="15" state="hidden" r:id="rId14"/>
  </sheets>
  <definedNames>
    <definedName name="_xlnm.Print_Area" localSheetId="8">'Amortizare si redeventa'!$B$2:$U$320</definedName>
    <definedName name="_xlnm.Print_Area" localSheetId="12">Centralizare!$B$2:$N$96</definedName>
    <definedName name="_xlnm.Print_Area" localSheetId="4">Cererea!$B$2:$Q$105</definedName>
    <definedName name="_xlnm.Print_Area" localSheetId="5">'Costuri operare'!$B$2:$AB$570</definedName>
    <definedName name="_xlnm.Print_Area" localSheetId="1">'Date de context'!$B$2:$N$36</definedName>
    <definedName name="_xlnm.Print_Area" localSheetId="0">'Date generale'!$B$2:$E$10</definedName>
    <definedName name="_xlnm.Print_Area" localSheetId="2">'Date macro-economice'!$C$2:$Q$22</definedName>
    <definedName name="_xlnm.Print_Area" localSheetId="7">'Investitii si finantare'!$B$2:$S$159</definedName>
    <definedName name="_xlnm.Print_Area" localSheetId="6">'Masuri de crestere a eficientei'!$B$2:$S$108</definedName>
    <definedName name="_xlnm.Print_Area" localSheetId="9">'Nivel tarife'!$B$2:$Q$183</definedName>
    <definedName name="_xlnm.Print_Area" localSheetId="3">Strategia!$B$2:$E$10</definedName>
    <definedName name="_xlnm.Print_Area" localSheetId="11">Suportabilitate!$B$2:$Q$48</definedName>
    <definedName name="_xlnm.Print_Area" localSheetId="10">Venituri!$B$2:$S$32</definedName>
  </definedNames>
  <calcPr calcId="191029"/>
</workbook>
</file>

<file path=xl/calcChain.xml><?xml version="1.0" encoding="utf-8"?>
<calcChain xmlns="http://schemas.openxmlformats.org/spreadsheetml/2006/main">
  <c r="C3" i="2" l="1"/>
  <c r="E6" i="2"/>
  <c r="F6" i="2"/>
  <c r="G6" i="2"/>
  <c r="K6" i="2"/>
  <c r="L6" i="2"/>
  <c r="M6" i="2"/>
  <c r="K9" i="2"/>
  <c r="L9" i="2"/>
  <c r="M9" i="2"/>
  <c r="E12" i="2"/>
  <c r="F12" i="2"/>
  <c r="G12" i="2"/>
  <c r="E14" i="2"/>
  <c r="F14" i="2"/>
  <c r="G14" i="2"/>
  <c r="K14" i="2"/>
  <c r="L14" i="2"/>
  <c r="M14" i="2"/>
  <c r="K17" i="2"/>
  <c r="L17" i="2"/>
  <c r="M17" i="2"/>
  <c r="E20" i="2"/>
  <c r="F20" i="2"/>
  <c r="G20" i="2"/>
  <c r="D3" i="3"/>
  <c r="F6" i="3"/>
  <c r="G6" i="3"/>
  <c r="H6" i="3"/>
  <c r="I6" i="3"/>
  <c r="J6" i="3"/>
  <c r="K6" i="3"/>
  <c r="L6" i="3"/>
  <c r="M6" i="3"/>
  <c r="N6" i="3"/>
  <c r="O6" i="3"/>
  <c r="F7" i="3"/>
  <c r="I7" i="3"/>
  <c r="J7" i="3"/>
  <c r="K7" i="3"/>
  <c r="L7" i="3"/>
  <c r="M7" i="3"/>
  <c r="N7" i="3"/>
  <c r="O7" i="3"/>
  <c r="L8" i="3"/>
  <c r="M8" i="3"/>
  <c r="N8" i="3"/>
  <c r="O8" i="3"/>
  <c r="O9" i="3"/>
  <c r="L10" i="3"/>
  <c r="M10" i="3"/>
  <c r="N10" i="3"/>
  <c r="O10" i="3"/>
  <c r="L11" i="3"/>
  <c r="M11" i="3"/>
  <c r="N11" i="3"/>
  <c r="O11" i="3"/>
  <c r="C3" i="4"/>
  <c r="C3" i="5"/>
  <c r="E6" i="5"/>
  <c r="F6" i="5"/>
  <c r="G6" i="5"/>
  <c r="H6" i="5"/>
  <c r="I6" i="5"/>
  <c r="J6" i="5"/>
  <c r="K6" i="5"/>
  <c r="L6" i="5"/>
  <c r="M6" i="5"/>
  <c r="N6" i="5"/>
  <c r="O6" i="5"/>
  <c r="E7" i="5"/>
  <c r="F7" i="5"/>
  <c r="I7" i="5"/>
  <c r="J7" i="5"/>
  <c r="K7" i="5"/>
  <c r="L7" i="5"/>
  <c r="M7" i="5"/>
  <c r="N7" i="5"/>
  <c r="O7" i="5"/>
  <c r="E8" i="5"/>
  <c r="F8" i="5"/>
  <c r="G8" i="5"/>
  <c r="H8" i="5"/>
  <c r="I8" i="5"/>
  <c r="J8" i="5"/>
  <c r="K8" i="5"/>
  <c r="L8" i="5"/>
  <c r="M8" i="5"/>
  <c r="N8" i="5"/>
  <c r="O8" i="5"/>
  <c r="H9" i="5"/>
  <c r="I9" i="5"/>
  <c r="J9" i="5"/>
  <c r="K9" i="5"/>
  <c r="L9" i="5"/>
  <c r="M9" i="5"/>
  <c r="N9" i="5"/>
  <c r="O9" i="5"/>
  <c r="H10" i="5"/>
  <c r="I10" i="5"/>
  <c r="J10" i="5"/>
  <c r="K10" i="5"/>
  <c r="L10" i="5"/>
  <c r="M10" i="5"/>
  <c r="N10" i="5"/>
  <c r="O10" i="5"/>
  <c r="E11" i="5"/>
  <c r="F11" i="5"/>
  <c r="G11" i="5"/>
  <c r="H11" i="5"/>
  <c r="I11" i="5"/>
  <c r="J11" i="5"/>
  <c r="K11" i="5"/>
  <c r="L11" i="5"/>
  <c r="M11" i="5"/>
  <c r="N11" i="5"/>
  <c r="O11" i="5"/>
  <c r="H12" i="5"/>
  <c r="I12" i="5"/>
  <c r="J12" i="5"/>
  <c r="K12" i="5"/>
  <c r="L12" i="5"/>
  <c r="M12" i="5"/>
  <c r="N12" i="5"/>
  <c r="O12" i="5"/>
  <c r="H13" i="5"/>
  <c r="I13" i="5"/>
  <c r="J13" i="5"/>
  <c r="K13" i="5"/>
  <c r="L13" i="5"/>
  <c r="M13" i="5"/>
  <c r="N13" i="5"/>
  <c r="O13" i="5"/>
  <c r="E16" i="5"/>
  <c r="F16" i="5"/>
  <c r="G16" i="5"/>
  <c r="H16" i="5"/>
  <c r="I16" i="5"/>
  <c r="J16" i="5"/>
  <c r="K16" i="5"/>
  <c r="L16" i="5"/>
  <c r="M16" i="5"/>
  <c r="N16" i="5"/>
  <c r="O16" i="5"/>
  <c r="H17" i="5"/>
  <c r="I17" i="5"/>
  <c r="J17" i="5"/>
  <c r="K17" i="5"/>
  <c r="L17" i="5"/>
  <c r="M17" i="5"/>
  <c r="N17" i="5"/>
  <c r="O17" i="5"/>
  <c r="H18" i="5"/>
  <c r="I18" i="5"/>
  <c r="J18" i="5"/>
  <c r="K18" i="5"/>
  <c r="L18" i="5"/>
  <c r="M18" i="5"/>
  <c r="N18" i="5"/>
  <c r="O18" i="5"/>
  <c r="E19" i="5"/>
  <c r="F19" i="5"/>
  <c r="G19" i="5"/>
  <c r="H19" i="5"/>
  <c r="I19" i="5"/>
  <c r="J19" i="5"/>
  <c r="K19" i="5"/>
  <c r="L19" i="5"/>
  <c r="M19" i="5"/>
  <c r="N19" i="5"/>
  <c r="O19" i="5"/>
  <c r="E20" i="5"/>
  <c r="F20" i="5"/>
  <c r="G20" i="5"/>
  <c r="E21" i="5"/>
  <c r="F21" i="5"/>
  <c r="G21" i="5"/>
  <c r="E23" i="5"/>
  <c r="F23" i="5"/>
  <c r="G23" i="5"/>
  <c r="H23" i="5"/>
  <c r="I23" i="5"/>
  <c r="J23" i="5"/>
  <c r="K23" i="5"/>
  <c r="L23" i="5"/>
  <c r="M23" i="5"/>
  <c r="N23" i="5"/>
  <c r="O23" i="5"/>
  <c r="G24" i="5"/>
  <c r="H24" i="5"/>
  <c r="I24" i="5"/>
  <c r="J24" i="5"/>
  <c r="K24" i="5"/>
  <c r="L24" i="5"/>
  <c r="M24" i="5"/>
  <c r="N24" i="5"/>
  <c r="O24" i="5"/>
  <c r="H25" i="5"/>
  <c r="I25" i="5"/>
  <c r="J25" i="5"/>
  <c r="K25" i="5"/>
  <c r="L25" i="5"/>
  <c r="M25" i="5"/>
  <c r="N25" i="5"/>
  <c r="O25" i="5"/>
  <c r="E27" i="5"/>
  <c r="F27" i="5"/>
  <c r="G27" i="5"/>
  <c r="H27" i="5"/>
  <c r="I27" i="5"/>
  <c r="J27" i="5"/>
  <c r="K27" i="5"/>
  <c r="L27" i="5"/>
  <c r="M27" i="5"/>
  <c r="N27" i="5"/>
  <c r="O27" i="5"/>
  <c r="E28" i="5"/>
  <c r="F28" i="5"/>
  <c r="G28" i="5"/>
  <c r="H28" i="5"/>
  <c r="I28" i="5"/>
  <c r="J28" i="5"/>
  <c r="K28" i="5"/>
  <c r="L28" i="5"/>
  <c r="M28" i="5"/>
  <c r="N28" i="5"/>
  <c r="O28" i="5"/>
  <c r="E29" i="5"/>
  <c r="F29" i="5"/>
  <c r="G29" i="5"/>
  <c r="H29" i="5"/>
  <c r="I29" i="5"/>
  <c r="J29" i="5"/>
  <c r="K29" i="5"/>
  <c r="L29" i="5"/>
  <c r="M29" i="5"/>
  <c r="N29" i="5"/>
  <c r="O29" i="5"/>
  <c r="E31" i="5"/>
  <c r="F31" i="5"/>
  <c r="G31" i="5"/>
  <c r="H31" i="5"/>
  <c r="I31" i="5"/>
  <c r="J31" i="5"/>
  <c r="K31" i="5"/>
  <c r="L31" i="5"/>
  <c r="M31" i="5"/>
  <c r="N31" i="5"/>
  <c r="O31" i="5"/>
  <c r="H32" i="5"/>
  <c r="I32" i="5"/>
  <c r="J32" i="5"/>
  <c r="K32" i="5"/>
  <c r="L32" i="5"/>
  <c r="M32" i="5"/>
  <c r="N32" i="5"/>
  <c r="O32" i="5"/>
  <c r="H33" i="5"/>
  <c r="I33" i="5"/>
  <c r="J33" i="5"/>
  <c r="K33" i="5"/>
  <c r="L33" i="5"/>
  <c r="M33" i="5"/>
  <c r="N33" i="5"/>
  <c r="O33" i="5"/>
  <c r="E34" i="5"/>
  <c r="F34" i="5"/>
  <c r="G34" i="5"/>
  <c r="H34" i="5"/>
  <c r="I34" i="5"/>
  <c r="J34" i="5"/>
  <c r="K34" i="5"/>
  <c r="L34" i="5"/>
  <c r="M34" i="5"/>
  <c r="N34" i="5"/>
  <c r="O34" i="5"/>
  <c r="E35" i="5"/>
  <c r="F35" i="5"/>
  <c r="G35" i="5"/>
  <c r="E36" i="5"/>
  <c r="F36" i="5"/>
  <c r="G36" i="5"/>
  <c r="E38" i="5"/>
  <c r="F38" i="5"/>
  <c r="G38" i="5"/>
  <c r="H38" i="5"/>
  <c r="I38" i="5"/>
  <c r="J38" i="5"/>
  <c r="K38" i="5"/>
  <c r="L38" i="5"/>
  <c r="M38" i="5"/>
  <c r="N38" i="5"/>
  <c r="O38" i="5"/>
  <c r="H39" i="5"/>
  <c r="I39" i="5"/>
  <c r="J39" i="5"/>
  <c r="K39" i="5"/>
  <c r="L39" i="5"/>
  <c r="M39" i="5"/>
  <c r="N39" i="5"/>
  <c r="O39" i="5"/>
  <c r="H40" i="5"/>
  <c r="I40" i="5"/>
  <c r="J40" i="5"/>
  <c r="K40" i="5"/>
  <c r="L40" i="5"/>
  <c r="M40" i="5"/>
  <c r="N40" i="5"/>
  <c r="O40" i="5"/>
  <c r="E42" i="5"/>
  <c r="F42" i="5"/>
  <c r="G42" i="5"/>
  <c r="H42" i="5"/>
  <c r="I42" i="5"/>
  <c r="J42" i="5"/>
  <c r="K42" i="5"/>
  <c r="L42" i="5"/>
  <c r="M42" i="5"/>
  <c r="N42" i="5"/>
  <c r="O42" i="5"/>
  <c r="E43" i="5"/>
  <c r="F43" i="5"/>
  <c r="G43" i="5"/>
  <c r="H43" i="5"/>
  <c r="I43" i="5"/>
  <c r="J43" i="5"/>
  <c r="K43" i="5"/>
  <c r="L43" i="5"/>
  <c r="M43" i="5"/>
  <c r="N43" i="5"/>
  <c r="O43" i="5"/>
  <c r="E44" i="5"/>
  <c r="F44" i="5"/>
  <c r="G44" i="5"/>
  <c r="H44" i="5"/>
  <c r="I44" i="5"/>
  <c r="J44" i="5"/>
  <c r="K44" i="5"/>
  <c r="L44" i="5"/>
  <c r="M44" i="5"/>
  <c r="N44" i="5"/>
  <c r="O44" i="5"/>
  <c r="E46" i="5"/>
  <c r="F46" i="5"/>
  <c r="G46" i="5"/>
  <c r="H46" i="5"/>
  <c r="I46" i="5"/>
  <c r="J46" i="5"/>
  <c r="K46" i="5"/>
  <c r="L46" i="5"/>
  <c r="M46" i="5"/>
  <c r="N46" i="5"/>
  <c r="O46" i="5"/>
  <c r="H47" i="5"/>
  <c r="I47" i="5"/>
  <c r="J47" i="5"/>
  <c r="K47" i="5"/>
  <c r="L47" i="5"/>
  <c r="M47" i="5"/>
  <c r="N47" i="5"/>
  <c r="O47" i="5"/>
  <c r="H48" i="5"/>
  <c r="I48" i="5"/>
  <c r="J48" i="5"/>
  <c r="K48" i="5"/>
  <c r="L48" i="5"/>
  <c r="M48" i="5"/>
  <c r="N48" i="5"/>
  <c r="O48" i="5"/>
  <c r="F49" i="5"/>
  <c r="G49" i="5"/>
  <c r="H49" i="5"/>
  <c r="I49" i="5"/>
  <c r="J49" i="5"/>
  <c r="K49" i="5"/>
  <c r="L49" i="5"/>
  <c r="M49" i="5"/>
  <c r="N49" i="5"/>
  <c r="O49" i="5"/>
  <c r="F50" i="5"/>
  <c r="G50" i="5"/>
  <c r="F51" i="5"/>
  <c r="G51" i="5"/>
  <c r="E53" i="5"/>
  <c r="F53" i="5"/>
  <c r="G53" i="5"/>
  <c r="H53" i="5"/>
  <c r="I53" i="5"/>
  <c r="J53" i="5"/>
  <c r="K53" i="5"/>
  <c r="L53" i="5"/>
  <c r="M53" i="5"/>
  <c r="N53" i="5"/>
  <c r="O53" i="5"/>
  <c r="H54" i="5"/>
  <c r="I54" i="5"/>
  <c r="J54" i="5"/>
  <c r="K54" i="5"/>
  <c r="L54" i="5"/>
  <c r="M54" i="5"/>
  <c r="N54" i="5"/>
  <c r="O54" i="5"/>
  <c r="H55" i="5"/>
  <c r="I55" i="5"/>
  <c r="J55" i="5"/>
  <c r="K55" i="5"/>
  <c r="L55" i="5"/>
  <c r="M55" i="5"/>
  <c r="N55" i="5"/>
  <c r="O55" i="5"/>
  <c r="F56" i="5"/>
  <c r="G56" i="5"/>
  <c r="H56" i="5"/>
  <c r="I56" i="5"/>
  <c r="J56" i="5"/>
  <c r="K56" i="5"/>
  <c r="L56" i="5"/>
  <c r="M56" i="5"/>
  <c r="N56" i="5"/>
  <c r="O56" i="5"/>
  <c r="F57" i="5"/>
  <c r="G57" i="5"/>
  <c r="I57" i="5"/>
  <c r="F58" i="5"/>
  <c r="G58" i="5"/>
  <c r="H62" i="5"/>
  <c r="I62" i="5"/>
  <c r="J62" i="5"/>
  <c r="K62" i="5"/>
  <c r="L62" i="5"/>
  <c r="M62" i="5"/>
  <c r="N62" i="5"/>
  <c r="O62" i="5"/>
  <c r="F63" i="5"/>
  <c r="G63" i="5"/>
  <c r="H64" i="5"/>
  <c r="I64" i="5"/>
  <c r="J64" i="5"/>
  <c r="K64" i="5"/>
  <c r="L64" i="5"/>
  <c r="M64" i="5"/>
  <c r="N64" i="5"/>
  <c r="O64" i="5"/>
  <c r="F65" i="5"/>
  <c r="G65" i="5"/>
  <c r="H66" i="5"/>
  <c r="I66" i="5"/>
  <c r="J66" i="5"/>
  <c r="K66" i="5"/>
  <c r="L66" i="5"/>
  <c r="M66" i="5"/>
  <c r="N66" i="5"/>
  <c r="O66" i="5"/>
  <c r="F67" i="5"/>
  <c r="G67" i="5"/>
  <c r="H70" i="5"/>
  <c r="I70" i="5"/>
  <c r="J70" i="5"/>
  <c r="K70" i="5"/>
  <c r="L70" i="5"/>
  <c r="M70" i="5"/>
  <c r="N70" i="5"/>
  <c r="O70" i="5"/>
  <c r="F71" i="5"/>
  <c r="G71" i="5"/>
  <c r="H72" i="5"/>
  <c r="I72" i="5"/>
  <c r="J72" i="5"/>
  <c r="K72" i="5"/>
  <c r="L72" i="5"/>
  <c r="M72" i="5"/>
  <c r="N72" i="5"/>
  <c r="O72" i="5"/>
  <c r="F73" i="5"/>
  <c r="G73" i="5"/>
  <c r="H74" i="5"/>
  <c r="I74" i="5"/>
  <c r="J74" i="5"/>
  <c r="K74" i="5"/>
  <c r="L74" i="5"/>
  <c r="M74" i="5"/>
  <c r="N74" i="5"/>
  <c r="O74" i="5"/>
  <c r="F75" i="5"/>
  <c r="G75" i="5"/>
  <c r="H76" i="5"/>
  <c r="I76" i="5"/>
  <c r="J76" i="5"/>
  <c r="K76" i="5"/>
  <c r="L76" i="5"/>
  <c r="M76" i="5"/>
  <c r="N76" i="5"/>
  <c r="O76" i="5"/>
  <c r="F77" i="5"/>
  <c r="G77" i="5"/>
  <c r="E79" i="5"/>
  <c r="F79" i="5"/>
  <c r="G79" i="5"/>
  <c r="H79" i="5"/>
  <c r="I79" i="5"/>
  <c r="J79" i="5"/>
  <c r="K79" i="5"/>
  <c r="L79" i="5"/>
  <c r="M79" i="5"/>
  <c r="N79" i="5"/>
  <c r="O79" i="5"/>
  <c r="F80" i="5"/>
  <c r="G80" i="5"/>
  <c r="H80" i="5"/>
  <c r="I80" i="5"/>
  <c r="J80" i="5"/>
  <c r="K80" i="5"/>
  <c r="L80" i="5"/>
  <c r="M80" i="5"/>
  <c r="N80" i="5"/>
  <c r="O80" i="5"/>
  <c r="E82" i="5"/>
  <c r="F82" i="5"/>
  <c r="G82" i="5"/>
  <c r="H82" i="5"/>
  <c r="I82" i="5"/>
  <c r="J82" i="5"/>
  <c r="K82" i="5"/>
  <c r="L82" i="5"/>
  <c r="M82" i="5"/>
  <c r="N82" i="5"/>
  <c r="O82" i="5"/>
  <c r="F83" i="5"/>
  <c r="G83" i="5"/>
  <c r="H83" i="5"/>
  <c r="I83" i="5"/>
  <c r="J83" i="5"/>
  <c r="K83" i="5"/>
  <c r="L83" i="5"/>
  <c r="M83" i="5"/>
  <c r="N83" i="5"/>
  <c r="O83" i="5"/>
  <c r="E86" i="5"/>
  <c r="F86" i="5"/>
  <c r="G86" i="5"/>
  <c r="H86" i="5"/>
  <c r="I86" i="5"/>
  <c r="J86" i="5"/>
  <c r="K86" i="5"/>
  <c r="L86" i="5"/>
  <c r="M86" i="5"/>
  <c r="N86" i="5"/>
  <c r="O86" i="5"/>
  <c r="H87" i="5"/>
  <c r="I87" i="5"/>
  <c r="J87" i="5"/>
  <c r="K87" i="5"/>
  <c r="L87" i="5"/>
  <c r="M87" i="5"/>
  <c r="N87" i="5"/>
  <c r="O87" i="5"/>
  <c r="E88" i="5"/>
  <c r="F88" i="5"/>
  <c r="G88" i="5"/>
  <c r="H88" i="5"/>
  <c r="I88" i="5"/>
  <c r="J88" i="5"/>
  <c r="K88" i="5"/>
  <c r="L88" i="5"/>
  <c r="M88" i="5"/>
  <c r="N88" i="5"/>
  <c r="O88" i="5"/>
  <c r="H89" i="5"/>
  <c r="I89" i="5"/>
  <c r="J89" i="5"/>
  <c r="K89" i="5"/>
  <c r="L89" i="5"/>
  <c r="M89" i="5"/>
  <c r="N89" i="5"/>
  <c r="O89" i="5"/>
  <c r="E90" i="5"/>
  <c r="F90" i="5"/>
  <c r="G90" i="5"/>
  <c r="H90" i="5"/>
  <c r="I90" i="5"/>
  <c r="J90" i="5"/>
  <c r="K90" i="5"/>
  <c r="L90" i="5"/>
  <c r="M90" i="5"/>
  <c r="N90" i="5"/>
  <c r="O90" i="5"/>
  <c r="E91" i="5"/>
  <c r="F91" i="5"/>
  <c r="G91" i="5"/>
  <c r="E92" i="5"/>
  <c r="F92" i="5"/>
  <c r="G92" i="5"/>
  <c r="H92" i="5"/>
  <c r="I92" i="5"/>
  <c r="J92" i="5"/>
  <c r="K92" i="5"/>
  <c r="L92" i="5"/>
  <c r="M92" i="5"/>
  <c r="N92" i="5"/>
  <c r="O92" i="5"/>
  <c r="E93" i="5"/>
  <c r="F93" i="5"/>
  <c r="G93" i="5"/>
  <c r="H93" i="5"/>
  <c r="I93" i="5"/>
  <c r="J93" i="5"/>
  <c r="K93" i="5"/>
  <c r="L93" i="5"/>
  <c r="M93" i="5"/>
  <c r="N93" i="5"/>
  <c r="O93" i="5"/>
  <c r="E94" i="5"/>
  <c r="F94" i="5"/>
  <c r="G94" i="5"/>
  <c r="H94" i="5"/>
  <c r="I94" i="5"/>
  <c r="J94" i="5"/>
  <c r="K94" i="5"/>
  <c r="L94" i="5"/>
  <c r="M94" i="5"/>
  <c r="N94" i="5"/>
  <c r="O94" i="5"/>
  <c r="E95" i="5"/>
  <c r="F95" i="5"/>
  <c r="G95" i="5"/>
  <c r="H95" i="5"/>
  <c r="H95" i="5" a="1"/>
  <c r="I95" i="5"/>
  <c r="I95" i="5" a="1"/>
  <c r="J95" i="5"/>
  <c r="J95" i="5" a="1"/>
  <c r="K95" i="5"/>
  <c r="K95" i="5" a="1"/>
  <c r="L95" i="5"/>
  <c r="L95" i="5" a="1"/>
  <c r="M95" i="5"/>
  <c r="M95" i="5" a="1"/>
  <c r="N95" i="5"/>
  <c r="N95" i="5" a="1"/>
  <c r="O95" i="5"/>
  <c r="O95" i="5" a="1"/>
  <c r="E98" i="5"/>
  <c r="F98" i="5"/>
  <c r="G98" i="5"/>
  <c r="H98" i="5"/>
  <c r="I98" i="5"/>
  <c r="J98" i="5"/>
  <c r="K98" i="5"/>
  <c r="L98" i="5"/>
  <c r="M98" i="5"/>
  <c r="N98" i="5"/>
  <c r="O98" i="5"/>
  <c r="H99" i="5"/>
  <c r="I99" i="5"/>
  <c r="J99" i="5"/>
  <c r="K99" i="5"/>
  <c r="L99" i="5"/>
  <c r="M99" i="5"/>
  <c r="N99" i="5"/>
  <c r="O99" i="5"/>
  <c r="E100" i="5"/>
  <c r="F100" i="5"/>
  <c r="G100" i="5"/>
  <c r="H100" i="5"/>
  <c r="I100" i="5"/>
  <c r="J100" i="5"/>
  <c r="K100" i="5"/>
  <c r="L100" i="5"/>
  <c r="M100" i="5"/>
  <c r="N100" i="5"/>
  <c r="O100" i="5"/>
  <c r="E101" i="5"/>
  <c r="F101" i="5"/>
  <c r="G101" i="5"/>
  <c r="H101" i="5"/>
  <c r="K101" i="5"/>
  <c r="L101" i="5"/>
  <c r="M101" i="5"/>
  <c r="N101" i="5"/>
  <c r="O101" i="5"/>
  <c r="E102" i="5"/>
  <c r="F102" i="5"/>
  <c r="G102" i="5"/>
  <c r="E103" i="5"/>
  <c r="F103" i="5"/>
  <c r="G103" i="5"/>
  <c r="H103" i="5"/>
  <c r="I103" i="5"/>
  <c r="J103" i="5"/>
  <c r="K103" i="5"/>
  <c r="L103" i="5"/>
  <c r="M103" i="5"/>
  <c r="N103" i="5"/>
  <c r="O103" i="5"/>
  <c r="C3" i="6"/>
  <c r="E3" i="6"/>
  <c r="F3" i="6"/>
  <c r="G3" i="6"/>
  <c r="H3" i="6"/>
  <c r="I3" i="6"/>
  <c r="J3" i="6"/>
  <c r="K3" i="6"/>
  <c r="L3" i="6"/>
  <c r="M3" i="6"/>
  <c r="N3" i="6"/>
  <c r="O3" i="6"/>
  <c r="E4" i="6"/>
  <c r="F4" i="6"/>
  <c r="I4" i="6"/>
  <c r="J4" i="6"/>
  <c r="K4" i="6"/>
  <c r="L4" i="6"/>
  <c r="M4" i="6"/>
  <c r="N4" i="6"/>
  <c r="O4" i="6"/>
  <c r="E9" i="6"/>
  <c r="F9" i="6"/>
  <c r="G9" i="6"/>
  <c r="H9" i="6"/>
  <c r="I9" i="6"/>
  <c r="J9" i="6"/>
  <c r="K9" i="6"/>
  <c r="L9" i="6"/>
  <c r="M9" i="6"/>
  <c r="N9" i="6"/>
  <c r="O9" i="6"/>
  <c r="E10" i="6"/>
  <c r="F10" i="6"/>
  <c r="I10" i="6"/>
  <c r="J10" i="6"/>
  <c r="K10" i="6"/>
  <c r="L10" i="6"/>
  <c r="M10" i="6"/>
  <c r="N10" i="6"/>
  <c r="O10" i="6"/>
  <c r="H12" i="6"/>
  <c r="I12" i="6"/>
  <c r="J12" i="6"/>
  <c r="K12" i="6"/>
  <c r="L12" i="6"/>
  <c r="M12" i="6"/>
  <c r="N12" i="6"/>
  <c r="O12" i="6"/>
  <c r="H13" i="6"/>
  <c r="I13" i="6"/>
  <c r="J13" i="6"/>
  <c r="K13" i="6"/>
  <c r="L13" i="6"/>
  <c r="M13" i="6"/>
  <c r="N13" i="6"/>
  <c r="O13" i="6"/>
  <c r="H14" i="6"/>
  <c r="I14" i="6"/>
  <c r="J14" i="6"/>
  <c r="K14" i="6"/>
  <c r="L14" i="6"/>
  <c r="M14" i="6"/>
  <c r="N14" i="6"/>
  <c r="O14" i="6"/>
  <c r="H15" i="6"/>
  <c r="I15" i="6"/>
  <c r="J15" i="6"/>
  <c r="K15" i="6"/>
  <c r="L15" i="6"/>
  <c r="M15" i="6"/>
  <c r="N15" i="6"/>
  <c r="O15" i="6"/>
  <c r="H16" i="6"/>
  <c r="I16" i="6"/>
  <c r="J16" i="6"/>
  <c r="K16" i="6"/>
  <c r="L16" i="6"/>
  <c r="M16" i="6"/>
  <c r="N16" i="6"/>
  <c r="O16" i="6"/>
  <c r="H17" i="6"/>
  <c r="I17" i="6"/>
  <c r="J17" i="6"/>
  <c r="K17" i="6"/>
  <c r="L17" i="6"/>
  <c r="M17" i="6"/>
  <c r="N17" i="6"/>
  <c r="O17" i="6"/>
  <c r="H18" i="6"/>
  <c r="I18" i="6"/>
  <c r="J18" i="6"/>
  <c r="K18" i="6"/>
  <c r="L18" i="6"/>
  <c r="M18" i="6"/>
  <c r="N18" i="6"/>
  <c r="O18" i="6"/>
  <c r="H19" i="6"/>
  <c r="I19" i="6"/>
  <c r="J19" i="6"/>
  <c r="K19" i="6"/>
  <c r="L19" i="6"/>
  <c r="M19" i="6"/>
  <c r="N19" i="6"/>
  <c r="O19" i="6"/>
  <c r="H20" i="6"/>
  <c r="I20" i="6"/>
  <c r="J20" i="6"/>
  <c r="K20" i="6"/>
  <c r="L20" i="6"/>
  <c r="M20" i="6"/>
  <c r="N20" i="6"/>
  <c r="O20" i="6"/>
  <c r="G22" i="6"/>
  <c r="H22" i="6"/>
  <c r="I22" i="6"/>
  <c r="J22" i="6"/>
  <c r="K22" i="6"/>
  <c r="L22" i="6"/>
  <c r="M22" i="6"/>
  <c r="N22" i="6"/>
  <c r="O22" i="6"/>
  <c r="E23" i="6"/>
  <c r="F23" i="6"/>
  <c r="G23" i="6"/>
  <c r="H23" i="6"/>
  <c r="I23" i="6"/>
  <c r="J23" i="6"/>
  <c r="K23" i="6"/>
  <c r="L23" i="6"/>
  <c r="M23" i="6"/>
  <c r="N23" i="6"/>
  <c r="O23" i="6"/>
  <c r="E28" i="6"/>
  <c r="F28" i="6"/>
  <c r="G28" i="6"/>
  <c r="H28" i="6"/>
  <c r="I28" i="6"/>
  <c r="J28" i="6"/>
  <c r="K28" i="6"/>
  <c r="L28" i="6"/>
  <c r="M28" i="6"/>
  <c r="N28" i="6"/>
  <c r="O28" i="6"/>
  <c r="F29" i="6"/>
  <c r="G29" i="6"/>
  <c r="E30" i="6"/>
  <c r="F30" i="6"/>
  <c r="G30" i="6"/>
  <c r="H30" i="6"/>
  <c r="I30" i="6"/>
  <c r="J30" i="6"/>
  <c r="K30" i="6"/>
  <c r="L30" i="6"/>
  <c r="M30" i="6"/>
  <c r="N30" i="6"/>
  <c r="O30" i="6"/>
  <c r="E33" i="6"/>
  <c r="F33" i="6"/>
  <c r="G33" i="6"/>
  <c r="H33" i="6"/>
  <c r="I33" i="6"/>
  <c r="J33" i="6"/>
  <c r="K33" i="6"/>
  <c r="L33" i="6"/>
  <c r="M33" i="6"/>
  <c r="N33" i="6"/>
  <c r="O33" i="6"/>
  <c r="E34" i="6"/>
  <c r="F34" i="6"/>
  <c r="G34" i="6"/>
  <c r="H34" i="6"/>
  <c r="I34" i="6"/>
  <c r="J34" i="6"/>
  <c r="K34" i="6"/>
  <c r="L34" i="6"/>
  <c r="M34" i="6"/>
  <c r="N34" i="6"/>
  <c r="O34" i="6"/>
  <c r="F35" i="6"/>
  <c r="G35" i="6"/>
  <c r="E36" i="6"/>
  <c r="F36" i="6"/>
  <c r="G36" i="6"/>
  <c r="H36" i="6"/>
  <c r="I36" i="6"/>
  <c r="J36" i="6"/>
  <c r="K36" i="6"/>
  <c r="L36" i="6"/>
  <c r="M36" i="6"/>
  <c r="N36" i="6"/>
  <c r="O36" i="6"/>
  <c r="F38" i="6"/>
  <c r="G38" i="6"/>
  <c r="H41" i="6"/>
  <c r="I41" i="6"/>
  <c r="J41" i="6"/>
  <c r="K41" i="6"/>
  <c r="L41" i="6"/>
  <c r="M41" i="6"/>
  <c r="N41" i="6"/>
  <c r="O41" i="6"/>
  <c r="E42" i="6"/>
  <c r="F42" i="6"/>
  <c r="G42" i="6"/>
  <c r="H42" i="6"/>
  <c r="I42" i="6"/>
  <c r="J42" i="6"/>
  <c r="K42" i="6"/>
  <c r="L42" i="6"/>
  <c r="M42" i="6"/>
  <c r="N42" i="6"/>
  <c r="O42" i="6"/>
  <c r="E43" i="6"/>
  <c r="F43" i="6"/>
  <c r="G43" i="6"/>
  <c r="H43" i="6"/>
  <c r="I43" i="6"/>
  <c r="J43" i="6"/>
  <c r="K43" i="6"/>
  <c r="L43" i="6"/>
  <c r="M43" i="6"/>
  <c r="N43" i="6"/>
  <c r="O43" i="6"/>
  <c r="F44" i="6"/>
  <c r="G44" i="6"/>
  <c r="E45" i="6"/>
  <c r="F45" i="6"/>
  <c r="G45" i="6"/>
  <c r="H45" i="6"/>
  <c r="I45" i="6"/>
  <c r="J45" i="6"/>
  <c r="K45" i="6"/>
  <c r="L45" i="6"/>
  <c r="M45" i="6"/>
  <c r="N45" i="6"/>
  <c r="O45" i="6"/>
  <c r="H48" i="6"/>
  <c r="I48" i="6"/>
  <c r="J48" i="6"/>
  <c r="K48" i="6"/>
  <c r="L48" i="6"/>
  <c r="M48" i="6"/>
  <c r="N48" i="6"/>
  <c r="O48" i="6"/>
  <c r="G49" i="6"/>
  <c r="H49" i="6"/>
  <c r="I49" i="6"/>
  <c r="J49" i="6"/>
  <c r="K49" i="6"/>
  <c r="L49" i="6"/>
  <c r="M49" i="6"/>
  <c r="N49" i="6"/>
  <c r="O49" i="6"/>
  <c r="E50" i="6"/>
  <c r="F50" i="6"/>
  <c r="G50" i="6"/>
  <c r="H50" i="6"/>
  <c r="I50" i="6"/>
  <c r="J50" i="6"/>
  <c r="K50" i="6"/>
  <c r="L50" i="6"/>
  <c r="M50" i="6"/>
  <c r="N50" i="6"/>
  <c r="O50" i="6"/>
  <c r="E52" i="6"/>
  <c r="F52" i="6"/>
  <c r="G52" i="6"/>
  <c r="H52" i="6"/>
  <c r="I52" i="6"/>
  <c r="J52" i="6"/>
  <c r="K52" i="6"/>
  <c r="L52" i="6"/>
  <c r="M52" i="6"/>
  <c r="N52" i="6"/>
  <c r="O52" i="6"/>
  <c r="E53" i="6"/>
  <c r="F53" i="6"/>
  <c r="G53" i="6"/>
  <c r="H53" i="6"/>
  <c r="I53" i="6"/>
  <c r="J53" i="6"/>
  <c r="K53" i="6"/>
  <c r="L53" i="6"/>
  <c r="M53" i="6"/>
  <c r="N53" i="6"/>
  <c r="O53" i="6"/>
  <c r="E54" i="6"/>
  <c r="F54" i="6"/>
  <c r="G54" i="6"/>
  <c r="H54" i="6"/>
  <c r="I54" i="6"/>
  <c r="J54" i="6"/>
  <c r="K54" i="6"/>
  <c r="L54" i="6"/>
  <c r="M54" i="6"/>
  <c r="N54" i="6"/>
  <c r="O54" i="6"/>
  <c r="F55" i="6"/>
  <c r="G55" i="6"/>
  <c r="F56" i="6"/>
  <c r="G56" i="6"/>
  <c r="F57" i="6"/>
  <c r="G57" i="6"/>
  <c r="F60" i="6"/>
  <c r="G60" i="6"/>
  <c r="F61" i="6"/>
  <c r="G61" i="6"/>
  <c r="F62" i="6"/>
  <c r="G62" i="6"/>
  <c r="F64" i="6"/>
  <c r="G64" i="6"/>
  <c r="H64" i="6"/>
  <c r="I64" i="6"/>
  <c r="J64" i="6"/>
  <c r="K64" i="6"/>
  <c r="L64" i="6"/>
  <c r="M64" i="6"/>
  <c r="N64" i="6"/>
  <c r="O64" i="6"/>
  <c r="F65" i="6"/>
  <c r="G65" i="6"/>
  <c r="H65" i="6"/>
  <c r="I65" i="6"/>
  <c r="J65" i="6"/>
  <c r="K65" i="6"/>
  <c r="L65" i="6"/>
  <c r="M65" i="6"/>
  <c r="N65" i="6"/>
  <c r="O65" i="6"/>
  <c r="E71" i="6"/>
  <c r="F71" i="6"/>
  <c r="G71" i="6"/>
  <c r="H71" i="6"/>
  <c r="I71" i="6"/>
  <c r="J71" i="6"/>
  <c r="K71" i="6"/>
  <c r="L71" i="6"/>
  <c r="M71" i="6"/>
  <c r="N71" i="6"/>
  <c r="O71" i="6"/>
  <c r="E72" i="6"/>
  <c r="F72" i="6"/>
  <c r="I72" i="6"/>
  <c r="J72" i="6"/>
  <c r="K72" i="6"/>
  <c r="L72" i="6"/>
  <c r="M72" i="6"/>
  <c r="N72" i="6"/>
  <c r="O72" i="6"/>
  <c r="H74" i="6"/>
  <c r="I74" i="6"/>
  <c r="J74" i="6"/>
  <c r="K74" i="6"/>
  <c r="L74" i="6"/>
  <c r="M74" i="6"/>
  <c r="N74" i="6"/>
  <c r="O74" i="6"/>
  <c r="H75" i="6"/>
  <c r="I75" i="6"/>
  <c r="J75" i="6"/>
  <c r="K75" i="6"/>
  <c r="L75" i="6"/>
  <c r="M75" i="6"/>
  <c r="N75" i="6"/>
  <c r="O75" i="6"/>
  <c r="H76" i="6"/>
  <c r="I76" i="6"/>
  <c r="J76" i="6"/>
  <c r="K76" i="6"/>
  <c r="L76" i="6"/>
  <c r="M76" i="6"/>
  <c r="N76" i="6"/>
  <c r="O76" i="6"/>
  <c r="H77" i="6"/>
  <c r="I77" i="6"/>
  <c r="J77" i="6"/>
  <c r="K77" i="6"/>
  <c r="L77" i="6"/>
  <c r="M77" i="6"/>
  <c r="N77" i="6"/>
  <c r="O77" i="6"/>
  <c r="H78" i="6"/>
  <c r="I78" i="6"/>
  <c r="J78" i="6"/>
  <c r="K78" i="6"/>
  <c r="L78" i="6"/>
  <c r="M78" i="6"/>
  <c r="N78" i="6"/>
  <c r="O78" i="6"/>
  <c r="H79" i="6"/>
  <c r="I79" i="6"/>
  <c r="J79" i="6"/>
  <c r="K79" i="6"/>
  <c r="L79" i="6"/>
  <c r="M79" i="6"/>
  <c r="N79" i="6"/>
  <c r="O79" i="6"/>
  <c r="H80" i="6"/>
  <c r="I80" i="6"/>
  <c r="J80" i="6"/>
  <c r="K80" i="6"/>
  <c r="L80" i="6"/>
  <c r="M80" i="6"/>
  <c r="N80" i="6"/>
  <c r="O80" i="6"/>
  <c r="H82" i="6"/>
  <c r="I82" i="6"/>
  <c r="J82" i="6"/>
  <c r="K82" i="6"/>
  <c r="L82" i="6"/>
  <c r="M82" i="6"/>
  <c r="N82" i="6"/>
  <c r="O82" i="6"/>
  <c r="G83" i="6"/>
  <c r="H83" i="6"/>
  <c r="I83" i="6"/>
  <c r="J83" i="6"/>
  <c r="K83" i="6"/>
  <c r="L83" i="6"/>
  <c r="M83" i="6"/>
  <c r="N83" i="6"/>
  <c r="O83" i="6"/>
  <c r="E84" i="6"/>
  <c r="F84" i="6"/>
  <c r="G84" i="6"/>
  <c r="H84" i="6"/>
  <c r="I84" i="6"/>
  <c r="J84" i="6"/>
  <c r="K84" i="6"/>
  <c r="L84" i="6"/>
  <c r="M84" i="6"/>
  <c r="N84" i="6"/>
  <c r="O84" i="6"/>
  <c r="F86" i="6"/>
  <c r="G86" i="6"/>
  <c r="H89" i="6"/>
  <c r="I89" i="6"/>
  <c r="J89" i="6"/>
  <c r="K89" i="6"/>
  <c r="L89" i="6"/>
  <c r="M89" i="6"/>
  <c r="N89" i="6"/>
  <c r="O89" i="6"/>
  <c r="E90" i="6"/>
  <c r="F90" i="6"/>
  <c r="G90" i="6"/>
  <c r="H90" i="6"/>
  <c r="I90" i="6"/>
  <c r="J90" i="6"/>
  <c r="K90" i="6"/>
  <c r="L90" i="6"/>
  <c r="M90" i="6"/>
  <c r="N90" i="6"/>
  <c r="O90" i="6"/>
  <c r="E91" i="6"/>
  <c r="F91" i="6"/>
  <c r="G91" i="6"/>
  <c r="H91" i="6"/>
  <c r="I91" i="6"/>
  <c r="J91" i="6"/>
  <c r="K91" i="6"/>
  <c r="L91" i="6"/>
  <c r="M91" i="6"/>
  <c r="N91" i="6"/>
  <c r="O91" i="6"/>
  <c r="F92" i="6"/>
  <c r="G92" i="6"/>
  <c r="E93" i="6"/>
  <c r="F93" i="6"/>
  <c r="G93" i="6"/>
  <c r="H93" i="6"/>
  <c r="I93" i="6"/>
  <c r="J93" i="6"/>
  <c r="K93" i="6"/>
  <c r="L93" i="6"/>
  <c r="M93" i="6"/>
  <c r="N93" i="6"/>
  <c r="O93" i="6"/>
  <c r="H96" i="6"/>
  <c r="I96" i="6"/>
  <c r="J96" i="6"/>
  <c r="K96" i="6"/>
  <c r="L96" i="6"/>
  <c r="M96" i="6"/>
  <c r="N96" i="6"/>
  <c r="O96" i="6"/>
  <c r="G97" i="6"/>
  <c r="H97" i="6"/>
  <c r="I97" i="6"/>
  <c r="J97" i="6"/>
  <c r="K97" i="6"/>
  <c r="L97" i="6"/>
  <c r="M97" i="6"/>
  <c r="N97" i="6"/>
  <c r="O97" i="6"/>
  <c r="E98" i="6"/>
  <c r="F98" i="6"/>
  <c r="G98" i="6"/>
  <c r="H98" i="6"/>
  <c r="I98" i="6"/>
  <c r="J98" i="6"/>
  <c r="K98" i="6"/>
  <c r="L98" i="6"/>
  <c r="M98" i="6"/>
  <c r="N98" i="6"/>
  <c r="O98" i="6"/>
  <c r="E100" i="6"/>
  <c r="F100" i="6"/>
  <c r="G100" i="6"/>
  <c r="H100" i="6"/>
  <c r="I100" i="6"/>
  <c r="J100" i="6"/>
  <c r="K100" i="6"/>
  <c r="L100" i="6"/>
  <c r="M100" i="6"/>
  <c r="N100" i="6"/>
  <c r="O100" i="6"/>
  <c r="E101" i="6"/>
  <c r="F101" i="6"/>
  <c r="G101" i="6"/>
  <c r="H101" i="6"/>
  <c r="I101" i="6"/>
  <c r="J101" i="6"/>
  <c r="K101" i="6"/>
  <c r="L101" i="6"/>
  <c r="M101" i="6"/>
  <c r="N101" i="6"/>
  <c r="O101" i="6"/>
  <c r="E102" i="6"/>
  <c r="F102" i="6"/>
  <c r="G102" i="6"/>
  <c r="H102" i="6"/>
  <c r="I102" i="6"/>
  <c r="J102" i="6"/>
  <c r="K102" i="6"/>
  <c r="L102" i="6"/>
  <c r="M102" i="6"/>
  <c r="N102" i="6"/>
  <c r="O102" i="6"/>
  <c r="F103" i="6"/>
  <c r="G103" i="6"/>
  <c r="F104" i="6"/>
  <c r="G104" i="6"/>
  <c r="F105" i="6"/>
  <c r="G105" i="6"/>
  <c r="F108" i="6"/>
  <c r="G108" i="6"/>
  <c r="F109" i="6"/>
  <c r="G109" i="6"/>
  <c r="F110" i="6"/>
  <c r="G110" i="6"/>
  <c r="E114" i="6"/>
  <c r="F114" i="6"/>
  <c r="G114" i="6"/>
  <c r="H114" i="6"/>
  <c r="I114" i="6"/>
  <c r="J114" i="6"/>
  <c r="K114" i="6"/>
  <c r="L114" i="6"/>
  <c r="M114" i="6"/>
  <c r="N114" i="6"/>
  <c r="O114" i="6"/>
  <c r="F115" i="6"/>
  <c r="G115" i="6"/>
  <c r="E116" i="6"/>
  <c r="F116" i="6"/>
  <c r="G116" i="6"/>
  <c r="H116" i="6"/>
  <c r="I116" i="6"/>
  <c r="J116" i="6"/>
  <c r="K116" i="6"/>
  <c r="L116" i="6"/>
  <c r="M116" i="6"/>
  <c r="N116" i="6"/>
  <c r="O116" i="6"/>
  <c r="F118" i="6"/>
  <c r="G118" i="6"/>
  <c r="H118" i="6"/>
  <c r="I118" i="6"/>
  <c r="J118" i="6"/>
  <c r="K118" i="6"/>
  <c r="L118" i="6"/>
  <c r="M118" i="6"/>
  <c r="N118" i="6"/>
  <c r="O118" i="6"/>
  <c r="F119" i="6"/>
  <c r="G119" i="6"/>
  <c r="H119" i="6"/>
  <c r="I119" i="6"/>
  <c r="J119" i="6"/>
  <c r="K119" i="6"/>
  <c r="L119" i="6"/>
  <c r="M119" i="6"/>
  <c r="N119" i="6"/>
  <c r="O119" i="6"/>
  <c r="E125" i="6"/>
  <c r="F125" i="6"/>
  <c r="G125" i="6"/>
  <c r="H125" i="6"/>
  <c r="I125" i="6"/>
  <c r="J125" i="6"/>
  <c r="K125" i="6"/>
  <c r="L125" i="6"/>
  <c r="M125" i="6"/>
  <c r="N125" i="6"/>
  <c r="O125" i="6"/>
  <c r="E126" i="6"/>
  <c r="F126" i="6"/>
  <c r="I126" i="6"/>
  <c r="J126" i="6"/>
  <c r="K126" i="6"/>
  <c r="L126" i="6"/>
  <c r="M126" i="6"/>
  <c r="N126" i="6"/>
  <c r="O126" i="6"/>
  <c r="H128" i="6"/>
  <c r="I128" i="6"/>
  <c r="J128" i="6"/>
  <c r="K128" i="6"/>
  <c r="L128" i="6"/>
  <c r="M128" i="6"/>
  <c r="N128" i="6"/>
  <c r="O128" i="6"/>
  <c r="H129" i="6"/>
  <c r="I129" i="6"/>
  <c r="J129" i="6"/>
  <c r="K129" i="6"/>
  <c r="L129" i="6"/>
  <c r="M129" i="6"/>
  <c r="N129" i="6"/>
  <c r="O129" i="6"/>
  <c r="H130" i="6"/>
  <c r="I130" i="6"/>
  <c r="J130" i="6"/>
  <c r="K130" i="6"/>
  <c r="L130" i="6"/>
  <c r="M130" i="6"/>
  <c r="N130" i="6"/>
  <c r="O130" i="6"/>
  <c r="H131" i="6"/>
  <c r="I131" i="6"/>
  <c r="J131" i="6"/>
  <c r="K131" i="6"/>
  <c r="L131" i="6"/>
  <c r="M131" i="6"/>
  <c r="N131" i="6"/>
  <c r="O131" i="6"/>
  <c r="H132" i="6"/>
  <c r="I132" i="6"/>
  <c r="J132" i="6"/>
  <c r="K132" i="6"/>
  <c r="L132" i="6"/>
  <c r="M132" i="6"/>
  <c r="N132" i="6"/>
  <c r="O132" i="6"/>
  <c r="H133" i="6"/>
  <c r="I133" i="6"/>
  <c r="J133" i="6"/>
  <c r="K133" i="6"/>
  <c r="L133" i="6"/>
  <c r="M133" i="6"/>
  <c r="N133" i="6"/>
  <c r="O133" i="6"/>
  <c r="H134" i="6"/>
  <c r="I134" i="6"/>
  <c r="J134" i="6"/>
  <c r="K134" i="6"/>
  <c r="L134" i="6"/>
  <c r="M134" i="6"/>
  <c r="N134" i="6"/>
  <c r="O134" i="6"/>
  <c r="H135" i="6"/>
  <c r="I135" i="6"/>
  <c r="J135" i="6"/>
  <c r="K135" i="6"/>
  <c r="L135" i="6"/>
  <c r="M135" i="6"/>
  <c r="N135" i="6"/>
  <c r="O135" i="6"/>
  <c r="H136" i="6"/>
  <c r="I136" i="6"/>
  <c r="J136" i="6"/>
  <c r="K136" i="6"/>
  <c r="L136" i="6"/>
  <c r="M136" i="6"/>
  <c r="N136" i="6"/>
  <c r="O136" i="6"/>
  <c r="H138" i="6"/>
  <c r="I138" i="6"/>
  <c r="J138" i="6"/>
  <c r="K138" i="6"/>
  <c r="L138" i="6"/>
  <c r="M138" i="6"/>
  <c r="N138" i="6"/>
  <c r="O138" i="6"/>
  <c r="E139" i="6"/>
  <c r="F139" i="6"/>
  <c r="G139" i="6"/>
  <c r="H139" i="6"/>
  <c r="I139" i="6"/>
  <c r="J139" i="6"/>
  <c r="K139" i="6"/>
  <c r="L139" i="6"/>
  <c r="M139" i="6"/>
  <c r="N139" i="6"/>
  <c r="O139" i="6"/>
  <c r="E144" i="6"/>
  <c r="F144" i="6"/>
  <c r="G144" i="6"/>
  <c r="H144" i="6"/>
  <c r="I144" i="6"/>
  <c r="J144" i="6"/>
  <c r="K144" i="6"/>
  <c r="L144" i="6"/>
  <c r="M144" i="6"/>
  <c r="N144" i="6"/>
  <c r="O144" i="6"/>
  <c r="F145" i="6"/>
  <c r="G145" i="6"/>
  <c r="E146" i="6"/>
  <c r="F146" i="6"/>
  <c r="G146" i="6"/>
  <c r="H146" i="6"/>
  <c r="I146" i="6"/>
  <c r="J146" i="6"/>
  <c r="K146" i="6"/>
  <c r="L146" i="6"/>
  <c r="M146" i="6"/>
  <c r="N146" i="6"/>
  <c r="O146" i="6"/>
  <c r="E150" i="6"/>
  <c r="F150" i="6"/>
  <c r="G150" i="6"/>
  <c r="H150" i="6"/>
  <c r="I150" i="6"/>
  <c r="J150" i="6"/>
  <c r="K150" i="6"/>
  <c r="L150" i="6"/>
  <c r="M150" i="6"/>
  <c r="N150" i="6"/>
  <c r="O150" i="6"/>
  <c r="F151" i="6"/>
  <c r="G151" i="6"/>
  <c r="E152" i="6"/>
  <c r="F152" i="6"/>
  <c r="G152" i="6"/>
  <c r="H152" i="6"/>
  <c r="I152" i="6"/>
  <c r="J152" i="6"/>
  <c r="K152" i="6"/>
  <c r="L152" i="6"/>
  <c r="M152" i="6"/>
  <c r="N152" i="6"/>
  <c r="O152" i="6"/>
  <c r="F154" i="6"/>
  <c r="G154" i="6"/>
  <c r="E158" i="6"/>
  <c r="F158" i="6"/>
  <c r="G158" i="6"/>
  <c r="H158" i="6"/>
  <c r="I158" i="6"/>
  <c r="J158" i="6"/>
  <c r="K158" i="6"/>
  <c r="L158" i="6"/>
  <c r="M158" i="6"/>
  <c r="N158" i="6"/>
  <c r="O158" i="6"/>
  <c r="E159" i="6"/>
  <c r="F159" i="6"/>
  <c r="G159" i="6"/>
  <c r="H159" i="6"/>
  <c r="I159" i="6"/>
  <c r="J159" i="6"/>
  <c r="K159" i="6"/>
  <c r="L159" i="6"/>
  <c r="M159" i="6"/>
  <c r="N159" i="6"/>
  <c r="O159" i="6"/>
  <c r="F160" i="6"/>
  <c r="G160" i="6"/>
  <c r="E161" i="6"/>
  <c r="F161" i="6"/>
  <c r="G161" i="6"/>
  <c r="H161" i="6"/>
  <c r="I161" i="6"/>
  <c r="J161" i="6"/>
  <c r="K161" i="6"/>
  <c r="L161" i="6"/>
  <c r="M161" i="6"/>
  <c r="N161" i="6"/>
  <c r="O161" i="6"/>
  <c r="H164" i="6"/>
  <c r="I164" i="6"/>
  <c r="J164" i="6"/>
  <c r="K164" i="6"/>
  <c r="L164" i="6"/>
  <c r="M164" i="6"/>
  <c r="N164" i="6"/>
  <c r="O164" i="6"/>
  <c r="H165" i="6"/>
  <c r="I165" i="6"/>
  <c r="J165" i="6"/>
  <c r="K165" i="6"/>
  <c r="L165" i="6"/>
  <c r="M165" i="6"/>
  <c r="N165" i="6"/>
  <c r="O165" i="6"/>
  <c r="E166" i="6"/>
  <c r="F166" i="6"/>
  <c r="G166" i="6"/>
  <c r="H166" i="6"/>
  <c r="I166" i="6"/>
  <c r="J166" i="6"/>
  <c r="K166" i="6"/>
  <c r="L166" i="6"/>
  <c r="M166" i="6"/>
  <c r="N166" i="6"/>
  <c r="O166" i="6"/>
  <c r="E168" i="6"/>
  <c r="F168" i="6"/>
  <c r="G168" i="6"/>
  <c r="H168" i="6"/>
  <c r="I168" i="6"/>
  <c r="J168" i="6"/>
  <c r="K168" i="6"/>
  <c r="L168" i="6"/>
  <c r="M168" i="6"/>
  <c r="N168" i="6"/>
  <c r="O168" i="6"/>
  <c r="E169" i="6"/>
  <c r="F169" i="6"/>
  <c r="G169" i="6"/>
  <c r="H169" i="6"/>
  <c r="I169" i="6"/>
  <c r="J169" i="6"/>
  <c r="K169" i="6"/>
  <c r="L169" i="6"/>
  <c r="M169" i="6"/>
  <c r="N169" i="6"/>
  <c r="O169" i="6"/>
  <c r="E170" i="6"/>
  <c r="F170" i="6"/>
  <c r="G170" i="6"/>
  <c r="H170" i="6"/>
  <c r="I170" i="6"/>
  <c r="J170" i="6"/>
  <c r="K170" i="6"/>
  <c r="L170" i="6"/>
  <c r="M170" i="6"/>
  <c r="N170" i="6"/>
  <c r="O170" i="6"/>
  <c r="F171" i="6"/>
  <c r="G171" i="6"/>
  <c r="F172" i="6"/>
  <c r="G172" i="6"/>
  <c r="F173" i="6"/>
  <c r="G173" i="6"/>
  <c r="F176" i="6"/>
  <c r="G176" i="6"/>
  <c r="F177" i="6"/>
  <c r="G177" i="6"/>
  <c r="F178" i="6"/>
  <c r="G178" i="6"/>
  <c r="F180" i="6"/>
  <c r="G180" i="6"/>
  <c r="H180" i="6"/>
  <c r="I180" i="6"/>
  <c r="J180" i="6"/>
  <c r="K180" i="6"/>
  <c r="L180" i="6"/>
  <c r="M180" i="6"/>
  <c r="N180" i="6"/>
  <c r="O180" i="6"/>
  <c r="F181" i="6"/>
  <c r="G181" i="6"/>
  <c r="H181" i="6"/>
  <c r="I181" i="6"/>
  <c r="J181" i="6"/>
  <c r="K181" i="6"/>
  <c r="L181" i="6"/>
  <c r="M181" i="6"/>
  <c r="N181" i="6"/>
  <c r="O181" i="6"/>
  <c r="E187" i="6"/>
  <c r="F187" i="6"/>
  <c r="G187" i="6"/>
  <c r="H187" i="6"/>
  <c r="I187" i="6"/>
  <c r="J187" i="6"/>
  <c r="K187" i="6"/>
  <c r="L187" i="6"/>
  <c r="M187" i="6"/>
  <c r="N187" i="6"/>
  <c r="O187" i="6"/>
  <c r="E188" i="6"/>
  <c r="F188" i="6"/>
  <c r="I188" i="6"/>
  <c r="J188" i="6"/>
  <c r="K188" i="6"/>
  <c r="L188" i="6"/>
  <c r="M188" i="6"/>
  <c r="N188" i="6"/>
  <c r="O188" i="6"/>
  <c r="H190" i="6"/>
  <c r="I190" i="6"/>
  <c r="J190" i="6"/>
  <c r="K190" i="6"/>
  <c r="L190" i="6"/>
  <c r="M190" i="6"/>
  <c r="N190" i="6"/>
  <c r="O190" i="6"/>
  <c r="H191" i="6"/>
  <c r="I191" i="6"/>
  <c r="J191" i="6"/>
  <c r="K191" i="6"/>
  <c r="L191" i="6"/>
  <c r="M191" i="6"/>
  <c r="N191" i="6"/>
  <c r="O191" i="6"/>
  <c r="H192" i="6"/>
  <c r="I192" i="6"/>
  <c r="J192" i="6"/>
  <c r="K192" i="6"/>
  <c r="L192" i="6"/>
  <c r="M192" i="6"/>
  <c r="N192" i="6"/>
  <c r="O192" i="6"/>
  <c r="H193" i="6"/>
  <c r="I193" i="6"/>
  <c r="J193" i="6"/>
  <c r="K193" i="6"/>
  <c r="L193" i="6"/>
  <c r="M193" i="6"/>
  <c r="N193" i="6"/>
  <c r="O193" i="6"/>
  <c r="H194" i="6"/>
  <c r="I194" i="6"/>
  <c r="J194" i="6"/>
  <c r="K194" i="6"/>
  <c r="L194" i="6"/>
  <c r="M194" i="6"/>
  <c r="N194" i="6"/>
  <c r="O194" i="6"/>
  <c r="H195" i="6"/>
  <c r="I195" i="6"/>
  <c r="J195" i="6"/>
  <c r="K195" i="6"/>
  <c r="L195" i="6"/>
  <c r="M195" i="6"/>
  <c r="N195" i="6"/>
  <c r="O195" i="6"/>
  <c r="H196" i="6"/>
  <c r="I196" i="6"/>
  <c r="J196" i="6"/>
  <c r="K196" i="6"/>
  <c r="L196" i="6"/>
  <c r="M196" i="6"/>
  <c r="N196" i="6"/>
  <c r="O196" i="6"/>
  <c r="H197" i="6"/>
  <c r="I197" i="6"/>
  <c r="J197" i="6"/>
  <c r="K197" i="6"/>
  <c r="L197" i="6"/>
  <c r="M197" i="6"/>
  <c r="N197" i="6"/>
  <c r="O197" i="6"/>
  <c r="H198" i="6"/>
  <c r="I198" i="6"/>
  <c r="J198" i="6"/>
  <c r="K198" i="6"/>
  <c r="L198" i="6"/>
  <c r="M198" i="6"/>
  <c r="N198" i="6"/>
  <c r="O198" i="6"/>
  <c r="H200" i="6"/>
  <c r="I200" i="6"/>
  <c r="J200" i="6"/>
  <c r="K200" i="6"/>
  <c r="L200" i="6"/>
  <c r="M200" i="6"/>
  <c r="N200" i="6"/>
  <c r="O200" i="6"/>
  <c r="E201" i="6"/>
  <c r="F201" i="6"/>
  <c r="G201" i="6"/>
  <c r="H201" i="6"/>
  <c r="I201" i="6"/>
  <c r="J201" i="6"/>
  <c r="K201" i="6"/>
  <c r="L201" i="6"/>
  <c r="M201" i="6"/>
  <c r="N201" i="6"/>
  <c r="O201" i="6"/>
  <c r="E206" i="6"/>
  <c r="F206" i="6"/>
  <c r="G206" i="6"/>
  <c r="H206" i="6"/>
  <c r="I206" i="6"/>
  <c r="J206" i="6"/>
  <c r="K206" i="6"/>
  <c r="L206" i="6"/>
  <c r="M206" i="6"/>
  <c r="N206" i="6"/>
  <c r="O206" i="6"/>
  <c r="F207" i="6"/>
  <c r="G207" i="6"/>
  <c r="E208" i="6"/>
  <c r="F208" i="6"/>
  <c r="G208" i="6"/>
  <c r="H208" i="6"/>
  <c r="I208" i="6"/>
  <c r="J208" i="6"/>
  <c r="K208" i="6"/>
  <c r="L208" i="6"/>
  <c r="M208" i="6"/>
  <c r="N208" i="6"/>
  <c r="O208" i="6"/>
  <c r="E212" i="6"/>
  <c r="F212" i="6"/>
  <c r="G212" i="6"/>
  <c r="H212" i="6"/>
  <c r="I212" i="6"/>
  <c r="J212" i="6"/>
  <c r="K212" i="6"/>
  <c r="L212" i="6"/>
  <c r="M212" i="6"/>
  <c r="N212" i="6"/>
  <c r="O212" i="6"/>
  <c r="F213" i="6"/>
  <c r="G213" i="6"/>
  <c r="E214" i="6"/>
  <c r="F214" i="6"/>
  <c r="G214" i="6"/>
  <c r="H214" i="6"/>
  <c r="I214" i="6"/>
  <c r="J214" i="6"/>
  <c r="K214" i="6"/>
  <c r="L214" i="6"/>
  <c r="M214" i="6"/>
  <c r="N214" i="6"/>
  <c r="O214" i="6"/>
  <c r="F216" i="6"/>
  <c r="G216" i="6"/>
  <c r="E220" i="6"/>
  <c r="F220" i="6"/>
  <c r="G220" i="6"/>
  <c r="H220" i="6"/>
  <c r="I220" i="6"/>
  <c r="J220" i="6"/>
  <c r="K220" i="6"/>
  <c r="L220" i="6"/>
  <c r="M220" i="6"/>
  <c r="N220" i="6"/>
  <c r="O220" i="6"/>
  <c r="E221" i="6"/>
  <c r="F221" i="6"/>
  <c r="G221" i="6"/>
  <c r="H221" i="6"/>
  <c r="I221" i="6"/>
  <c r="J221" i="6"/>
  <c r="K221" i="6"/>
  <c r="L221" i="6"/>
  <c r="M221" i="6"/>
  <c r="N221" i="6"/>
  <c r="O221" i="6"/>
  <c r="F222" i="6"/>
  <c r="G222" i="6"/>
  <c r="E223" i="6"/>
  <c r="F223" i="6"/>
  <c r="G223" i="6"/>
  <c r="H223" i="6"/>
  <c r="I223" i="6"/>
  <c r="J223" i="6"/>
  <c r="K223" i="6"/>
  <c r="L223" i="6"/>
  <c r="M223" i="6"/>
  <c r="N223" i="6"/>
  <c r="O223" i="6"/>
  <c r="H226" i="6"/>
  <c r="I226" i="6"/>
  <c r="J226" i="6"/>
  <c r="K226" i="6"/>
  <c r="L226" i="6"/>
  <c r="M226" i="6"/>
  <c r="N226" i="6"/>
  <c r="O226" i="6"/>
  <c r="H227" i="6"/>
  <c r="I227" i="6"/>
  <c r="J227" i="6"/>
  <c r="K227" i="6"/>
  <c r="L227" i="6"/>
  <c r="M227" i="6"/>
  <c r="N227" i="6"/>
  <c r="O227" i="6"/>
  <c r="E228" i="6"/>
  <c r="F228" i="6"/>
  <c r="G228" i="6"/>
  <c r="H228" i="6"/>
  <c r="I228" i="6"/>
  <c r="J228" i="6"/>
  <c r="K228" i="6"/>
  <c r="L228" i="6"/>
  <c r="M228" i="6"/>
  <c r="N228" i="6"/>
  <c r="O228" i="6"/>
  <c r="E230" i="6"/>
  <c r="F230" i="6"/>
  <c r="G230" i="6"/>
  <c r="H230" i="6"/>
  <c r="I230" i="6"/>
  <c r="J230" i="6"/>
  <c r="K230" i="6"/>
  <c r="L230" i="6"/>
  <c r="M230" i="6"/>
  <c r="N230" i="6"/>
  <c r="O230" i="6"/>
  <c r="E231" i="6"/>
  <c r="F231" i="6"/>
  <c r="G231" i="6"/>
  <c r="H231" i="6"/>
  <c r="I231" i="6"/>
  <c r="J231" i="6"/>
  <c r="K231" i="6"/>
  <c r="L231" i="6"/>
  <c r="M231" i="6"/>
  <c r="N231" i="6"/>
  <c r="O231" i="6"/>
  <c r="E232" i="6"/>
  <c r="F232" i="6"/>
  <c r="G232" i="6"/>
  <c r="H232" i="6"/>
  <c r="I232" i="6"/>
  <c r="J232" i="6"/>
  <c r="K232" i="6"/>
  <c r="L232" i="6"/>
  <c r="M232" i="6"/>
  <c r="N232" i="6"/>
  <c r="O232" i="6"/>
  <c r="F233" i="6"/>
  <c r="G233" i="6"/>
  <c r="F234" i="6"/>
  <c r="G234" i="6"/>
  <c r="F235" i="6"/>
  <c r="G235" i="6"/>
  <c r="F238" i="6"/>
  <c r="G238" i="6"/>
  <c r="F239" i="6"/>
  <c r="G239" i="6"/>
  <c r="F240" i="6"/>
  <c r="G240" i="6"/>
  <c r="F242" i="6"/>
  <c r="G242" i="6"/>
  <c r="H242" i="6"/>
  <c r="I242" i="6"/>
  <c r="J242" i="6"/>
  <c r="K242" i="6"/>
  <c r="L242" i="6"/>
  <c r="M242" i="6"/>
  <c r="N242" i="6"/>
  <c r="O242" i="6"/>
  <c r="F243" i="6"/>
  <c r="G243" i="6"/>
  <c r="H243" i="6"/>
  <c r="I243" i="6"/>
  <c r="J243" i="6"/>
  <c r="K243" i="6"/>
  <c r="L243" i="6"/>
  <c r="M243" i="6"/>
  <c r="N243" i="6"/>
  <c r="O243" i="6"/>
  <c r="E249" i="6"/>
  <c r="F249" i="6"/>
  <c r="G249" i="6"/>
  <c r="H249" i="6"/>
  <c r="I249" i="6"/>
  <c r="J249" i="6"/>
  <c r="K249" i="6"/>
  <c r="L249" i="6"/>
  <c r="M249" i="6"/>
  <c r="N249" i="6"/>
  <c r="O249" i="6"/>
  <c r="E250" i="6"/>
  <c r="F250" i="6"/>
  <c r="I250" i="6"/>
  <c r="J250" i="6"/>
  <c r="K250" i="6"/>
  <c r="L250" i="6"/>
  <c r="M250" i="6"/>
  <c r="N250" i="6"/>
  <c r="O250" i="6"/>
  <c r="H252" i="6"/>
  <c r="I252" i="6"/>
  <c r="J252" i="6"/>
  <c r="K252" i="6"/>
  <c r="L252" i="6"/>
  <c r="M252" i="6"/>
  <c r="N252" i="6"/>
  <c r="O252" i="6"/>
  <c r="H253" i="6"/>
  <c r="I253" i="6"/>
  <c r="J253" i="6"/>
  <c r="K253" i="6"/>
  <c r="L253" i="6"/>
  <c r="M253" i="6"/>
  <c r="N253" i="6"/>
  <c r="O253" i="6"/>
  <c r="H254" i="6"/>
  <c r="I254" i="6"/>
  <c r="J254" i="6"/>
  <c r="K254" i="6"/>
  <c r="L254" i="6"/>
  <c r="M254" i="6"/>
  <c r="N254" i="6"/>
  <c r="O254" i="6"/>
  <c r="H255" i="6"/>
  <c r="I255" i="6"/>
  <c r="J255" i="6"/>
  <c r="K255" i="6"/>
  <c r="L255" i="6"/>
  <c r="M255" i="6"/>
  <c r="N255" i="6"/>
  <c r="O255" i="6"/>
  <c r="H256" i="6"/>
  <c r="I256" i="6"/>
  <c r="J256" i="6"/>
  <c r="K256" i="6"/>
  <c r="L256" i="6"/>
  <c r="M256" i="6"/>
  <c r="N256" i="6"/>
  <c r="O256" i="6"/>
  <c r="H257" i="6"/>
  <c r="I257" i="6"/>
  <c r="J257" i="6"/>
  <c r="K257" i="6"/>
  <c r="L257" i="6"/>
  <c r="M257" i="6"/>
  <c r="N257" i="6"/>
  <c r="O257" i="6"/>
  <c r="H258" i="6"/>
  <c r="I258" i="6"/>
  <c r="J258" i="6"/>
  <c r="K258" i="6"/>
  <c r="L258" i="6"/>
  <c r="M258" i="6"/>
  <c r="N258" i="6"/>
  <c r="O258" i="6"/>
  <c r="H259" i="6"/>
  <c r="I259" i="6"/>
  <c r="J259" i="6"/>
  <c r="K259" i="6"/>
  <c r="L259" i="6"/>
  <c r="M259" i="6"/>
  <c r="N259" i="6"/>
  <c r="O259" i="6"/>
  <c r="H260" i="6"/>
  <c r="I260" i="6"/>
  <c r="J260" i="6"/>
  <c r="K260" i="6"/>
  <c r="L260" i="6"/>
  <c r="M260" i="6"/>
  <c r="N260" i="6"/>
  <c r="O260" i="6"/>
  <c r="H262" i="6"/>
  <c r="I262" i="6"/>
  <c r="J262" i="6"/>
  <c r="K262" i="6"/>
  <c r="L262" i="6"/>
  <c r="M262" i="6"/>
  <c r="N262" i="6"/>
  <c r="O262" i="6"/>
  <c r="E263" i="6"/>
  <c r="F263" i="6"/>
  <c r="G263" i="6"/>
  <c r="H263" i="6"/>
  <c r="I263" i="6"/>
  <c r="J263" i="6"/>
  <c r="K263" i="6"/>
  <c r="L263" i="6"/>
  <c r="M263" i="6"/>
  <c r="N263" i="6"/>
  <c r="O263" i="6"/>
  <c r="E268" i="6"/>
  <c r="F268" i="6"/>
  <c r="G268" i="6"/>
  <c r="H268" i="6"/>
  <c r="I268" i="6"/>
  <c r="J268" i="6"/>
  <c r="K268" i="6"/>
  <c r="L268" i="6"/>
  <c r="M268" i="6"/>
  <c r="N268" i="6"/>
  <c r="O268" i="6"/>
  <c r="F269" i="6"/>
  <c r="G269" i="6"/>
  <c r="E270" i="6"/>
  <c r="F270" i="6"/>
  <c r="G270" i="6"/>
  <c r="H270" i="6"/>
  <c r="I270" i="6"/>
  <c r="J270" i="6"/>
  <c r="K270" i="6"/>
  <c r="L270" i="6"/>
  <c r="M270" i="6"/>
  <c r="N270" i="6"/>
  <c r="O270" i="6"/>
  <c r="E274" i="6"/>
  <c r="F274" i="6"/>
  <c r="G274" i="6"/>
  <c r="H274" i="6"/>
  <c r="I274" i="6"/>
  <c r="J274" i="6"/>
  <c r="K274" i="6"/>
  <c r="L274" i="6"/>
  <c r="M274" i="6"/>
  <c r="N274" i="6"/>
  <c r="O274" i="6"/>
  <c r="F275" i="6"/>
  <c r="G275" i="6"/>
  <c r="E276" i="6"/>
  <c r="F276" i="6"/>
  <c r="G276" i="6"/>
  <c r="H276" i="6"/>
  <c r="I276" i="6"/>
  <c r="J276" i="6"/>
  <c r="K276" i="6"/>
  <c r="L276" i="6"/>
  <c r="M276" i="6"/>
  <c r="N276" i="6"/>
  <c r="O276" i="6"/>
  <c r="F278" i="6"/>
  <c r="G278" i="6"/>
  <c r="E282" i="6"/>
  <c r="F282" i="6"/>
  <c r="G282" i="6"/>
  <c r="H282" i="6"/>
  <c r="I282" i="6"/>
  <c r="J282" i="6"/>
  <c r="K282" i="6"/>
  <c r="L282" i="6"/>
  <c r="M282" i="6"/>
  <c r="N282" i="6"/>
  <c r="O282" i="6"/>
  <c r="E283" i="6"/>
  <c r="F283" i="6"/>
  <c r="G283" i="6"/>
  <c r="H283" i="6"/>
  <c r="I283" i="6"/>
  <c r="J283" i="6"/>
  <c r="K283" i="6"/>
  <c r="L283" i="6"/>
  <c r="M283" i="6"/>
  <c r="N283" i="6"/>
  <c r="O283" i="6"/>
  <c r="F284" i="6"/>
  <c r="G284" i="6"/>
  <c r="E285" i="6"/>
  <c r="F285" i="6"/>
  <c r="G285" i="6"/>
  <c r="H285" i="6"/>
  <c r="I285" i="6"/>
  <c r="J285" i="6"/>
  <c r="K285" i="6"/>
  <c r="L285" i="6"/>
  <c r="M285" i="6"/>
  <c r="N285" i="6"/>
  <c r="O285" i="6"/>
  <c r="H288" i="6"/>
  <c r="I288" i="6"/>
  <c r="J288" i="6"/>
  <c r="K288" i="6"/>
  <c r="L288" i="6"/>
  <c r="M288" i="6"/>
  <c r="N288" i="6"/>
  <c r="O288" i="6"/>
  <c r="H289" i="6"/>
  <c r="I289" i="6"/>
  <c r="J289" i="6"/>
  <c r="K289" i="6"/>
  <c r="L289" i="6"/>
  <c r="M289" i="6"/>
  <c r="N289" i="6"/>
  <c r="O289" i="6"/>
  <c r="E290" i="6"/>
  <c r="F290" i="6"/>
  <c r="G290" i="6"/>
  <c r="H290" i="6"/>
  <c r="I290" i="6"/>
  <c r="J290" i="6"/>
  <c r="K290" i="6"/>
  <c r="L290" i="6"/>
  <c r="M290" i="6"/>
  <c r="N290" i="6"/>
  <c r="O290" i="6"/>
  <c r="E292" i="6"/>
  <c r="F292" i="6"/>
  <c r="G292" i="6"/>
  <c r="H292" i="6"/>
  <c r="I292" i="6"/>
  <c r="J292" i="6"/>
  <c r="K292" i="6"/>
  <c r="L292" i="6"/>
  <c r="M292" i="6"/>
  <c r="N292" i="6"/>
  <c r="O292" i="6"/>
  <c r="E293" i="6"/>
  <c r="F293" i="6"/>
  <c r="G293" i="6"/>
  <c r="H293" i="6"/>
  <c r="I293" i="6"/>
  <c r="J293" i="6"/>
  <c r="K293" i="6"/>
  <c r="L293" i="6"/>
  <c r="M293" i="6"/>
  <c r="N293" i="6"/>
  <c r="O293" i="6"/>
  <c r="E294" i="6"/>
  <c r="F294" i="6"/>
  <c r="G294" i="6"/>
  <c r="H294" i="6"/>
  <c r="I294" i="6"/>
  <c r="J294" i="6"/>
  <c r="K294" i="6"/>
  <c r="L294" i="6"/>
  <c r="M294" i="6"/>
  <c r="N294" i="6"/>
  <c r="O294" i="6"/>
  <c r="F295" i="6"/>
  <c r="G295" i="6"/>
  <c r="F296" i="6"/>
  <c r="G296" i="6"/>
  <c r="F297" i="6"/>
  <c r="G297" i="6"/>
  <c r="F300" i="6"/>
  <c r="G300" i="6"/>
  <c r="F301" i="6"/>
  <c r="G301" i="6"/>
  <c r="F302" i="6"/>
  <c r="G302" i="6"/>
  <c r="F304" i="6"/>
  <c r="G304" i="6"/>
  <c r="H304" i="6"/>
  <c r="I304" i="6"/>
  <c r="J304" i="6"/>
  <c r="K304" i="6"/>
  <c r="L304" i="6"/>
  <c r="M304" i="6"/>
  <c r="N304" i="6"/>
  <c r="O304" i="6"/>
  <c r="F305" i="6"/>
  <c r="G305" i="6"/>
  <c r="H305" i="6"/>
  <c r="I305" i="6"/>
  <c r="J305" i="6"/>
  <c r="K305" i="6"/>
  <c r="L305" i="6"/>
  <c r="M305" i="6"/>
  <c r="N305" i="6"/>
  <c r="O305" i="6"/>
  <c r="E311" i="6"/>
  <c r="F311" i="6"/>
  <c r="G311" i="6"/>
  <c r="H311" i="6"/>
  <c r="I311" i="6"/>
  <c r="J311" i="6"/>
  <c r="K311" i="6"/>
  <c r="L311" i="6"/>
  <c r="M311" i="6"/>
  <c r="N311" i="6"/>
  <c r="O311" i="6"/>
  <c r="E312" i="6"/>
  <c r="F312" i="6"/>
  <c r="I312" i="6"/>
  <c r="J312" i="6"/>
  <c r="K312" i="6"/>
  <c r="L312" i="6"/>
  <c r="M312" i="6"/>
  <c r="N312" i="6"/>
  <c r="O312" i="6"/>
  <c r="H314" i="6"/>
  <c r="I314" i="6"/>
  <c r="J314" i="6"/>
  <c r="K314" i="6"/>
  <c r="L314" i="6"/>
  <c r="M314" i="6"/>
  <c r="N314" i="6"/>
  <c r="O314" i="6"/>
  <c r="H315" i="6"/>
  <c r="I315" i="6"/>
  <c r="J315" i="6"/>
  <c r="K315" i="6"/>
  <c r="L315" i="6"/>
  <c r="M315" i="6"/>
  <c r="N315" i="6"/>
  <c r="O315" i="6"/>
  <c r="H316" i="6"/>
  <c r="I316" i="6"/>
  <c r="J316" i="6"/>
  <c r="K316" i="6"/>
  <c r="L316" i="6"/>
  <c r="M316" i="6"/>
  <c r="N316" i="6"/>
  <c r="O316" i="6"/>
  <c r="H317" i="6"/>
  <c r="I317" i="6"/>
  <c r="J317" i="6"/>
  <c r="K317" i="6"/>
  <c r="L317" i="6"/>
  <c r="M317" i="6"/>
  <c r="N317" i="6"/>
  <c r="O317" i="6"/>
  <c r="H318" i="6"/>
  <c r="I318" i="6"/>
  <c r="J318" i="6"/>
  <c r="K318" i="6"/>
  <c r="L318" i="6"/>
  <c r="M318" i="6"/>
  <c r="N318" i="6"/>
  <c r="O318" i="6"/>
  <c r="H319" i="6"/>
  <c r="I319" i="6"/>
  <c r="J319" i="6"/>
  <c r="K319" i="6"/>
  <c r="L319" i="6"/>
  <c r="M319" i="6"/>
  <c r="N319" i="6"/>
  <c r="O319" i="6"/>
  <c r="H320" i="6"/>
  <c r="I320" i="6"/>
  <c r="J320" i="6"/>
  <c r="K320" i="6"/>
  <c r="L320" i="6"/>
  <c r="M320" i="6"/>
  <c r="N320" i="6"/>
  <c r="O320" i="6"/>
  <c r="H322" i="6"/>
  <c r="I322" i="6"/>
  <c r="J322" i="6"/>
  <c r="K322" i="6"/>
  <c r="L322" i="6"/>
  <c r="M322" i="6"/>
  <c r="N322" i="6"/>
  <c r="O322" i="6"/>
  <c r="H323" i="6"/>
  <c r="I323" i="6"/>
  <c r="J323" i="6"/>
  <c r="K323" i="6"/>
  <c r="L323" i="6"/>
  <c r="M323" i="6"/>
  <c r="N323" i="6"/>
  <c r="O323" i="6"/>
  <c r="E324" i="6"/>
  <c r="F324" i="6"/>
  <c r="G324" i="6"/>
  <c r="H324" i="6"/>
  <c r="I324" i="6"/>
  <c r="J324" i="6"/>
  <c r="K324" i="6"/>
  <c r="L324" i="6"/>
  <c r="M324" i="6"/>
  <c r="N324" i="6"/>
  <c r="O324" i="6"/>
  <c r="F326" i="6"/>
  <c r="G326" i="6"/>
  <c r="H329" i="6"/>
  <c r="I329" i="6"/>
  <c r="J329" i="6"/>
  <c r="K329" i="6"/>
  <c r="L329" i="6"/>
  <c r="M329" i="6"/>
  <c r="N329" i="6"/>
  <c r="O329" i="6"/>
  <c r="E330" i="6"/>
  <c r="F330" i="6"/>
  <c r="G330" i="6"/>
  <c r="H330" i="6"/>
  <c r="I330" i="6"/>
  <c r="J330" i="6"/>
  <c r="K330" i="6"/>
  <c r="L330" i="6"/>
  <c r="M330" i="6"/>
  <c r="N330" i="6"/>
  <c r="O330" i="6"/>
  <c r="E331" i="6"/>
  <c r="F331" i="6"/>
  <c r="G331" i="6"/>
  <c r="H331" i="6"/>
  <c r="I331" i="6"/>
  <c r="J331" i="6"/>
  <c r="K331" i="6"/>
  <c r="L331" i="6"/>
  <c r="M331" i="6"/>
  <c r="N331" i="6"/>
  <c r="O331" i="6"/>
  <c r="F332" i="6"/>
  <c r="G332" i="6"/>
  <c r="E333" i="6"/>
  <c r="F333" i="6"/>
  <c r="G333" i="6"/>
  <c r="H333" i="6"/>
  <c r="I333" i="6"/>
  <c r="J333" i="6"/>
  <c r="K333" i="6"/>
  <c r="L333" i="6"/>
  <c r="M333" i="6"/>
  <c r="N333" i="6"/>
  <c r="O333" i="6"/>
  <c r="H336" i="6"/>
  <c r="I336" i="6"/>
  <c r="J336" i="6"/>
  <c r="K336" i="6"/>
  <c r="L336" i="6"/>
  <c r="M336" i="6"/>
  <c r="N336" i="6"/>
  <c r="O336" i="6"/>
  <c r="H337" i="6"/>
  <c r="I337" i="6"/>
  <c r="J337" i="6"/>
  <c r="K337" i="6"/>
  <c r="L337" i="6"/>
  <c r="M337" i="6"/>
  <c r="N337" i="6"/>
  <c r="O337" i="6"/>
  <c r="E338" i="6"/>
  <c r="F338" i="6"/>
  <c r="G338" i="6"/>
  <c r="H338" i="6"/>
  <c r="I338" i="6"/>
  <c r="J338" i="6"/>
  <c r="K338" i="6"/>
  <c r="L338" i="6"/>
  <c r="M338" i="6"/>
  <c r="N338" i="6"/>
  <c r="O338" i="6"/>
  <c r="E340" i="6"/>
  <c r="F340" i="6"/>
  <c r="G340" i="6"/>
  <c r="H340" i="6"/>
  <c r="I340" i="6"/>
  <c r="J340" i="6"/>
  <c r="K340" i="6"/>
  <c r="L340" i="6"/>
  <c r="M340" i="6"/>
  <c r="N340" i="6"/>
  <c r="O340" i="6"/>
  <c r="E341" i="6"/>
  <c r="F341" i="6"/>
  <c r="G341" i="6"/>
  <c r="H341" i="6"/>
  <c r="I341" i="6"/>
  <c r="J341" i="6"/>
  <c r="K341" i="6"/>
  <c r="L341" i="6"/>
  <c r="M341" i="6"/>
  <c r="N341" i="6"/>
  <c r="O341" i="6"/>
  <c r="E342" i="6"/>
  <c r="F342" i="6"/>
  <c r="G342" i="6"/>
  <c r="H342" i="6"/>
  <c r="I342" i="6"/>
  <c r="J342" i="6"/>
  <c r="K342" i="6"/>
  <c r="L342" i="6"/>
  <c r="M342" i="6"/>
  <c r="N342" i="6"/>
  <c r="O342" i="6"/>
  <c r="F343" i="6"/>
  <c r="G343" i="6"/>
  <c r="F344" i="6"/>
  <c r="G344" i="6"/>
  <c r="F345" i="6"/>
  <c r="G345" i="6"/>
  <c r="F348" i="6"/>
  <c r="G348" i="6"/>
  <c r="F349" i="6"/>
  <c r="G349" i="6"/>
  <c r="F350" i="6"/>
  <c r="G350" i="6"/>
  <c r="E354" i="6"/>
  <c r="F354" i="6"/>
  <c r="G354" i="6"/>
  <c r="H354" i="6"/>
  <c r="I354" i="6"/>
  <c r="J354" i="6"/>
  <c r="K354" i="6"/>
  <c r="L354" i="6"/>
  <c r="M354" i="6"/>
  <c r="N354" i="6"/>
  <c r="O354" i="6"/>
  <c r="F355" i="6"/>
  <c r="G355" i="6"/>
  <c r="E356" i="6"/>
  <c r="F356" i="6"/>
  <c r="G356" i="6"/>
  <c r="H356" i="6"/>
  <c r="I356" i="6"/>
  <c r="J356" i="6"/>
  <c r="K356" i="6"/>
  <c r="L356" i="6"/>
  <c r="M356" i="6"/>
  <c r="N356" i="6"/>
  <c r="O356" i="6"/>
  <c r="F358" i="6"/>
  <c r="G358" i="6"/>
  <c r="H358" i="6"/>
  <c r="I358" i="6"/>
  <c r="J358" i="6"/>
  <c r="K358" i="6"/>
  <c r="L358" i="6"/>
  <c r="M358" i="6"/>
  <c r="N358" i="6"/>
  <c r="O358" i="6"/>
  <c r="F359" i="6"/>
  <c r="G359" i="6"/>
  <c r="H359" i="6"/>
  <c r="I359" i="6"/>
  <c r="J359" i="6"/>
  <c r="K359" i="6"/>
  <c r="L359" i="6"/>
  <c r="M359" i="6"/>
  <c r="N359" i="6"/>
  <c r="O359" i="6"/>
  <c r="E365" i="6"/>
  <c r="F365" i="6"/>
  <c r="G365" i="6"/>
  <c r="H365" i="6"/>
  <c r="I365" i="6"/>
  <c r="J365" i="6"/>
  <c r="K365" i="6"/>
  <c r="L365" i="6"/>
  <c r="M365" i="6"/>
  <c r="N365" i="6"/>
  <c r="O365" i="6"/>
  <c r="E366" i="6"/>
  <c r="F366" i="6"/>
  <c r="I366" i="6"/>
  <c r="J366" i="6"/>
  <c r="K366" i="6"/>
  <c r="L366" i="6"/>
  <c r="M366" i="6"/>
  <c r="N366" i="6"/>
  <c r="O366" i="6"/>
  <c r="H368" i="6"/>
  <c r="I368" i="6"/>
  <c r="J368" i="6"/>
  <c r="K368" i="6"/>
  <c r="L368" i="6"/>
  <c r="M368" i="6"/>
  <c r="N368" i="6"/>
  <c r="O368" i="6"/>
  <c r="H369" i="6"/>
  <c r="I369" i="6"/>
  <c r="J369" i="6"/>
  <c r="K369" i="6"/>
  <c r="L369" i="6"/>
  <c r="M369" i="6"/>
  <c r="N369" i="6"/>
  <c r="O369" i="6"/>
  <c r="H370" i="6"/>
  <c r="I370" i="6"/>
  <c r="J370" i="6"/>
  <c r="K370" i="6"/>
  <c r="L370" i="6"/>
  <c r="M370" i="6"/>
  <c r="N370" i="6"/>
  <c r="O370" i="6"/>
  <c r="H371" i="6"/>
  <c r="I371" i="6"/>
  <c r="J371" i="6"/>
  <c r="K371" i="6"/>
  <c r="L371" i="6"/>
  <c r="M371" i="6"/>
  <c r="N371" i="6"/>
  <c r="O371" i="6"/>
  <c r="H372" i="6"/>
  <c r="I372" i="6"/>
  <c r="J372" i="6"/>
  <c r="K372" i="6"/>
  <c r="L372" i="6"/>
  <c r="M372" i="6"/>
  <c r="N372" i="6"/>
  <c r="O372" i="6"/>
  <c r="H373" i="6"/>
  <c r="I373" i="6"/>
  <c r="J373" i="6"/>
  <c r="K373" i="6"/>
  <c r="L373" i="6"/>
  <c r="M373" i="6"/>
  <c r="N373" i="6"/>
  <c r="O373" i="6"/>
  <c r="H374" i="6"/>
  <c r="I374" i="6"/>
  <c r="J374" i="6"/>
  <c r="K374" i="6"/>
  <c r="L374" i="6"/>
  <c r="M374" i="6"/>
  <c r="N374" i="6"/>
  <c r="O374" i="6"/>
  <c r="H376" i="6"/>
  <c r="I376" i="6"/>
  <c r="J376" i="6"/>
  <c r="K376" i="6"/>
  <c r="L376" i="6"/>
  <c r="M376" i="6"/>
  <c r="N376" i="6"/>
  <c r="O376" i="6"/>
  <c r="H377" i="6"/>
  <c r="I377" i="6"/>
  <c r="J377" i="6"/>
  <c r="K377" i="6"/>
  <c r="L377" i="6"/>
  <c r="M377" i="6"/>
  <c r="N377" i="6"/>
  <c r="O377" i="6"/>
  <c r="E378" i="6"/>
  <c r="F378" i="6"/>
  <c r="G378" i="6"/>
  <c r="H378" i="6"/>
  <c r="I378" i="6"/>
  <c r="J378" i="6"/>
  <c r="K378" i="6"/>
  <c r="L378" i="6"/>
  <c r="M378" i="6"/>
  <c r="N378" i="6"/>
  <c r="O378" i="6"/>
  <c r="F380" i="6"/>
  <c r="G380" i="6"/>
  <c r="H383" i="6"/>
  <c r="I383" i="6"/>
  <c r="J383" i="6"/>
  <c r="K383" i="6"/>
  <c r="L383" i="6"/>
  <c r="M383" i="6"/>
  <c r="N383" i="6"/>
  <c r="O383" i="6"/>
  <c r="E384" i="6"/>
  <c r="F384" i="6"/>
  <c r="G384" i="6"/>
  <c r="H384" i="6"/>
  <c r="I384" i="6"/>
  <c r="J384" i="6"/>
  <c r="K384" i="6"/>
  <c r="L384" i="6"/>
  <c r="M384" i="6"/>
  <c r="N384" i="6"/>
  <c r="O384" i="6"/>
  <c r="E385" i="6"/>
  <c r="F385" i="6"/>
  <c r="G385" i="6"/>
  <c r="H385" i="6"/>
  <c r="I385" i="6"/>
  <c r="J385" i="6"/>
  <c r="K385" i="6"/>
  <c r="L385" i="6"/>
  <c r="M385" i="6"/>
  <c r="N385" i="6"/>
  <c r="O385" i="6"/>
  <c r="F386" i="6"/>
  <c r="G386" i="6"/>
  <c r="E387" i="6"/>
  <c r="F387" i="6"/>
  <c r="G387" i="6"/>
  <c r="H387" i="6"/>
  <c r="I387" i="6"/>
  <c r="J387" i="6"/>
  <c r="K387" i="6"/>
  <c r="L387" i="6"/>
  <c r="M387" i="6"/>
  <c r="N387" i="6"/>
  <c r="O387" i="6"/>
  <c r="H390" i="6"/>
  <c r="I390" i="6"/>
  <c r="J390" i="6"/>
  <c r="K390" i="6"/>
  <c r="L390" i="6"/>
  <c r="M390" i="6"/>
  <c r="N390" i="6"/>
  <c r="O390" i="6"/>
  <c r="H391" i="6"/>
  <c r="I391" i="6"/>
  <c r="J391" i="6"/>
  <c r="K391" i="6"/>
  <c r="L391" i="6"/>
  <c r="M391" i="6"/>
  <c r="N391" i="6"/>
  <c r="O391" i="6"/>
  <c r="E392" i="6"/>
  <c r="F392" i="6"/>
  <c r="G392" i="6"/>
  <c r="H392" i="6"/>
  <c r="I392" i="6"/>
  <c r="J392" i="6"/>
  <c r="K392" i="6"/>
  <c r="L392" i="6"/>
  <c r="M392" i="6"/>
  <c r="N392" i="6"/>
  <c r="O392" i="6"/>
  <c r="E394" i="6"/>
  <c r="F394" i="6"/>
  <c r="G394" i="6"/>
  <c r="H394" i="6"/>
  <c r="I394" i="6"/>
  <c r="J394" i="6"/>
  <c r="K394" i="6"/>
  <c r="L394" i="6"/>
  <c r="M394" i="6"/>
  <c r="N394" i="6"/>
  <c r="O394" i="6"/>
  <c r="E395" i="6"/>
  <c r="F395" i="6"/>
  <c r="G395" i="6"/>
  <c r="H395" i="6"/>
  <c r="I395" i="6"/>
  <c r="J395" i="6"/>
  <c r="K395" i="6"/>
  <c r="L395" i="6"/>
  <c r="M395" i="6"/>
  <c r="N395" i="6"/>
  <c r="O395" i="6"/>
  <c r="E396" i="6"/>
  <c r="F396" i="6"/>
  <c r="G396" i="6"/>
  <c r="H396" i="6"/>
  <c r="I396" i="6"/>
  <c r="J396" i="6"/>
  <c r="K396" i="6"/>
  <c r="L396" i="6"/>
  <c r="M396" i="6"/>
  <c r="N396" i="6"/>
  <c r="O396" i="6"/>
  <c r="F397" i="6"/>
  <c r="G397" i="6"/>
  <c r="F398" i="6"/>
  <c r="G398" i="6"/>
  <c r="F399" i="6"/>
  <c r="G399" i="6"/>
  <c r="F402" i="6"/>
  <c r="G402" i="6"/>
  <c r="F403" i="6"/>
  <c r="G403" i="6"/>
  <c r="F404" i="6"/>
  <c r="G404" i="6"/>
  <c r="E408" i="6"/>
  <c r="F408" i="6"/>
  <c r="G408" i="6"/>
  <c r="H408" i="6"/>
  <c r="I408" i="6"/>
  <c r="J408" i="6"/>
  <c r="K408" i="6"/>
  <c r="L408" i="6"/>
  <c r="M408" i="6"/>
  <c r="N408" i="6"/>
  <c r="O408" i="6"/>
  <c r="F409" i="6"/>
  <c r="G409" i="6"/>
  <c r="E410" i="6"/>
  <c r="F410" i="6"/>
  <c r="G410" i="6"/>
  <c r="H410" i="6"/>
  <c r="I410" i="6"/>
  <c r="J410" i="6"/>
  <c r="K410" i="6"/>
  <c r="L410" i="6"/>
  <c r="M410" i="6"/>
  <c r="N410" i="6"/>
  <c r="O410" i="6"/>
  <c r="F412" i="6"/>
  <c r="G412" i="6"/>
  <c r="H412" i="6"/>
  <c r="I412" i="6"/>
  <c r="J412" i="6"/>
  <c r="K412" i="6"/>
  <c r="L412" i="6"/>
  <c r="M412" i="6"/>
  <c r="N412" i="6"/>
  <c r="O412" i="6"/>
  <c r="F413" i="6"/>
  <c r="G413" i="6"/>
  <c r="H413" i="6"/>
  <c r="I413" i="6"/>
  <c r="J413" i="6"/>
  <c r="K413" i="6"/>
  <c r="L413" i="6"/>
  <c r="M413" i="6"/>
  <c r="N413" i="6"/>
  <c r="O413" i="6"/>
  <c r="E419" i="6"/>
  <c r="F419" i="6"/>
  <c r="G419" i="6"/>
  <c r="H419" i="6"/>
  <c r="I419" i="6"/>
  <c r="J419" i="6"/>
  <c r="K419" i="6"/>
  <c r="L419" i="6"/>
  <c r="M419" i="6"/>
  <c r="N419" i="6"/>
  <c r="O419" i="6"/>
  <c r="E420" i="6"/>
  <c r="F420" i="6"/>
  <c r="I420" i="6"/>
  <c r="J420" i="6"/>
  <c r="K420" i="6"/>
  <c r="L420" i="6"/>
  <c r="M420" i="6"/>
  <c r="N420" i="6"/>
  <c r="O420" i="6"/>
  <c r="H422" i="6"/>
  <c r="I422" i="6"/>
  <c r="J422" i="6"/>
  <c r="K422" i="6"/>
  <c r="L422" i="6"/>
  <c r="M422" i="6"/>
  <c r="N422" i="6"/>
  <c r="O422" i="6"/>
  <c r="H423" i="6"/>
  <c r="I423" i="6"/>
  <c r="J423" i="6"/>
  <c r="K423" i="6"/>
  <c r="L423" i="6"/>
  <c r="M423" i="6"/>
  <c r="N423" i="6"/>
  <c r="O423" i="6"/>
  <c r="H424" i="6"/>
  <c r="I424" i="6"/>
  <c r="J424" i="6"/>
  <c r="K424" i="6"/>
  <c r="L424" i="6"/>
  <c r="M424" i="6"/>
  <c r="N424" i="6"/>
  <c r="O424" i="6"/>
  <c r="H425" i="6"/>
  <c r="I425" i="6"/>
  <c r="J425" i="6"/>
  <c r="K425" i="6"/>
  <c r="L425" i="6"/>
  <c r="M425" i="6"/>
  <c r="N425" i="6"/>
  <c r="O425" i="6"/>
  <c r="H426" i="6"/>
  <c r="I426" i="6"/>
  <c r="J426" i="6"/>
  <c r="K426" i="6"/>
  <c r="L426" i="6"/>
  <c r="M426" i="6"/>
  <c r="N426" i="6"/>
  <c r="O426" i="6"/>
  <c r="H427" i="6"/>
  <c r="I427" i="6"/>
  <c r="J427" i="6"/>
  <c r="K427" i="6"/>
  <c r="L427" i="6"/>
  <c r="M427" i="6"/>
  <c r="N427" i="6"/>
  <c r="O427" i="6"/>
  <c r="H428" i="6"/>
  <c r="I428" i="6"/>
  <c r="J428" i="6"/>
  <c r="K428" i="6"/>
  <c r="L428" i="6"/>
  <c r="M428" i="6"/>
  <c r="N428" i="6"/>
  <c r="O428" i="6"/>
  <c r="H430" i="6"/>
  <c r="I430" i="6"/>
  <c r="J430" i="6"/>
  <c r="K430" i="6"/>
  <c r="L430" i="6"/>
  <c r="M430" i="6"/>
  <c r="N430" i="6"/>
  <c r="O430" i="6"/>
  <c r="H431" i="6"/>
  <c r="I431" i="6"/>
  <c r="J431" i="6"/>
  <c r="K431" i="6"/>
  <c r="L431" i="6"/>
  <c r="M431" i="6"/>
  <c r="N431" i="6"/>
  <c r="O431" i="6"/>
  <c r="E432" i="6"/>
  <c r="F432" i="6"/>
  <c r="G432" i="6"/>
  <c r="H432" i="6"/>
  <c r="I432" i="6"/>
  <c r="J432" i="6"/>
  <c r="K432" i="6"/>
  <c r="L432" i="6"/>
  <c r="M432" i="6"/>
  <c r="N432" i="6"/>
  <c r="O432" i="6"/>
  <c r="F434" i="6"/>
  <c r="G434" i="6"/>
  <c r="H437" i="6"/>
  <c r="I437" i="6"/>
  <c r="J437" i="6"/>
  <c r="K437" i="6"/>
  <c r="L437" i="6"/>
  <c r="M437" i="6"/>
  <c r="N437" i="6"/>
  <c r="O437" i="6"/>
  <c r="E438" i="6"/>
  <c r="F438" i="6"/>
  <c r="G438" i="6"/>
  <c r="H438" i="6"/>
  <c r="I438" i="6"/>
  <c r="J438" i="6"/>
  <c r="K438" i="6"/>
  <c r="L438" i="6"/>
  <c r="M438" i="6"/>
  <c r="N438" i="6"/>
  <c r="O438" i="6"/>
  <c r="E439" i="6"/>
  <c r="F439" i="6"/>
  <c r="G439" i="6"/>
  <c r="H439" i="6"/>
  <c r="I439" i="6"/>
  <c r="J439" i="6"/>
  <c r="K439" i="6"/>
  <c r="L439" i="6"/>
  <c r="M439" i="6"/>
  <c r="N439" i="6"/>
  <c r="O439" i="6"/>
  <c r="F440" i="6"/>
  <c r="G440" i="6"/>
  <c r="E441" i="6"/>
  <c r="F441" i="6"/>
  <c r="G441" i="6"/>
  <c r="H441" i="6"/>
  <c r="I441" i="6"/>
  <c r="J441" i="6"/>
  <c r="K441" i="6"/>
  <c r="L441" i="6"/>
  <c r="M441" i="6"/>
  <c r="N441" i="6"/>
  <c r="O441" i="6"/>
  <c r="H444" i="6"/>
  <c r="I444" i="6"/>
  <c r="J444" i="6"/>
  <c r="K444" i="6"/>
  <c r="L444" i="6"/>
  <c r="M444" i="6"/>
  <c r="N444" i="6"/>
  <c r="O444" i="6"/>
  <c r="H445" i="6"/>
  <c r="I445" i="6"/>
  <c r="J445" i="6"/>
  <c r="K445" i="6"/>
  <c r="L445" i="6"/>
  <c r="M445" i="6"/>
  <c r="N445" i="6"/>
  <c r="O445" i="6"/>
  <c r="E446" i="6"/>
  <c r="F446" i="6"/>
  <c r="G446" i="6"/>
  <c r="H446" i="6"/>
  <c r="I446" i="6"/>
  <c r="J446" i="6"/>
  <c r="K446" i="6"/>
  <c r="L446" i="6"/>
  <c r="M446" i="6"/>
  <c r="N446" i="6"/>
  <c r="O446" i="6"/>
  <c r="E448" i="6"/>
  <c r="F448" i="6"/>
  <c r="G448" i="6"/>
  <c r="H448" i="6"/>
  <c r="I448" i="6"/>
  <c r="J448" i="6"/>
  <c r="K448" i="6"/>
  <c r="L448" i="6"/>
  <c r="M448" i="6"/>
  <c r="N448" i="6"/>
  <c r="O448" i="6"/>
  <c r="E449" i="6"/>
  <c r="F449" i="6"/>
  <c r="G449" i="6"/>
  <c r="H449" i="6"/>
  <c r="I449" i="6"/>
  <c r="J449" i="6"/>
  <c r="K449" i="6"/>
  <c r="L449" i="6"/>
  <c r="M449" i="6"/>
  <c r="N449" i="6"/>
  <c r="O449" i="6"/>
  <c r="E450" i="6"/>
  <c r="F450" i="6"/>
  <c r="G450" i="6"/>
  <c r="H450" i="6"/>
  <c r="I450" i="6"/>
  <c r="J450" i="6"/>
  <c r="K450" i="6"/>
  <c r="L450" i="6"/>
  <c r="M450" i="6"/>
  <c r="N450" i="6"/>
  <c r="O450" i="6"/>
  <c r="F451" i="6"/>
  <c r="G451" i="6"/>
  <c r="F452" i="6"/>
  <c r="G452" i="6"/>
  <c r="F453" i="6"/>
  <c r="G453" i="6"/>
  <c r="F456" i="6"/>
  <c r="G456" i="6"/>
  <c r="F457" i="6"/>
  <c r="G457" i="6"/>
  <c r="F458" i="6"/>
  <c r="G458" i="6"/>
  <c r="E462" i="6"/>
  <c r="F462" i="6"/>
  <c r="G462" i="6"/>
  <c r="H462" i="6"/>
  <c r="I462" i="6"/>
  <c r="J462" i="6"/>
  <c r="K462" i="6"/>
  <c r="L462" i="6"/>
  <c r="M462" i="6"/>
  <c r="N462" i="6"/>
  <c r="O462" i="6"/>
  <c r="F463" i="6"/>
  <c r="G463" i="6"/>
  <c r="E464" i="6"/>
  <c r="F464" i="6"/>
  <c r="G464" i="6"/>
  <c r="H464" i="6"/>
  <c r="I464" i="6"/>
  <c r="J464" i="6"/>
  <c r="K464" i="6"/>
  <c r="L464" i="6"/>
  <c r="M464" i="6"/>
  <c r="N464" i="6"/>
  <c r="O464" i="6"/>
  <c r="F466" i="6"/>
  <c r="G466" i="6"/>
  <c r="H466" i="6"/>
  <c r="I466" i="6"/>
  <c r="J466" i="6"/>
  <c r="K466" i="6"/>
  <c r="L466" i="6"/>
  <c r="M466" i="6"/>
  <c r="N466" i="6"/>
  <c r="O466" i="6"/>
  <c r="F467" i="6"/>
  <c r="G467" i="6"/>
  <c r="H467" i="6"/>
  <c r="I467" i="6"/>
  <c r="J467" i="6"/>
  <c r="K467" i="6"/>
  <c r="L467" i="6"/>
  <c r="M467" i="6"/>
  <c r="N467" i="6"/>
  <c r="O467" i="6"/>
  <c r="E473" i="6"/>
  <c r="F473" i="6"/>
  <c r="G473" i="6"/>
  <c r="H473" i="6"/>
  <c r="I473" i="6"/>
  <c r="J473" i="6"/>
  <c r="K473" i="6"/>
  <c r="L473" i="6"/>
  <c r="M473" i="6"/>
  <c r="N473" i="6"/>
  <c r="O473" i="6"/>
  <c r="E474" i="6"/>
  <c r="F474" i="6"/>
  <c r="I474" i="6"/>
  <c r="J474" i="6"/>
  <c r="K474" i="6"/>
  <c r="L474" i="6"/>
  <c r="M474" i="6"/>
  <c r="N474" i="6"/>
  <c r="O474" i="6"/>
  <c r="H476" i="6"/>
  <c r="I476" i="6"/>
  <c r="J476" i="6"/>
  <c r="K476" i="6"/>
  <c r="L476" i="6"/>
  <c r="M476" i="6"/>
  <c r="N476" i="6"/>
  <c r="O476" i="6"/>
  <c r="H477" i="6"/>
  <c r="I477" i="6"/>
  <c r="J477" i="6"/>
  <c r="K477" i="6"/>
  <c r="L477" i="6"/>
  <c r="M477" i="6"/>
  <c r="N477" i="6"/>
  <c r="O477" i="6"/>
  <c r="H478" i="6"/>
  <c r="I478" i="6"/>
  <c r="J478" i="6"/>
  <c r="K478" i="6"/>
  <c r="L478" i="6"/>
  <c r="M478" i="6"/>
  <c r="N478" i="6"/>
  <c r="O478" i="6"/>
  <c r="H479" i="6"/>
  <c r="I479" i="6"/>
  <c r="J479" i="6"/>
  <c r="K479" i="6"/>
  <c r="L479" i="6"/>
  <c r="M479" i="6"/>
  <c r="N479" i="6"/>
  <c r="O479" i="6"/>
  <c r="H480" i="6"/>
  <c r="I480" i="6"/>
  <c r="J480" i="6"/>
  <c r="K480" i="6"/>
  <c r="L480" i="6"/>
  <c r="M480" i="6"/>
  <c r="N480" i="6"/>
  <c r="O480" i="6"/>
  <c r="H481" i="6"/>
  <c r="I481" i="6"/>
  <c r="J481" i="6"/>
  <c r="K481" i="6"/>
  <c r="L481" i="6"/>
  <c r="M481" i="6"/>
  <c r="N481" i="6"/>
  <c r="O481" i="6"/>
  <c r="H482" i="6"/>
  <c r="I482" i="6"/>
  <c r="J482" i="6"/>
  <c r="K482" i="6"/>
  <c r="L482" i="6"/>
  <c r="M482" i="6"/>
  <c r="N482" i="6"/>
  <c r="O482" i="6"/>
  <c r="H484" i="6"/>
  <c r="I484" i="6"/>
  <c r="J484" i="6"/>
  <c r="K484" i="6"/>
  <c r="L484" i="6"/>
  <c r="M484" i="6"/>
  <c r="N484" i="6"/>
  <c r="O484" i="6"/>
  <c r="H485" i="6"/>
  <c r="I485" i="6"/>
  <c r="J485" i="6"/>
  <c r="K485" i="6"/>
  <c r="L485" i="6"/>
  <c r="M485" i="6"/>
  <c r="N485" i="6"/>
  <c r="O485" i="6"/>
  <c r="E486" i="6"/>
  <c r="F486" i="6"/>
  <c r="G486" i="6"/>
  <c r="H486" i="6"/>
  <c r="I486" i="6"/>
  <c r="J486" i="6"/>
  <c r="K486" i="6"/>
  <c r="L486" i="6"/>
  <c r="M486" i="6"/>
  <c r="N486" i="6"/>
  <c r="O486" i="6"/>
  <c r="F488" i="6"/>
  <c r="G488" i="6"/>
  <c r="H491" i="6"/>
  <c r="I491" i="6"/>
  <c r="J491" i="6"/>
  <c r="K491" i="6"/>
  <c r="L491" i="6"/>
  <c r="M491" i="6"/>
  <c r="N491" i="6"/>
  <c r="O491" i="6"/>
  <c r="E492" i="6"/>
  <c r="F492" i="6"/>
  <c r="G492" i="6"/>
  <c r="H492" i="6"/>
  <c r="I492" i="6"/>
  <c r="J492" i="6"/>
  <c r="K492" i="6"/>
  <c r="L492" i="6"/>
  <c r="M492" i="6"/>
  <c r="N492" i="6"/>
  <c r="O492" i="6"/>
  <c r="E493" i="6"/>
  <c r="F493" i="6"/>
  <c r="G493" i="6"/>
  <c r="H493" i="6"/>
  <c r="I493" i="6"/>
  <c r="J493" i="6"/>
  <c r="K493" i="6"/>
  <c r="L493" i="6"/>
  <c r="M493" i="6"/>
  <c r="N493" i="6"/>
  <c r="O493" i="6"/>
  <c r="F494" i="6"/>
  <c r="G494" i="6"/>
  <c r="E495" i="6"/>
  <c r="F495" i="6"/>
  <c r="G495" i="6"/>
  <c r="H495" i="6"/>
  <c r="I495" i="6"/>
  <c r="J495" i="6"/>
  <c r="K495" i="6"/>
  <c r="L495" i="6"/>
  <c r="M495" i="6"/>
  <c r="N495" i="6"/>
  <c r="O495" i="6"/>
  <c r="H498" i="6"/>
  <c r="I498" i="6"/>
  <c r="J498" i="6"/>
  <c r="K498" i="6"/>
  <c r="L498" i="6"/>
  <c r="M498" i="6"/>
  <c r="N498" i="6"/>
  <c r="O498" i="6"/>
  <c r="H499" i="6"/>
  <c r="I499" i="6"/>
  <c r="J499" i="6"/>
  <c r="K499" i="6"/>
  <c r="L499" i="6"/>
  <c r="M499" i="6"/>
  <c r="N499" i="6"/>
  <c r="O499" i="6"/>
  <c r="E500" i="6"/>
  <c r="F500" i="6"/>
  <c r="G500" i="6"/>
  <c r="H500" i="6"/>
  <c r="I500" i="6"/>
  <c r="J500" i="6"/>
  <c r="K500" i="6"/>
  <c r="L500" i="6"/>
  <c r="M500" i="6"/>
  <c r="N500" i="6"/>
  <c r="O500" i="6"/>
  <c r="E502" i="6"/>
  <c r="F502" i="6"/>
  <c r="G502" i="6"/>
  <c r="H502" i="6"/>
  <c r="I502" i="6"/>
  <c r="J502" i="6"/>
  <c r="K502" i="6"/>
  <c r="L502" i="6"/>
  <c r="M502" i="6"/>
  <c r="N502" i="6"/>
  <c r="O502" i="6"/>
  <c r="E503" i="6"/>
  <c r="F503" i="6"/>
  <c r="G503" i="6"/>
  <c r="H503" i="6"/>
  <c r="I503" i="6"/>
  <c r="J503" i="6"/>
  <c r="K503" i="6"/>
  <c r="L503" i="6"/>
  <c r="M503" i="6"/>
  <c r="N503" i="6"/>
  <c r="O503" i="6"/>
  <c r="E504" i="6"/>
  <c r="F504" i="6"/>
  <c r="G504" i="6"/>
  <c r="H504" i="6"/>
  <c r="I504" i="6"/>
  <c r="J504" i="6"/>
  <c r="K504" i="6"/>
  <c r="L504" i="6"/>
  <c r="M504" i="6"/>
  <c r="N504" i="6"/>
  <c r="O504" i="6"/>
  <c r="F505" i="6"/>
  <c r="G505" i="6"/>
  <c r="F506" i="6"/>
  <c r="G506" i="6"/>
  <c r="F507" i="6"/>
  <c r="G507" i="6"/>
  <c r="F510" i="6"/>
  <c r="G510" i="6"/>
  <c r="F511" i="6"/>
  <c r="G511" i="6"/>
  <c r="F512" i="6"/>
  <c r="G512" i="6"/>
  <c r="E516" i="6"/>
  <c r="F516" i="6"/>
  <c r="G516" i="6"/>
  <c r="H516" i="6"/>
  <c r="I516" i="6"/>
  <c r="J516" i="6"/>
  <c r="K516" i="6"/>
  <c r="L516" i="6"/>
  <c r="M516" i="6"/>
  <c r="N516" i="6"/>
  <c r="O516" i="6"/>
  <c r="F517" i="6"/>
  <c r="G517" i="6"/>
  <c r="E518" i="6"/>
  <c r="F518" i="6"/>
  <c r="G518" i="6"/>
  <c r="H518" i="6"/>
  <c r="I518" i="6"/>
  <c r="J518" i="6"/>
  <c r="K518" i="6"/>
  <c r="L518" i="6"/>
  <c r="M518" i="6"/>
  <c r="N518" i="6"/>
  <c r="O518" i="6"/>
  <c r="F520" i="6"/>
  <c r="G520" i="6"/>
  <c r="H520" i="6"/>
  <c r="I520" i="6"/>
  <c r="J520" i="6"/>
  <c r="K520" i="6"/>
  <c r="L520" i="6"/>
  <c r="M520" i="6"/>
  <c r="N520" i="6"/>
  <c r="O520" i="6"/>
  <c r="F521" i="6"/>
  <c r="G521" i="6"/>
  <c r="H521" i="6"/>
  <c r="I521" i="6"/>
  <c r="J521" i="6"/>
  <c r="K521" i="6"/>
  <c r="L521" i="6"/>
  <c r="M521" i="6"/>
  <c r="N521" i="6"/>
  <c r="O521" i="6"/>
  <c r="E529" i="6"/>
  <c r="F529" i="6"/>
  <c r="G529" i="6"/>
  <c r="E542" i="6"/>
  <c r="F542" i="6"/>
  <c r="G542" i="6"/>
  <c r="E544" i="6"/>
  <c r="F544" i="6"/>
  <c r="G544" i="6"/>
  <c r="E545" i="6"/>
  <c r="F545" i="6"/>
  <c r="G545" i="6"/>
  <c r="E546" i="6"/>
  <c r="F546" i="6"/>
  <c r="G546" i="6"/>
  <c r="E547" i="6"/>
  <c r="F547" i="6"/>
  <c r="G547" i="6"/>
  <c r="E548" i="6"/>
  <c r="F548" i="6"/>
  <c r="G548" i="6"/>
  <c r="E549" i="6"/>
  <c r="F549" i="6"/>
  <c r="G549" i="6"/>
  <c r="E550" i="6"/>
  <c r="F550" i="6"/>
  <c r="G550" i="6"/>
  <c r="E551" i="6"/>
  <c r="F551" i="6"/>
  <c r="G551" i="6"/>
  <c r="E552" i="6"/>
  <c r="F552" i="6"/>
  <c r="G552" i="6"/>
  <c r="E553" i="6"/>
  <c r="F553" i="6"/>
  <c r="G553" i="6"/>
  <c r="E554" i="6"/>
  <c r="F554" i="6"/>
  <c r="G554" i="6"/>
  <c r="E555" i="6"/>
  <c r="F555" i="6"/>
  <c r="G555" i="6"/>
  <c r="E556" i="6"/>
  <c r="F556" i="6"/>
  <c r="G556" i="6"/>
  <c r="E559" i="6"/>
  <c r="F559" i="6"/>
  <c r="G559" i="6"/>
  <c r="E560" i="6"/>
  <c r="F560" i="6"/>
  <c r="G560" i="6"/>
  <c r="E561" i="6"/>
  <c r="F561" i="6"/>
  <c r="G561" i="6"/>
  <c r="E562" i="6"/>
  <c r="F562" i="6"/>
  <c r="G562" i="6"/>
  <c r="E563" i="6"/>
  <c r="F563" i="6"/>
  <c r="G563" i="6"/>
  <c r="E564" i="6"/>
  <c r="F564" i="6"/>
  <c r="G564" i="6"/>
  <c r="E565" i="6"/>
  <c r="F565" i="6"/>
  <c r="G565" i="6"/>
  <c r="E566" i="6"/>
  <c r="F566" i="6"/>
  <c r="G566" i="6"/>
  <c r="E567" i="6"/>
  <c r="F567" i="6"/>
  <c r="G567" i="6"/>
  <c r="E568" i="6"/>
  <c r="F568" i="6"/>
  <c r="G568" i="6"/>
  <c r="E569" i="6"/>
  <c r="F569" i="6"/>
  <c r="G569" i="6"/>
  <c r="E570" i="6"/>
  <c r="F570" i="6"/>
  <c r="G570" i="6"/>
  <c r="C3" i="8"/>
  <c r="E3" i="8"/>
  <c r="F3" i="8"/>
  <c r="G3" i="8"/>
  <c r="H3" i="8"/>
  <c r="I3" i="8"/>
  <c r="J3" i="8"/>
  <c r="K3" i="8"/>
  <c r="L3" i="8"/>
  <c r="M3" i="8"/>
  <c r="N3" i="8"/>
  <c r="O3" i="8"/>
  <c r="E4" i="8"/>
  <c r="F4" i="8"/>
  <c r="I4" i="8"/>
  <c r="J4" i="8"/>
  <c r="K4" i="8"/>
  <c r="L4" i="8"/>
  <c r="M4" i="8"/>
  <c r="N4" i="8"/>
  <c r="O4" i="8"/>
  <c r="E11" i="8"/>
  <c r="F11" i="8"/>
  <c r="G11" i="8"/>
  <c r="H11" i="8"/>
  <c r="I11" i="8"/>
  <c r="J11" i="8"/>
  <c r="K11" i="8"/>
  <c r="L11" i="8"/>
  <c r="M11" i="8"/>
  <c r="N11" i="8"/>
  <c r="O11" i="8"/>
  <c r="E12" i="8"/>
  <c r="F12" i="8"/>
  <c r="I12" i="8"/>
  <c r="J12" i="8"/>
  <c r="K12" i="8"/>
  <c r="L12" i="8"/>
  <c r="M12" i="8"/>
  <c r="N12" i="8"/>
  <c r="O12" i="8"/>
  <c r="E38" i="8"/>
  <c r="F38" i="8"/>
  <c r="G38" i="8"/>
  <c r="H38" i="8"/>
  <c r="I38" i="8"/>
  <c r="J38" i="8"/>
  <c r="K38" i="8"/>
  <c r="L38" i="8"/>
  <c r="M38" i="8"/>
  <c r="N38" i="8"/>
  <c r="O38" i="8"/>
  <c r="E39" i="8"/>
  <c r="F39" i="8"/>
  <c r="I39" i="8"/>
  <c r="J39" i="8"/>
  <c r="K39" i="8"/>
  <c r="L39" i="8"/>
  <c r="M39" i="8"/>
  <c r="N39" i="8"/>
  <c r="O39" i="8"/>
  <c r="E41" i="8"/>
  <c r="F41" i="8"/>
  <c r="G41" i="8"/>
  <c r="H41" i="8"/>
  <c r="I41" i="8"/>
  <c r="J41" i="8"/>
  <c r="K41" i="8"/>
  <c r="L41" i="8"/>
  <c r="M41" i="8"/>
  <c r="N41" i="8"/>
  <c r="O41" i="8"/>
  <c r="E42" i="8"/>
  <c r="F42" i="8"/>
  <c r="G42" i="8"/>
  <c r="H42" i="8"/>
  <c r="I42" i="8"/>
  <c r="J42" i="8"/>
  <c r="K42" i="8"/>
  <c r="L42" i="8"/>
  <c r="M42" i="8"/>
  <c r="N42" i="8"/>
  <c r="O42" i="8"/>
  <c r="E43" i="8"/>
  <c r="F43" i="8"/>
  <c r="G43" i="8"/>
  <c r="H43" i="8"/>
  <c r="I43" i="8"/>
  <c r="J43" i="8"/>
  <c r="K43" i="8"/>
  <c r="L43" i="8"/>
  <c r="M43" i="8"/>
  <c r="N43" i="8"/>
  <c r="O43" i="8"/>
  <c r="E44" i="8"/>
  <c r="F44" i="8"/>
  <c r="G44" i="8"/>
  <c r="H44" i="8"/>
  <c r="I44" i="8"/>
  <c r="J44" i="8"/>
  <c r="K44" i="8"/>
  <c r="L44" i="8"/>
  <c r="M44" i="8"/>
  <c r="N44" i="8"/>
  <c r="O44" i="8"/>
  <c r="E45" i="8"/>
  <c r="F45" i="8"/>
  <c r="G45" i="8"/>
  <c r="H45" i="8"/>
  <c r="I45" i="8"/>
  <c r="J45" i="8"/>
  <c r="K45" i="8"/>
  <c r="L45" i="8"/>
  <c r="M45" i="8"/>
  <c r="N45" i="8"/>
  <c r="O45" i="8"/>
  <c r="E46" i="8"/>
  <c r="F46" i="8"/>
  <c r="G46" i="8"/>
  <c r="H46" i="8"/>
  <c r="I46" i="8"/>
  <c r="J46" i="8"/>
  <c r="K46" i="8"/>
  <c r="L46" i="8"/>
  <c r="M46" i="8"/>
  <c r="N46" i="8"/>
  <c r="O46" i="8"/>
  <c r="E47" i="8"/>
  <c r="F47" i="8"/>
  <c r="G47" i="8"/>
  <c r="O47" i="8"/>
  <c r="E48" i="8"/>
  <c r="F48" i="8"/>
  <c r="G48" i="8"/>
  <c r="J48" i="8"/>
  <c r="K48" i="8"/>
  <c r="L48" i="8"/>
  <c r="M48" i="8"/>
  <c r="N48" i="8"/>
  <c r="O48" i="8"/>
  <c r="E49" i="8"/>
  <c r="F49" i="8"/>
  <c r="G49" i="8"/>
  <c r="H49" i="8"/>
  <c r="I49" i="8"/>
  <c r="J49" i="8"/>
  <c r="K49" i="8"/>
  <c r="L49" i="8"/>
  <c r="M49" i="8"/>
  <c r="N49" i="8"/>
  <c r="O49" i="8"/>
  <c r="E50" i="8"/>
  <c r="F50" i="8"/>
  <c r="G50" i="8"/>
  <c r="H50" i="8"/>
  <c r="I50" i="8"/>
  <c r="J50" i="8"/>
  <c r="K50" i="8"/>
  <c r="L50" i="8"/>
  <c r="M50" i="8"/>
  <c r="N50" i="8"/>
  <c r="O50" i="8"/>
  <c r="E58" i="8"/>
  <c r="F58" i="8"/>
  <c r="G58" i="8"/>
  <c r="H58" i="8"/>
  <c r="I58" i="8"/>
  <c r="J58" i="8"/>
  <c r="K58" i="8"/>
  <c r="L58" i="8"/>
  <c r="M58" i="8"/>
  <c r="N58" i="8"/>
  <c r="O58" i="8"/>
  <c r="E59" i="8"/>
  <c r="F59" i="8"/>
  <c r="I59" i="8"/>
  <c r="J59" i="8"/>
  <c r="K59" i="8"/>
  <c r="L59" i="8"/>
  <c r="M59" i="8"/>
  <c r="N59" i="8"/>
  <c r="O59" i="8"/>
  <c r="E62" i="8"/>
  <c r="F62" i="8"/>
  <c r="G62" i="8"/>
  <c r="H62" i="8"/>
  <c r="I62" i="8"/>
  <c r="J62" i="8"/>
  <c r="K62" i="8"/>
  <c r="L62" i="8"/>
  <c r="M62" i="8"/>
  <c r="N62" i="8"/>
  <c r="O62" i="8"/>
  <c r="E63" i="8"/>
  <c r="F63" i="8"/>
  <c r="G63" i="8"/>
  <c r="H63" i="8"/>
  <c r="I63" i="8"/>
  <c r="J63" i="8"/>
  <c r="K63" i="8"/>
  <c r="L63" i="8"/>
  <c r="M63" i="8"/>
  <c r="N63" i="8"/>
  <c r="O63" i="8"/>
  <c r="E64" i="8"/>
  <c r="F64" i="8"/>
  <c r="G64" i="8"/>
  <c r="H64" i="8"/>
  <c r="I64" i="8"/>
  <c r="J64" i="8"/>
  <c r="K64" i="8"/>
  <c r="L64" i="8"/>
  <c r="M64" i="8"/>
  <c r="N64" i="8"/>
  <c r="O64" i="8"/>
  <c r="E67" i="8"/>
  <c r="F67" i="8"/>
  <c r="G67" i="8"/>
  <c r="H67" i="8"/>
  <c r="I67" i="8"/>
  <c r="J67" i="8"/>
  <c r="K67" i="8"/>
  <c r="L67" i="8"/>
  <c r="M67" i="8"/>
  <c r="N67" i="8"/>
  <c r="O67" i="8"/>
  <c r="E68" i="8"/>
  <c r="F68" i="8"/>
  <c r="G68" i="8"/>
  <c r="H68" i="8"/>
  <c r="I68" i="8"/>
  <c r="J68" i="8"/>
  <c r="K68" i="8"/>
  <c r="L68" i="8"/>
  <c r="M68" i="8"/>
  <c r="N68" i="8"/>
  <c r="O68" i="8"/>
  <c r="E69" i="8"/>
  <c r="F69" i="8"/>
  <c r="G69" i="8"/>
  <c r="H69" i="8"/>
  <c r="I69" i="8"/>
  <c r="J69" i="8"/>
  <c r="K69" i="8"/>
  <c r="L69" i="8"/>
  <c r="M69" i="8"/>
  <c r="N69" i="8"/>
  <c r="O69" i="8"/>
  <c r="E77" i="8"/>
  <c r="F77" i="8"/>
  <c r="G77" i="8"/>
  <c r="H77" i="8"/>
  <c r="I77" i="8"/>
  <c r="J77" i="8"/>
  <c r="K77" i="8"/>
  <c r="L77" i="8"/>
  <c r="M77" i="8"/>
  <c r="N77" i="8"/>
  <c r="O77" i="8"/>
  <c r="E78" i="8"/>
  <c r="F78" i="8"/>
  <c r="I78" i="8"/>
  <c r="J78" i="8"/>
  <c r="K78" i="8"/>
  <c r="L78" i="8"/>
  <c r="M78" i="8"/>
  <c r="N78" i="8"/>
  <c r="O78" i="8"/>
  <c r="E80" i="8"/>
  <c r="F80" i="8"/>
  <c r="G80" i="8"/>
  <c r="H80" i="8"/>
  <c r="I80" i="8"/>
  <c r="J80" i="8"/>
  <c r="K80" i="8"/>
  <c r="L80" i="8"/>
  <c r="M80" i="8"/>
  <c r="N80" i="8"/>
  <c r="O80" i="8"/>
  <c r="C81" i="8"/>
  <c r="E81" i="8"/>
  <c r="F81" i="8"/>
  <c r="G81" i="8"/>
  <c r="H81" i="8"/>
  <c r="I81" i="8"/>
  <c r="J81" i="8"/>
  <c r="K81" i="8"/>
  <c r="L81" i="8"/>
  <c r="M81" i="8"/>
  <c r="N81" i="8"/>
  <c r="O81" i="8"/>
  <c r="C82" i="8"/>
  <c r="E82" i="8"/>
  <c r="F82" i="8"/>
  <c r="G82" i="8"/>
  <c r="H82" i="8"/>
  <c r="I82" i="8"/>
  <c r="J82" i="8"/>
  <c r="K82" i="8"/>
  <c r="L82" i="8"/>
  <c r="M82" i="8"/>
  <c r="N82" i="8"/>
  <c r="O82" i="8"/>
  <c r="C83" i="8"/>
  <c r="E83" i="8"/>
  <c r="F83" i="8"/>
  <c r="G83" i="8"/>
  <c r="H83" i="8"/>
  <c r="I83" i="8"/>
  <c r="J83" i="8"/>
  <c r="K83" i="8"/>
  <c r="L83" i="8"/>
  <c r="M83" i="8"/>
  <c r="N83" i="8"/>
  <c r="O83" i="8"/>
  <c r="C84" i="8"/>
  <c r="E84" i="8"/>
  <c r="F84" i="8"/>
  <c r="G84" i="8"/>
  <c r="H84" i="8"/>
  <c r="I84" i="8"/>
  <c r="J84" i="8"/>
  <c r="K84" i="8"/>
  <c r="L84" i="8"/>
  <c r="M84" i="8"/>
  <c r="N84" i="8"/>
  <c r="O84" i="8"/>
  <c r="E86" i="8"/>
  <c r="F86" i="8"/>
  <c r="G86" i="8"/>
  <c r="H86" i="8"/>
  <c r="I86" i="8"/>
  <c r="J86" i="8"/>
  <c r="K86" i="8"/>
  <c r="L86" i="8"/>
  <c r="M86" i="8"/>
  <c r="N86" i="8"/>
  <c r="O86" i="8"/>
  <c r="C87" i="8"/>
  <c r="E87" i="8"/>
  <c r="F87" i="8"/>
  <c r="G87" i="8"/>
  <c r="H87" i="8"/>
  <c r="I87" i="8"/>
  <c r="J87" i="8"/>
  <c r="K87" i="8"/>
  <c r="L87" i="8"/>
  <c r="M87" i="8"/>
  <c r="N87" i="8"/>
  <c r="O87" i="8"/>
  <c r="C88" i="8"/>
  <c r="E88" i="8"/>
  <c r="F88" i="8"/>
  <c r="G88" i="8"/>
  <c r="H88" i="8"/>
  <c r="I88" i="8"/>
  <c r="J88" i="8"/>
  <c r="K88" i="8"/>
  <c r="L88" i="8"/>
  <c r="M88" i="8"/>
  <c r="N88" i="8"/>
  <c r="O88" i="8"/>
  <c r="C89" i="8"/>
  <c r="E89" i="8"/>
  <c r="F89" i="8"/>
  <c r="G89" i="8"/>
  <c r="H89" i="8"/>
  <c r="I89" i="8"/>
  <c r="J89" i="8"/>
  <c r="K89" i="8"/>
  <c r="L89" i="8"/>
  <c r="M89" i="8"/>
  <c r="N89" i="8"/>
  <c r="O89" i="8"/>
  <c r="C90" i="8"/>
  <c r="E90" i="8"/>
  <c r="F90" i="8"/>
  <c r="G90" i="8"/>
  <c r="H90" i="8"/>
  <c r="I90" i="8"/>
  <c r="J90" i="8"/>
  <c r="K90" i="8"/>
  <c r="L90" i="8"/>
  <c r="M90" i="8"/>
  <c r="N90" i="8"/>
  <c r="O90" i="8"/>
  <c r="C91" i="8"/>
  <c r="E91" i="8"/>
  <c r="F91" i="8"/>
  <c r="G91" i="8"/>
  <c r="H91" i="8"/>
  <c r="I91" i="8"/>
  <c r="J91" i="8"/>
  <c r="K91" i="8"/>
  <c r="L91" i="8"/>
  <c r="M91" i="8"/>
  <c r="N91" i="8"/>
  <c r="O91" i="8"/>
  <c r="E93" i="8"/>
  <c r="F93" i="8"/>
  <c r="G93" i="8"/>
  <c r="H93" i="8"/>
  <c r="I93" i="8"/>
  <c r="J93" i="8"/>
  <c r="K93" i="8"/>
  <c r="L93" i="8"/>
  <c r="M93" i="8"/>
  <c r="N93" i="8"/>
  <c r="O93" i="8"/>
  <c r="E97" i="8"/>
  <c r="F97" i="8"/>
  <c r="G97" i="8"/>
  <c r="H97" i="8"/>
  <c r="I97" i="8"/>
  <c r="J97" i="8"/>
  <c r="K97" i="8"/>
  <c r="L97" i="8"/>
  <c r="M97" i="8"/>
  <c r="N97" i="8"/>
  <c r="O97" i="8"/>
  <c r="E100" i="8"/>
  <c r="F100" i="8"/>
  <c r="G100" i="8"/>
  <c r="H100" i="8"/>
  <c r="I100" i="8"/>
  <c r="J100" i="8"/>
  <c r="K100" i="8"/>
  <c r="L100" i="8"/>
  <c r="M100" i="8"/>
  <c r="N100" i="8"/>
  <c r="O100" i="8"/>
  <c r="E101" i="8"/>
  <c r="F101" i="8"/>
  <c r="G101" i="8"/>
  <c r="H101" i="8"/>
  <c r="I101" i="8"/>
  <c r="J101" i="8"/>
  <c r="K101" i="8"/>
  <c r="L101" i="8"/>
  <c r="M101" i="8"/>
  <c r="N101" i="8"/>
  <c r="O101" i="8"/>
  <c r="E102" i="8"/>
  <c r="F102" i="8"/>
  <c r="G102" i="8"/>
  <c r="H102" i="8"/>
  <c r="I102" i="8"/>
  <c r="J102" i="8"/>
  <c r="K102" i="8"/>
  <c r="L102" i="8"/>
  <c r="M102" i="8"/>
  <c r="N102" i="8"/>
  <c r="O102" i="8"/>
  <c r="E103" i="8"/>
  <c r="F103" i="8"/>
  <c r="G103" i="8"/>
  <c r="H103" i="8"/>
  <c r="I103" i="8"/>
  <c r="J103" i="8"/>
  <c r="K103" i="8"/>
  <c r="L103" i="8"/>
  <c r="M103" i="8"/>
  <c r="N103" i="8"/>
  <c r="O103" i="8"/>
  <c r="E105" i="8"/>
  <c r="F105" i="8"/>
  <c r="G105" i="8"/>
  <c r="H105" i="8"/>
  <c r="I105" i="8"/>
  <c r="J105" i="8"/>
  <c r="K105" i="8"/>
  <c r="L105" i="8"/>
  <c r="M105" i="8"/>
  <c r="N105" i="8"/>
  <c r="O105" i="8"/>
  <c r="E106" i="8"/>
  <c r="F106" i="8"/>
  <c r="G106" i="8"/>
  <c r="H106" i="8"/>
  <c r="I106" i="8"/>
  <c r="J106" i="8"/>
  <c r="K106" i="8"/>
  <c r="L106" i="8"/>
  <c r="M106" i="8"/>
  <c r="N106" i="8"/>
  <c r="O106" i="8"/>
  <c r="C3" i="10"/>
  <c r="E3" i="10"/>
  <c r="F3" i="10"/>
  <c r="G3" i="10"/>
  <c r="H3" i="10"/>
  <c r="I3" i="10"/>
  <c r="J3" i="10"/>
  <c r="K3" i="10"/>
  <c r="L3" i="10"/>
  <c r="M3" i="10"/>
  <c r="N3" i="10"/>
  <c r="O3" i="10"/>
  <c r="E4" i="10"/>
  <c r="F4" i="10"/>
  <c r="I4" i="10"/>
  <c r="J4" i="10"/>
  <c r="K4" i="10"/>
  <c r="L4" i="10"/>
  <c r="M4" i="10"/>
  <c r="N4" i="10"/>
  <c r="O4" i="10"/>
  <c r="E11" i="10"/>
  <c r="F11" i="10"/>
  <c r="G11" i="10"/>
  <c r="H11" i="10"/>
  <c r="I11" i="10"/>
  <c r="J11" i="10"/>
  <c r="K11" i="10"/>
  <c r="L11" i="10"/>
  <c r="M11" i="10"/>
  <c r="N11" i="10"/>
  <c r="O11" i="10"/>
  <c r="E12" i="10"/>
  <c r="F12" i="10"/>
  <c r="I12" i="10"/>
  <c r="J12" i="10"/>
  <c r="K12" i="10"/>
  <c r="L12" i="10"/>
  <c r="M12" i="10"/>
  <c r="N12" i="10"/>
  <c r="O12" i="10"/>
  <c r="E18" i="10"/>
  <c r="F18" i="10"/>
  <c r="G18" i="10"/>
  <c r="H18" i="10"/>
  <c r="I18" i="10"/>
  <c r="J18" i="10"/>
  <c r="K18" i="10"/>
  <c r="L18" i="10"/>
  <c r="M18" i="10"/>
  <c r="N18" i="10"/>
  <c r="O18" i="10"/>
  <c r="E25" i="10"/>
  <c r="F25" i="10"/>
  <c r="G25" i="10"/>
  <c r="H25" i="10"/>
  <c r="I25" i="10"/>
  <c r="J25" i="10"/>
  <c r="K25" i="10"/>
  <c r="L25" i="10"/>
  <c r="M25" i="10"/>
  <c r="N25" i="10"/>
  <c r="O25" i="10"/>
  <c r="E26" i="10"/>
  <c r="F26" i="10"/>
  <c r="G26" i="10"/>
  <c r="H26" i="10"/>
  <c r="I26" i="10"/>
  <c r="J26" i="10"/>
  <c r="K26" i="10"/>
  <c r="L26" i="10"/>
  <c r="M26" i="10"/>
  <c r="N26" i="10"/>
  <c r="O26" i="10"/>
  <c r="E29" i="10"/>
  <c r="F29" i="10"/>
  <c r="G29" i="10"/>
  <c r="H29" i="10"/>
  <c r="I29" i="10"/>
  <c r="J29" i="10"/>
  <c r="K29" i="10"/>
  <c r="L29" i="10"/>
  <c r="M29" i="10"/>
  <c r="N29" i="10"/>
  <c r="O29" i="10"/>
  <c r="E30" i="10"/>
  <c r="F30" i="10"/>
  <c r="I30" i="10"/>
  <c r="J30" i="10"/>
  <c r="K30" i="10"/>
  <c r="L30" i="10"/>
  <c r="M30" i="10"/>
  <c r="N30" i="10"/>
  <c r="O30" i="10"/>
  <c r="E36" i="10"/>
  <c r="F36" i="10"/>
  <c r="G36" i="10"/>
  <c r="H36" i="10"/>
  <c r="I36" i="10"/>
  <c r="J36" i="10"/>
  <c r="K36" i="10"/>
  <c r="L36" i="10"/>
  <c r="M36" i="10"/>
  <c r="N36" i="10"/>
  <c r="O36" i="10"/>
  <c r="E40" i="10"/>
  <c r="F40" i="10"/>
  <c r="G40" i="10"/>
  <c r="H40" i="10"/>
  <c r="I40" i="10"/>
  <c r="J40" i="10"/>
  <c r="K40" i="10"/>
  <c r="L40" i="10"/>
  <c r="M40" i="10"/>
  <c r="N40" i="10"/>
  <c r="O40" i="10"/>
  <c r="E41" i="10"/>
  <c r="F41" i="10"/>
  <c r="G41" i="10"/>
  <c r="H41" i="10"/>
  <c r="I41" i="10"/>
  <c r="J41" i="10"/>
  <c r="K41" i="10"/>
  <c r="L41" i="10"/>
  <c r="M41" i="10"/>
  <c r="N41" i="10"/>
  <c r="O41" i="10"/>
  <c r="E49" i="10"/>
  <c r="F49" i="10"/>
  <c r="G49" i="10"/>
  <c r="H49" i="10"/>
  <c r="I49" i="10"/>
  <c r="J49" i="10"/>
  <c r="K49" i="10"/>
  <c r="L49" i="10"/>
  <c r="M49" i="10"/>
  <c r="N49" i="10"/>
  <c r="O49" i="10"/>
  <c r="E50" i="10"/>
  <c r="F50" i="10"/>
  <c r="I50" i="10"/>
  <c r="J50" i="10"/>
  <c r="K50" i="10"/>
  <c r="L50" i="10"/>
  <c r="M50" i="10"/>
  <c r="N50" i="10"/>
  <c r="O50" i="10"/>
  <c r="E56" i="10"/>
  <c r="F56" i="10"/>
  <c r="G56" i="10"/>
  <c r="H56" i="10"/>
  <c r="I56" i="10"/>
  <c r="J56" i="10"/>
  <c r="K56" i="10"/>
  <c r="L56" i="10"/>
  <c r="M56" i="10"/>
  <c r="N56" i="10"/>
  <c r="O56" i="10"/>
  <c r="H60" i="10"/>
  <c r="E63" i="10"/>
  <c r="F63" i="10"/>
  <c r="G63" i="10"/>
  <c r="H63" i="10"/>
  <c r="I63" i="10"/>
  <c r="J63" i="10"/>
  <c r="K63" i="10"/>
  <c r="L63" i="10"/>
  <c r="M63" i="10"/>
  <c r="N63" i="10"/>
  <c r="O63" i="10"/>
  <c r="E64" i="10"/>
  <c r="F64" i="10"/>
  <c r="G64" i="10"/>
  <c r="H64" i="10"/>
  <c r="I64" i="10"/>
  <c r="J64" i="10"/>
  <c r="K64" i="10"/>
  <c r="L64" i="10"/>
  <c r="M64" i="10"/>
  <c r="N64" i="10"/>
  <c r="O64" i="10"/>
  <c r="E67" i="10"/>
  <c r="F67" i="10"/>
  <c r="G67" i="10"/>
  <c r="H67" i="10"/>
  <c r="I67" i="10"/>
  <c r="J67" i="10"/>
  <c r="K67" i="10"/>
  <c r="L67" i="10"/>
  <c r="M67" i="10"/>
  <c r="N67" i="10"/>
  <c r="O67" i="10"/>
  <c r="E68" i="10"/>
  <c r="F68" i="10"/>
  <c r="I68" i="10"/>
  <c r="J68" i="10"/>
  <c r="K68" i="10"/>
  <c r="L68" i="10"/>
  <c r="M68" i="10"/>
  <c r="N68" i="10"/>
  <c r="O68" i="10"/>
  <c r="E74" i="10"/>
  <c r="F74" i="10"/>
  <c r="G74" i="10"/>
  <c r="H74" i="10"/>
  <c r="I74" i="10"/>
  <c r="J74" i="10"/>
  <c r="K74" i="10"/>
  <c r="L74" i="10"/>
  <c r="M74" i="10"/>
  <c r="N74" i="10"/>
  <c r="O74" i="10"/>
  <c r="E78" i="10"/>
  <c r="F78" i="10"/>
  <c r="G78" i="10"/>
  <c r="H78" i="10"/>
  <c r="I78" i="10"/>
  <c r="J78" i="10"/>
  <c r="K78" i="10"/>
  <c r="L78" i="10"/>
  <c r="M78" i="10"/>
  <c r="N78" i="10"/>
  <c r="O78" i="10"/>
  <c r="E79" i="10"/>
  <c r="F79" i="10"/>
  <c r="G79" i="10"/>
  <c r="H79" i="10"/>
  <c r="I79" i="10"/>
  <c r="J79" i="10"/>
  <c r="K79" i="10"/>
  <c r="L79" i="10"/>
  <c r="M79" i="10"/>
  <c r="N79" i="10"/>
  <c r="O79" i="10"/>
  <c r="E87" i="10"/>
  <c r="F87" i="10"/>
  <c r="G87" i="10"/>
  <c r="H87" i="10"/>
  <c r="I87" i="10"/>
  <c r="J87" i="10"/>
  <c r="K87" i="10"/>
  <c r="L87" i="10"/>
  <c r="M87" i="10"/>
  <c r="N87" i="10"/>
  <c r="O87" i="10"/>
  <c r="E88" i="10"/>
  <c r="F88" i="10"/>
  <c r="I88" i="10"/>
  <c r="J88" i="10"/>
  <c r="K88" i="10"/>
  <c r="L88" i="10"/>
  <c r="M88" i="10"/>
  <c r="N88" i="10"/>
  <c r="O88" i="10"/>
  <c r="H90" i="10"/>
  <c r="I90" i="10"/>
  <c r="J90" i="10"/>
  <c r="K90" i="10"/>
  <c r="L90" i="10"/>
  <c r="M90" i="10"/>
  <c r="N90" i="10"/>
  <c r="O90" i="10"/>
  <c r="H93" i="10"/>
  <c r="I93" i="10"/>
  <c r="J93" i="10"/>
  <c r="K93" i="10"/>
  <c r="L93" i="10"/>
  <c r="M93" i="10"/>
  <c r="N93" i="10"/>
  <c r="O93" i="10"/>
  <c r="H95" i="10"/>
  <c r="I95" i="10"/>
  <c r="J95" i="10"/>
  <c r="K95" i="10"/>
  <c r="L95" i="10"/>
  <c r="M95" i="10"/>
  <c r="N95" i="10"/>
  <c r="O95" i="10"/>
  <c r="H96" i="10"/>
  <c r="I96" i="10"/>
  <c r="J96" i="10"/>
  <c r="K96" i="10"/>
  <c r="L96" i="10"/>
  <c r="M96" i="10"/>
  <c r="N96" i="10"/>
  <c r="O96" i="10"/>
  <c r="E98" i="10"/>
  <c r="F98" i="10"/>
  <c r="G98" i="10"/>
  <c r="H98" i="10"/>
  <c r="I98" i="10"/>
  <c r="J98" i="10"/>
  <c r="K98" i="10"/>
  <c r="L98" i="10"/>
  <c r="M98" i="10"/>
  <c r="N98" i="10"/>
  <c r="O98" i="10"/>
  <c r="E99" i="10"/>
  <c r="F99" i="10"/>
  <c r="I99" i="10"/>
  <c r="J99" i="10"/>
  <c r="K99" i="10"/>
  <c r="L99" i="10"/>
  <c r="M99" i="10"/>
  <c r="N99" i="10"/>
  <c r="O99" i="10"/>
  <c r="H101" i="10"/>
  <c r="I101" i="10"/>
  <c r="J101" i="10"/>
  <c r="K101" i="10"/>
  <c r="L101" i="10"/>
  <c r="M101" i="10"/>
  <c r="N101" i="10"/>
  <c r="O101" i="10"/>
  <c r="H104" i="10"/>
  <c r="I104" i="10"/>
  <c r="J104" i="10"/>
  <c r="K104" i="10"/>
  <c r="L104" i="10"/>
  <c r="M104" i="10"/>
  <c r="N104" i="10"/>
  <c r="O104" i="10"/>
  <c r="H106" i="10"/>
  <c r="I106" i="10"/>
  <c r="J106" i="10"/>
  <c r="K106" i="10"/>
  <c r="L106" i="10"/>
  <c r="M106" i="10"/>
  <c r="N106" i="10"/>
  <c r="O106" i="10"/>
  <c r="H107" i="10"/>
  <c r="I107" i="10"/>
  <c r="J107" i="10"/>
  <c r="K107" i="10"/>
  <c r="L107" i="10"/>
  <c r="M107" i="10"/>
  <c r="N107" i="10"/>
  <c r="O107" i="10"/>
  <c r="E109" i="10"/>
  <c r="F109" i="10"/>
  <c r="G109" i="10"/>
  <c r="H109" i="10"/>
  <c r="I109" i="10"/>
  <c r="J109" i="10"/>
  <c r="K109" i="10"/>
  <c r="L109" i="10"/>
  <c r="M109" i="10"/>
  <c r="N109" i="10"/>
  <c r="O109" i="10"/>
  <c r="E110" i="10"/>
  <c r="F110" i="10"/>
  <c r="I110" i="10"/>
  <c r="J110" i="10"/>
  <c r="K110" i="10"/>
  <c r="L110" i="10"/>
  <c r="M110" i="10"/>
  <c r="N110" i="10"/>
  <c r="O110" i="10"/>
  <c r="H112" i="10"/>
  <c r="I112" i="10"/>
  <c r="J112" i="10"/>
  <c r="K112" i="10"/>
  <c r="L112" i="10"/>
  <c r="M112" i="10"/>
  <c r="N112" i="10"/>
  <c r="O112" i="10"/>
  <c r="H115" i="10"/>
  <c r="I115" i="10"/>
  <c r="J115" i="10"/>
  <c r="K115" i="10"/>
  <c r="L115" i="10"/>
  <c r="M115" i="10"/>
  <c r="N115" i="10"/>
  <c r="O115" i="10"/>
  <c r="H117" i="10"/>
  <c r="I117" i="10"/>
  <c r="J117" i="10"/>
  <c r="K117" i="10"/>
  <c r="L117" i="10"/>
  <c r="M117" i="10"/>
  <c r="N117" i="10"/>
  <c r="O117" i="10"/>
  <c r="H118" i="10"/>
  <c r="I118" i="10"/>
  <c r="J118" i="10"/>
  <c r="K118" i="10"/>
  <c r="L118" i="10"/>
  <c r="M118" i="10"/>
  <c r="N118" i="10"/>
  <c r="O118" i="10"/>
  <c r="E120" i="10"/>
  <c r="F120" i="10"/>
  <c r="G120" i="10"/>
  <c r="H120" i="10"/>
  <c r="I120" i="10"/>
  <c r="J120" i="10"/>
  <c r="K120" i="10"/>
  <c r="L120" i="10"/>
  <c r="M120" i="10"/>
  <c r="N120" i="10"/>
  <c r="O120" i="10"/>
  <c r="E121" i="10"/>
  <c r="F121" i="10"/>
  <c r="I121" i="10"/>
  <c r="J121" i="10"/>
  <c r="K121" i="10"/>
  <c r="L121" i="10"/>
  <c r="M121" i="10"/>
  <c r="N121" i="10"/>
  <c r="O121" i="10"/>
  <c r="H123" i="10"/>
  <c r="I123" i="10"/>
  <c r="J123" i="10"/>
  <c r="K123" i="10"/>
  <c r="L123" i="10"/>
  <c r="M123" i="10"/>
  <c r="N123" i="10"/>
  <c r="O123" i="10"/>
  <c r="H126" i="10"/>
  <c r="I126" i="10"/>
  <c r="J126" i="10"/>
  <c r="K126" i="10"/>
  <c r="L126" i="10"/>
  <c r="M126" i="10"/>
  <c r="N126" i="10"/>
  <c r="O126" i="10"/>
  <c r="H128" i="10"/>
  <c r="I128" i="10"/>
  <c r="J128" i="10"/>
  <c r="K128" i="10"/>
  <c r="L128" i="10"/>
  <c r="M128" i="10"/>
  <c r="N128" i="10"/>
  <c r="O128" i="10"/>
  <c r="H129" i="10"/>
  <c r="I129" i="10"/>
  <c r="J129" i="10"/>
  <c r="K129" i="10"/>
  <c r="L129" i="10"/>
  <c r="M129" i="10"/>
  <c r="N129" i="10"/>
  <c r="O129" i="10"/>
  <c r="E131" i="10"/>
  <c r="F131" i="10"/>
  <c r="G131" i="10"/>
  <c r="H131" i="10"/>
  <c r="I131" i="10"/>
  <c r="J131" i="10"/>
  <c r="K131" i="10"/>
  <c r="L131" i="10"/>
  <c r="M131" i="10"/>
  <c r="N131" i="10"/>
  <c r="O131" i="10"/>
  <c r="E132" i="10"/>
  <c r="F132" i="10"/>
  <c r="I132" i="10"/>
  <c r="J132" i="10"/>
  <c r="K132" i="10"/>
  <c r="L132" i="10"/>
  <c r="M132" i="10"/>
  <c r="N132" i="10"/>
  <c r="O132" i="10"/>
  <c r="H134" i="10"/>
  <c r="I134" i="10"/>
  <c r="J134" i="10"/>
  <c r="K134" i="10"/>
  <c r="L134" i="10"/>
  <c r="M134" i="10"/>
  <c r="N134" i="10"/>
  <c r="O134" i="10"/>
  <c r="H137" i="10"/>
  <c r="I137" i="10"/>
  <c r="J137" i="10"/>
  <c r="K137" i="10"/>
  <c r="L137" i="10"/>
  <c r="M137" i="10"/>
  <c r="N137" i="10"/>
  <c r="O137" i="10"/>
  <c r="H139" i="10"/>
  <c r="I139" i="10"/>
  <c r="J139" i="10"/>
  <c r="K139" i="10"/>
  <c r="L139" i="10"/>
  <c r="M139" i="10"/>
  <c r="N139" i="10"/>
  <c r="O139" i="10"/>
  <c r="H140" i="10"/>
  <c r="I140" i="10"/>
  <c r="J140" i="10"/>
  <c r="K140" i="10"/>
  <c r="L140" i="10"/>
  <c r="M140" i="10"/>
  <c r="N140" i="10"/>
  <c r="O140" i="10"/>
  <c r="E142" i="10"/>
  <c r="F142" i="10"/>
  <c r="G142" i="10"/>
  <c r="H142" i="10"/>
  <c r="I142" i="10"/>
  <c r="J142" i="10"/>
  <c r="K142" i="10"/>
  <c r="L142" i="10"/>
  <c r="M142" i="10"/>
  <c r="N142" i="10"/>
  <c r="O142" i="10"/>
  <c r="E143" i="10"/>
  <c r="F143" i="10"/>
  <c r="I143" i="10"/>
  <c r="J143" i="10"/>
  <c r="K143" i="10"/>
  <c r="L143" i="10"/>
  <c r="M143" i="10"/>
  <c r="N143" i="10"/>
  <c r="O143" i="10"/>
  <c r="G145" i="10"/>
  <c r="H145" i="10"/>
  <c r="I145" i="10"/>
  <c r="J145" i="10"/>
  <c r="K145" i="10"/>
  <c r="L145" i="10"/>
  <c r="M145" i="10"/>
  <c r="N145" i="10"/>
  <c r="O145" i="10"/>
  <c r="G147" i="10"/>
  <c r="H147" i="10"/>
  <c r="I147" i="10"/>
  <c r="J147" i="10"/>
  <c r="K147" i="10"/>
  <c r="L147" i="10"/>
  <c r="M147" i="10"/>
  <c r="N147" i="10"/>
  <c r="O147" i="10"/>
  <c r="C148" i="10"/>
  <c r="C149" i="10"/>
  <c r="C150" i="10"/>
  <c r="C151" i="10"/>
  <c r="C152" i="10"/>
  <c r="C153" i="10"/>
  <c r="C154" i="10"/>
  <c r="C155" i="10"/>
  <c r="C156" i="10"/>
  <c r="G157" i="10"/>
  <c r="H157" i="10"/>
  <c r="I157" i="10"/>
  <c r="J157" i="10"/>
  <c r="K157" i="10"/>
  <c r="L157" i="10"/>
  <c r="M157" i="10"/>
  <c r="N157" i="10"/>
  <c r="O157" i="10"/>
  <c r="C3" i="7"/>
  <c r="E3" i="7"/>
  <c r="F3" i="7"/>
  <c r="G3" i="7"/>
  <c r="H3" i="7"/>
  <c r="I3" i="7"/>
  <c r="J3" i="7"/>
  <c r="K3" i="7"/>
  <c r="L3" i="7"/>
  <c r="M3" i="7"/>
  <c r="N3" i="7"/>
  <c r="O3" i="7"/>
  <c r="E4" i="7"/>
  <c r="F4" i="7"/>
  <c r="I4" i="7"/>
  <c r="J4" i="7"/>
  <c r="K4" i="7"/>
  <c r="L4" i="7"/>
  <c r="M4" i="7"/>
  <c r="N4" i="7"/>
  <c r="O4" i="7"/>
  <c r="E11" i="7"/>
  <c r="F11" i="7"/>
  <c r="G11" i="7"/>
  <c r="H11" i="7"/>
  <c r="I11" i="7"/>
  <c r="J11" i="7"/>
  <c r="K11" i="7"/>
  <c r="L11" i="7"/>
  <c r="M11" i="7"/>
  <c r="N11" i="7"/>
  <c r="O11" i="7"/>
  <c r="E12" i="7"/>
  <c r="F12" i="7"/>
  <c r="I12" i="7"/>
  <c r="J12" i="7"/>
  <c r="K12" i="7"/>
  <c r="L12" i="7"/>
  <c r="M12" i="7"/>
  <c r="N12" i="7"/>
  <c r="O12" i="7"/>
  <c r="E14" i="7"/>
  <c r="F14" i="7"/>
  <c r="G14" i="7"/>
  <c r="H14" i="7"/>
  <c r="I14" i="7"/>
  <c r="J14" i="7"/>
  <c r="K14" i="7"/>
  <c r="L14" i="7"/>
  <c r="M14" i="7"/>
  <c r="N14" i="7"/>
  <c r="O14" i="7"/>
  <c r="E21" i="7"/>
  <c r="F21" i="7"/>
  <c r="G21" i="7"/>
  <c r="H21" i="7"/>
  <c r="I21" i="7"/>
  <c r="J21" i="7"/>
  <c r="K21" i="7"/>
  <c r="L21" i="7"/>
  <c r="M21" i="7"/>
  <c r="N21" i="7"/>
  <c r="O21" i="7"/>
  <c r="F22" i="7"/>
  <c r="G22" i="7"/>
  <c r="H22" i="7"/>
  <c r="I22" i="7"/>
  <c r="J22" i="7"/>
  <c r="K22" i="7"/>
  <c r="L22" i="7"/>
  <c r="M22" i="7"/>
  <c r="N22" i="7"/>
  <c r="O22" i="7"/>
  <c r="E24" i="7"/>
  <c r="F24" i="7"/>
  <c r="G24" i="7"/>
  <c r="H24" i="7"/>
  <c r="I24" i="7"/>
  <c r="J24" i="7"/>
  <c r="K24" i="7"/>
  <c r="L24" i="7"/>
  <c r="M24" i="7"/>
  <c r="N24" i="7"/>
  <c r="O24" i="7"/>
  <c r="E25" i="7"/>
  <c r="F25" i="7"/>
  <c r="I25" i="7"/>
  <c r="J25" i="7"/>
  <c r="K25" i="7"/>
  <c r="L25" i="7"/>
  <c r="M25" i="7"/>
  <c r="N25" i="7"/>
  <c r="O25" i="7"/>
  <c r="E27" i="7"/>
  <c r="F27" i="7"/>
  <c r="G27" i="7"/>
  <c r="H27" i="7"/>
  <c r="I27" i="7"/>
  <c r="J27" i="7"/>
  <c r="K27" i="7"/>
  <c r="L27" i="7"/>
  <c r="M27" i="7"/>
  <c r="N27" i="7"/>
  <c r="O27" i="7"/>
  <c r="F28" i="7"/>
  <c r="G28" i="7"/>
  <c r="H28" i="7"/>
  <c r="I28" i="7"/>
  <c r="J28" i="7"/>
  <c r="K28" i="7"/>
  <c r="L28" i="7"/>
  <c r="M28" i="7"/>
  <c r="N28" i="7"/>
  <c r="O28" i="7"/>
  <c r="H30" i="7"/>
  <c r="I30" i="7"/>
  <c r="J30" i="7"/>
  <c r="K30" i="7"/>
  <c r="L30" i="7"/>
  <c r="M30" i="7"/>
  <c r="N30" i="7"/>
  <c r="O30" i="7"/>
  <c r="E35" i="7"/>
  <c r="F35" i="7"/>
  <c r="G35" i="7"/>
  <c r="I36" i="7"/>
  <c r="J36" i="7"/>
  <c r="K36" i="7"/>
  <c r="L36" i="7"/>
  <c r="M36" i="7"/>
  <c r="N36" i="7"/>
  <c r="O36" i="7"/>
  <c r="E38" i="7"/>
  <c r="F38" i="7"/>
  <c r="G38" i="7"/>
  <c r="I38" i="7"/>
  <c r="J38" i="7"/>
  <c r="K38" i="7"/>
  <c r="L38" i="7"/>
  <c r="M38" i="7"/>
  <c r="H39" i="7"/>
  <c r="I39" i="7"/>
  <c r="J39" i="7"/>
  <c r="K39" i="7"/>
  <c r="L39" i="7"/>
  <c r="M39" i="7"/>
  <c r="N39" i="7"/>
  <c r="O39" i="7"/>
  <c r="C43" i="7"/>
  <c r="E46" i="7"/>
  <c r="F46" i="7"/>
  <c r="G46" i="7"/>
  <c r="H46" i="7"/>
  <c r="I46" i="7"/>
  <c r="J46" i="7"/>
  <c r="K46" i="7"/>
  <c r="L46" i="7"/>
  <c r="M46" i="7"/>
  <c r="N46" i="7"/>
  <c r="O46" i="7"/>
  <c r="E47" i="7"/>
  <c r="F47" i="7"/>
  <c r="I47" i="7"/>
  <c r="J47" i="7"/>
  <c r="K47" i="7"/>
  <c r="L47" i="7"/>
  <c r="M47" i="7"/>
  <c r="N47" i="7"/>
  <c r="O47" i="7"/>
  <c r="E49" i="7"/>
  <c r="F49" i="7"/>
  <c r="G49" i="7"/>
  <c r="H49" i="7"/>
  <c r="I49" i="7"/>
  <c r="J49" i="7"/>
  <c r="K49" i="7"/>
  <c r="L49" i="7"/>
  <c r="M49" i="7"/>
  <c r="N49" i="7"/>
  <c r="O49" i="7"/>
  <c r="E56" i="7"/>
  <c r="F56" i="7"/>
  <c r="G56" i="7"/>
  <c r="H56" i="7"/>
  <c r="I56" i="7"/>
  <c r="J56" i="7"/>
  <c r="K56" i="7"/>
  <c r="L56" i="7"/>
  <c r="M56" i="7"/>
  <c r="N56" i="7"/>
  <c r="O56" i="7"/>
  <c r="F57" i="7"/>
  <c r="G57" i="7"/>
  <c r="H57" i="7"/>
  <c r="I57" i="7"/>
  <c r="J57" i="7"/>
  <c r="K57" i="7"/>
  <c r="L57" i="7"/>
  <c r="M57" i="7"/>
  <c r="N57" i="7"/>
  <c r="O57" i="7"/>
  <c r="E59" i="7"/>
  <c r="F59" i="7"/>
  <c r="G59" i="7"/>
  <c r="H59" i="7"/>
  <c r="I59" i="7"/>
  <c r="J59" i="7"/>
  <c r="K59" i="7"/>
  <c r="L59" i="7"/>
  <c r="M59" i="7"/>
  <c r="N59" i="7"/>
  <c r="O59" i="7"/>
  <c r="E60" i="7"/>
  <c r="F60" i="7"/>
  <c r="I60" i="7"/>
  <c r="J60" i="7"/>
  <c r="K60" i="7"/>
  <c r="L60" i="7"/>
  <c r="M60" i="7"/>
  <c r="N60" i="7"/>
  <c r="O60" i="7"/>
  <c r="E62" i="7"/>
  <c r="F62" i="7"/>
  <c r="G62" i="7"/>
  <c r="H62" i="7"/>
  <c r="I62" i="7"/>
  <c r="J62" i="7"/>
  <c r="K62" i="7"/>
  <c r="L62" i="7"/>
  <c r="M62" i="7"/>
  <c r="N62" i="7"/>
  <c r="O62" i="7"/>
  <c r="F63" i="7"/>
  <c r="G63" i="7"/>
  <c r="H63" i="7"/>
  <c r="I63" i="7"/>
  <c r="J63" i="7"/>
  <c r="K63" i="7"/>
  <c r="L63" i="7"/>
  <c r="M63" i="7"/>
  <c r="N63" i="7"/>
  <c r="O63" i="7"/>
  <c r="H65" i="7"/>
  <c r="I65" i="7"/>
  <c r="J65" i="7"/>
  <c r="K65" i="7"/>
  <c r="L65" i="7"/>
  <c r="M65" i="7"/>
  <c r="N65" i="7"/>
  <c r="O65" i="7"/>
  <c r="E70" i="7"/>
  <c r="F70" i="7"/>
  <c r="G70" i="7"/>
  <c r="I71" i="7"/>
  <c r="J71" i="7"/>
  <c r="K71" i="7"/>
  <c r="L71" i="7"/>
  <c r="M71" i="7"/>
  <c r="N71" i="7"/>
  <c r="E73" i="7"/>
  <c r="F73" i="7"/>
  <c r="G73" i="7"/>
  <c r="H73" i="7"/>
  <c r="I73" i="7"/>
  <c r="M73" i="7"/>
  <c r="N73" i="7"/>
  <c r="O73" i="7"/>
  <c r="H74" i="7"/>
  <c r="I74" i="7"/>
  <c r="J74" i="7"/>
  <c r="K74" i="7"/>
  <c r="L74" i="7"/>
  <c r="M74" i="7"/>
  <c r="N74" i="7"/>
  <c r="O74" i="7"/>
  <c r="C78" i="7"/>
  <c r="E81" i="7"/>
  <c r="F81" i="7"/>
  <c r="G81" i="7"/>
  <c r="H81" i="7"/>
  <c r="I81" i="7"/>
  <c r="J81" i="7"/>
  <c r="K81" i="7"/>
  <c r="L81" i="7"/>
  <c r="M81" i="7"/>
  <c r="N81" i="7"/>
  <c r="O81" i="7"/>
  <c r="E82" i="7"/>
  <c r="F82" i="7"/>
  <c r="I82" i="7"/>
  <c r="J82" i="7"/>
  <c r="K82" i="7"/>
  <c r="L82" i="7"/>
  <c r="M82" i="7"/>
  <c r="N82" i="7"/>
  <c r="O82" i="7"/>
  <c r="E84" i="7"/>
  <c r="F84" i="7"/>
  <c r="G84" i="7"/>
  <c r="H84" i="7"/>
  <c r="I84" i="7"/>
  <c r="J84" i="7"/>
  <c r="K84" i="7"/>
  <c r="L84" i="7"/>
  <c r="M84" i="7"/>
  <c r="N84" i="7"/>
  <c r="O84" i="7"/>
  <c r="E91" i="7"/>
  <c r="F91" i="7"/>
  <c r="G91" i="7"/>
  <c r="H91" i="7"/>
  <c r="I91" i="7"/>
  <c r="J91" i="7"/>
  <c r="K91" i="7"/>
  <c r="L91" i="7"/>
  <c r="M91" i="7"/>
  <c r="N91" i="7"/>
  <c r="O91" i="7"/>
  <c r="F92" i="7"/>
  <c r="G92" i="7"/>
  <c r="H92" i="7"/>
  <c r="I92" i="7"/>
  <c r="J92" i="7"/>
  <c r="K92" i="7"/>
  <c r="L92" i="7"/>
  <c r="M92" i="7"/>
  <c r="N92" i="7"/>
  <c r="O92" i="7"/>
  <c r="E94" i="7"/>
  <c r="F94" i="7"/>
  <c r="G94" i="7"/>
  <c r="H94" i="7"/>
  <c r="I94" i="7"/>
  <c r="J94" i="7"/>
  <c r="K94" i="7"/>
  <c r="L94" i="7"/>
  <c r="M94" i="7"/>
  <c r="N94" i="7"/>
  <c r="O94" i="7"/>
  <c r="E95" i="7"/>
  <c r="F95" i="7"/>
  <c r="I95" i="7"/>
  <c r="J95" i="7"/>
  <c r="K95" i="7"/>
  <c r="L95" i="7"/>
  <c r="M95" i="7"/>
  <c r="N95" i="7"/>
  <c r="O95" i="7"/>
  <c r="E97" i="7"/>
  <c r="F97" i="7"/>
  <c r="G97" i="7"/>
  <c r="H97" i="7"/>
  <c r="I97" i="7"/>
  <c r="J97" i="7"/>
  <c r="K97" i="7"/>
  <c r="L97" i="7"/>
  <c r="M97" i="7"/>
  <c r="N97" i="7"/>
  <c r="O97" i="7"/>
  <c r="F98" i="7"/>
  <c r="G98" i="7"/>
  <c r="H98" i="7"/>
  <c r="I98" i="7"/>
  <c r="J98" i="7"/>
  <c r="K98" i="7"/>
  <c r="L98" i="7"/>
  <c r="M98" i="7"/>
  <c r="N98" i="7"/>
  <c r="O98" i="7"/>
  <c r="H100" i="7"/>
  <c r="I100" i="7"/>
  <c r="J100" i="7"/>
  <c r="K100" i="7"/>
  <c r="L100" i="7"/>
  <c r="M100" i="7"/>
  <c r="N100" i="7"/>
  <c r="O100" i="7"/>
  <c r="E105" i="7"/>
  <c r="F105" i="7"/>
  <c r="G105" i="7"/>
  <c r="E108" i="7"/>
  <c r="F108" i="7"/>
  <c r="G108" i="7"/>
  <c r="H109" i="7"/>
  <c r="I109" i="7"/>
  <c r="J109" i="7"/>
  <c r="K109" i="7"/>
  <c r="L109" i="7"/>
  <c r="M109" i="7"/>
  <c r="N109" i="7"/>
  <c r="O109" i="7"/>
  <c r="C113" i="7"/>
  <c r="E116" i="7"/>
  <c r="F116" i="7"/>
  <c r="G116" i="7"/>
  <c r="H116" i="7"/>
  <c r="I116" i="7"/>
  <c r="J116" i="7"/>
  <c r="K116" i="7"/>
  <c r="L116" i="7"/>
  <c r="M116" i="7"/>
  <c r="N116" i="7"/>
  <c r="O116" i="7"/>
  <c r="E117" i="7"/>
  <c r="F117" i="7"/>
  <c r="I117" i="7"/>
  <c r="J117" i="7"/>
  <c r="K117" i="7"/>
  <c r="L117" i="7"/>
  <c r="M117" i="7"/>
  <c r="N117" i="7"/>
  <c r="O117" i="7"/>
  <c r="E119" i="7"/>
  <c r="F119" i="7"/>
  <c r="G119" i="7"/>
  <c r="H119" i="7"/>
  <c r="I119" i="7"/>
  <c r="J119" i="7"/>
  <c r="K119" i="7"/>
  <c r="L119" i="7"/>
  <c r="M119" i="7"/>
  <c r="N119" i="7"/>
  <c r="O119" i="7"/>
  <c r="E126" i="7"/>
  <c r="F126" i="7"/>
  <c r="G126" i="7"/>
  <c r="H126" i="7"/>
  <c r="I126" i="7"/>
  <c r="J126" i="7"/>
  <c r="K126" i="7"/>
  <c r="L126" i="7"/>
  <c r="M126" i="7"/>
  <c r="N126" i="7"/>
  <c r="O126" i="7"/>
  <c r="F127" i="7"/>
  <c r="G127" i="7"/>
  <c r="H127" i="7"/>
  <c r="I127" i="7"/>
  <c r="J127" i="7"/>
  <c r="K127" i="7"/>
  <c r="L127" i="7"/>
  <c r="M127" i="7"/>
  <c r="N127" i="7"/>
  <c r="O127" i="7"/>
  <c r="E129" i="7"/>
  <c r="F129" i="7"/>
  <c r="G129" i="7"/>
  <c r="H129" i="7"/>
  <c r="I129" i="7"/>
  <c r="J129" i="7"/>
  <c r="K129" i="7"/>
  <c r="L129" i="7"/>
  <c r="M129" i="7"/>
  <c r="N129" i="7"/>
  <c r="O129" i="7"/>
  <c r="E130" i="7"/>
  <c r="F130" i="7"/>
  <c r="I130" i="7"/>
  <c r="J130" i="7"/>
  <c r="K130" i="7"/>
  <c r="L130" i="7"/>
  <c r="M130" i="7"/>
  <c r="N130" i="7"/>
  <c r="O130" i="7"/>
  <c r="E132" i="7"/>
  <c r="F132" i="7"/>
  <c r="G132" i="7"/>
  <c r="H132" i="7"/>
  <c r="I132" i="7"/>
  <c r="J132" i="7"/>
  <c r="K132" i="7"/>
  <c r="L132" i="7"/>
  <c r="M132" i="7"/>
  <c r="N132" i="7"/>
  <c r="O132" i="7"/>
  <c r="F133" i="7"/>
  <c r="G133" i="7"/>
  <c r="H133" i="7"/>
  <c r="I133" i="7"/>
  <c r="J133" i="7"/>
  <c r="K133" i="7"/>
  <c r="L133" i="7"/>
  <c r="M133" i="7"/>
  <c r="N133" i="7"/>
  <c r="O133" i="7"/>
  <c r="H135" i="7"/>
  <c r="I135" i="7"/>
  <c r="J135" i="7"/>
  <c r="K135" i="7"/>
  <c r="L135" i="7"/>
  <c r="M135" i="7"/>
  <c r="N135" i="7"/>
  <c r="O135" i="7"/>
  <c r="E140" i="7"/>
  <c r="F140" i="7"/>
  <c r="G140" i="7"/>
  <c r="E143" i="7"/>
  <c r="F143" i="7"/>
  <c r="G143" i="7"/>
  <c r="H144" i="7"/>
  <c r="I144" i="7"/>
  <c r="J144" i="7"/>
  <c r="K144" i="7"/>
  <c r="L144" i="7"/>
  <c r="M144" i="7"/>
  <c r="N144" i="7"/>
  <c r="O144" i="7"/>
  <c r="C148" i="7"/>
  <c r="E151" i="7"/>
  <c r="F151" i="7"/>
  <c r="G151" i="7"/>
  <c r="H151" i="7"/>
  <c r="I151" i="7"/>
  <c r="J151" i="7"/>
  <c r="K151" i="7"/>
  <c r="L151" i="7"/>
  <c r="M151" i="7"/>
  <c r="N151" i="7"/>
  <c r="O151" i="7"/>
  <c r="E152" i="7"/>
  <c r="F152" i="7"/>
  <c r="I152" i="7"/>
  <c r="J152" i="7"/>
  <c r="K152" i="7"/>
  <c r="L152" i="7"/>
  <c r="M152" i="7"/>
  <c r="N152" i="7"/>
  <c r="O152" i="7"/>
  <c r="E154" i="7"/>
  <c r="F154" i="7"/>
  <c r="G154" i="7"/>
  <c r="H154" i="7"/>
  <c r="I154" i="7"/>
  <c r="J154" i="7"/>
  <c r="K154" i="7"/>
  <c r="L154" i="7"/>
  <c r="M154" i="7"/>
  <c r="N154" i="7"/>
  <c r="O154" i="7"/>
  <c r="E161" i="7"/>
  <c r="F161" i="7"/>
  <c r="G161" i="7"/>
  <c r="H161" i="7"/>
  <c r="I161" i="7"/>
  <c r="J161" i="7"/>
  <c r="K161" i="7"/>
  <c r="L161" i="7"/>
  <c r="M161" i="7"/>
  <c r="N161" i="7"/>
  <c r="O161" i="7"/>
  <c r="F162" i="7"/>
  <c r="G162" i="7"/>
  <c r="H162" i="7"/>
  <c r="I162" i="7"/>
  <c r="J162" i="7"/>
  <c r="K162" i="7"/>
  <c r="L162" i="7"/>
  <c r="M162" i="7"/>
  <c r="N162" i="7"/>
  <c r="O162" i="7"/>
  <c r="E164" i="7"/>
  <c r="F164" i="7"/>
  <c r="G164" i="7"/>
  <c r="H164" i="7"/>
  <c r="I164" i="7"/>
  <c r="J164" i="7"/>
  <c r="K164" i="7"/>
  <c r="L164" i="7"/>
  <c r="M164" i="7"/>
  <c r="N164" i="7"/>
  <c r="O164" i="7"/>
  <c r="E165" i="7"/>
  <c r="F165" i="7"/>
  <c r="I165" i="7"/>
  <c r="J165" i="7"/>
  <c r="K165" i="7"/>
  <c r="L165" i="7"/>
  <c r="M165" i="7"/>
  <c r="N165" i="7"/>
  <c r="O165" i="7"/>
  <c r="E167" i="7"/>
  <c r="F167" i="7"/>
  <c r="G167" i="7"/>
  <c r="H167" i="7"/>
  <c r="I167" i="7"/>
  <c r="J167" i="7"/>
  <c r="K167" i="7"/>
  <c r="L167" i="7"/>
  <c r="M167" i="7"/>
  <c r="N167" i="7"/>
  <c r="O167" i="7"/>
  <c r="F168" i="7"/>
  <c r="G168" i="7"/>
  <c r="H168" i="7"/>
  <c r="I168" i="7"/>
  <c r="J168" i="7"/>
  <c r="K168" i="7"/>
  <c r="L168" i="7"/>
  <c r="M168" i="7"/>
  <c r="N168" i="7"/>
  <c r="O168" i="7"/>
  <c r="H170" i="7"/>
  <c r="I170" i="7"/>
  <c r="J170" i="7"/>
  <c r="K170" i="7"/>
  <c r="L170" i="7"/>
  <c r="M170" i="7"/>
  <c r="N170" i="7"/>
  <c r="O170" i="7"/>
  <c r="E175" i="7"/>
  <c r="F175" i="7"/>
  <c r="G175" i="7"/>
  <c r="E178" i="7"/>
  <c r="F178" i="7"/>
  <c r="G178" i="7"/>
  <c r="H179" i="7"/>
  <c r="I179" i="7"/>
  <c r="J179" i="7"/>
  <c r="K179" i="7"/>
  <c r="L179" i="7"/>
  <c r="M179" i="7"/>
  <c r="N179" i="7"/>
  <c r="O179" i="7"/>
  <c r="C183" i="7"/>
  <c r="E186" i="7"/>
  <c r="F186" i="7"/>
  <c r="G186" i="7"/>
  <c r="H186" i="7"/>
  <c r="I186" i="7"/>
  <c r="J186" i="7"/>
  <c r="K186" i="7"/>
  <c r="L186" i="7"/>
  <c r="M186" i="7"/>
  <c r="N186" i="7"/>
  <c r="O186" i="7"/>
  <c r="E187" i="7"/>
  <c r="F187" i="7"/>
  <c r="I187" i="7"/>
  <c r="J187" i="7"/>
  <c r="K187" i="7"/>
  <c r="L187" i="7"/>
  <c r="M187" i="7"/>
  <c r="N187" i="7"/>
  <c r="O187" i="7"/>
  <c r="E189" i="7"/>
  <c r="F189" i="7"/>
  <c r="G189" i="7"/>
  <c r="H189" i="7"/>
  <c r="I189" i="7"/>
  <c r="J189" i="7"/>
  <c r="K189" i="7"/>
  <c r="L189" i="7"/>
  <c r="M189" i="7"/>
  <c r="N189" i="7"/>
  <c r="O189" i="7"/>
  <c r="E196" i="7"/>
  <c r="F196" i="7"/>
  <c r="G196" i="7"/>
  <c r="H196" i="7"/>
  <c r="I196" i="7"/>
  <c r="J196" i="7"/>
  <c r="K196" i="7"/>
  <c r="L196" i="7"/>
  <c r="M196" i="7"/>
  <c r="N196" i="7"/>
  <c r="O196" i="7"/>
  <c r="F197" i="7"/>
  <c r="G197" i="7"/>
  <c r="H197" i="7"/>
  <c r="I197" i="7"/>
  <c r="J197" i="7"/>
  <c r="K197" i="7"/>
  <c r="L197" i="7"/>
  <c r="M197" i="7"/>
  <c r="N197" i="7"/>
  <c r="O197" i="7"/>
  <c r="E199" i="7"/>
  <c r="F199" i="7"/>
  <c r="G199" i="7"/>
  <c r="H199" i="7"/>
  <c r="I199" i="7"/>
  <c r="J199" i="7"/>
  <c r="K199" i="7"/>
  <c r="L199" i="7"/>
  <c r="M199" i="7"/>
  <c r="N199" i="7"/>
  <c r="O199" i="7"/>
  <c r="E200" i="7"/>
  <c r="F200" i="7"/>
  <c r="I200" i="7"/>
  <c r="J200" i="7"/>
  <c r="K200" i="7"/>
  <c r="L200" i="7"/>
  <c r="M200" i="7"/>
  <c r="N200" i="7"/>
  <c r="O200" i="7"/>
  <c r="E202" i="7"/>
  <c r="F202" i="7"/>
  <c r="G202" i="7"/>
  <c r="H202" i="7"/>
  <c r="I202" i="7"/>
  <c r="J202" i="7"/>
  <c r="K202" i="7"/>
  <c r="L202" i="7"/>
  <c r="M202" i="7"/>
  <c r="N202" i="7"/>
  <c r="O202" i="7"/>
  <c r="F203" i="7"/>
  <c r="G203" i="7"/>
  <c r="H203" i="7"/>
  <c r="I203" i="7"/>
  <c r="J203" i="7"/>
  <c r="K203" i="7"/>
  <c r="L203" i="7"/>
  <c r="M203" i="7"/>
  <c r="N203" i="7"/>
  <c r="O203" i="7"/>
  <c r="H205" i="7"/>
  <c r="I205" i="7"/>
  <c r="J205" i="7"/>
  <c r="K205" i="7"/>
  <c r="L205" i="7"/>
  <c r="M205" i="7"/>
  <c r="N205" i="7"/>
  <c r="O205" i="7"/>
  <c r="E210" i="7"/>
  <c r="F210" i="7"/>
  <c r="G210" i="7"/>
  <c r="E213" i="7"/>
  <c r="F213" i="7"/>
  <c r="G213" i="7"/>
  <c r="H214" i="7"/>
  <c r="I214" i="7"/>
  <c r="J214" i="7"/>
  <c r="K214" i="7"/>
  <c r="L214" i="7"/>
  <c r="M214" i="7"/>
  <c r="N214" i="7"/>
  <c r="O214" i="7"/>
  <c r="C218" i="7"/>
  <c r="E221" i="7"/>
  <c r="F221" i="7"/>
  <c r="G221" i="7"/>
  <c r="H221" i="7"/>
  <c r="I221" i="7"/>
  <c r="J221" i="7"/>
  <c r="K221" i="7"/>
  <c r="L221" i="7"/>
  <c r="M221" i="7"/>
  <c r="N221" i="7"/>
  <c r="O221" i="7"/>
  <c r="E222" i="7"/>
  <c r="F222" i="7"/>
  <c r="I222" i="7"/>
  <c r="J222" i="7"/>
  <c r="K222" i="7"/>
  <c r="L222" i="7"/>
  <c r="M222" i="7"/>
  <c r="N222" i="7"/>
  <c r="O222" i="7"/>
  <c r="E224" i="7"/>
  <c r="F224" i="7"/>
  <c r="G224" i="7"/>
  <c r="H224" i="7"/>
  <c r="I224" i="7"/>
  <c r="J224" i="7"/>
  <c r="K224" i="7"/>
  <c r="L224" i="7"/>
  <c r="M224" i="7"/>
  <c r="N224" i="7"/>
  <c r="O224" i="7"/>
  <c r="E231" i="7"/>
  <c r="F231" i="7"/>
  <c r="G231" i="7"/>
  <c r="H231" i="7"/>
  <c r="I231" i="7"/>
  <c r="J231" i="7"/>
  <c r="K231" i="7"/>
  <c r="L231" i="7"/>
  <c r="M231" i="7"/>
  <c r="N231" i="7"/>
  <c r="O231" i="7"/>
  <c r="F232" i="7"/>
  <c r="G232" i="7"/>
  <c r="H232" i="7"/>
  <c r="I232" i="7"/>
  <c r="J232" i="7"/>
  <c r="K232" i="7"/>
  <c r="L232" i="7"/>
  <c r="M232" i="7"/>
  <c r="N232" i="7"/>
  <c r="O232" i="7"/>
  <c r="E234" i="7"/>
  <c r="F234" i="7"/>
  <c r="G234" i="7"/>
  <c r="H234" i="7"/>
  <c r="I234" i="7"/>
  <c r="J234" i="7"/>
  <c r="K234" i="7"/>
  <c r="L234" i="7"/>
  <c r="M234" i="7"/>
  <c r="N234" i="7"/>
  <c r="O234" i="7"/>
  <c r="E235" i="7"/>
  <c r="F235" i="7"/>
  <c r="I235" i="7"/>
  <c r="J235" i="7"/>
  <c r="K235" i="7"/>
  <c r="L235" i="7"/>
  <c r="M235" i="7"/>
  <c r="N235" i="7"/>
  <c r="O235" i="7"/>
  <c r="E237" i="7"/>
  <c r="F237" i="7"/>
  <c r="G237" i="7"/>
  <c r="H237" i="7"/>
  <c r="I237" i="7"/>
  <c r="J237" i="7"/>
  <c r="K237" i="7"/>
  <c r="L237" i="7"/>
  <c r="M237" i="7"/>
  <c r="N237" i="7"/>
  <c r="O237" i="7"/>
  <c r="F238" i="7"/>
  <c r="G238" i="7"/>
  <c r="H238" i="7"/>
  <c r="I238" i="7"/>
  <c r="J238" i="7"/>
  <c r="K238" i="7"/>
  <c r="L238" i="7"/>
  <c r="M238" i="7"/>
  <c r="N238" i="7"/>
  <c r="O238" i="7"/>
  <c r="H240" i="7"/>
  <c r="I240" i="7"/>
  <c r="J240" i="7"/>
  <c r="K240" i="7"/>
  <c r="L240" i="7"/>
  <c r="M240" i="7"/>
  <c r="N240" i="7"/>
  <c r="O240" i="7"/>
  <c r="E245" i="7"/>
  <c r="F245" i="7"/>
  <c r="G245" i="7"/>
  <c r="E248" i="7"/>
  <c r="F248" i="7"/>
  <c r="G248" i="7"/>
  <c r="H249" i="7"/>
  <c r="I249" i="7"/>
  <c r="J249" i="7"/>
  <c r="K249" i="7"/>
  <c r="L249" i="7"/>
  <c r="M249" i="7"/>
  <c r="N249" i="7"/>
  <c r="O249" i="7"/>
  <c r="C253" i="7"/>
  <c r="E256" i="7"/>
  <c r="F256" i="7"/>
  <c r="G256" i="7"/>
  <c r="H256" i="7"/>
  <c r="I256" i="7"/>
  <c r="J256" i="7"/>
  <c r="K256" i="7"/>
  <c r="L256" i="7"/>
  <c r="M256" i="7"/>
  <c r="N256" i="7"/>
  <c r="O256" i="7"/>
  <c r="E257" i="7"/>
  <c r="F257" i="7"/>
  <c r="I257" i="7"/>
  <c r="J257" i="7"/>
  <c r="K257" i="7"/>
  <c r="L257" i="7"/>
  <c r="M257" i="7"/>
  <c r="N257" i="7"/>
  <c r="O257" i="7"/>
  <c r="E259" i="7"/>
  <c r="F259" i="7"/>
  <c r="G259" i="7"/>
  <c r="H259" i="7"/>
  <c r="I259" i="7"/>
  <c r="J259" i="7"/>
  <c r="K259" i="7"/>
  <c r="L259" i="7"/>
  <c r="M259" i="7"/>
  <c r="N259" i="7"/>
  <c r="O259" i="7"/>
  <c r="E266" i="7"/>
  <c r="F266" i="7"/>
  <c r="G266" i="7"/>
  <c r="H266" i="7"/>
  <c r="I266" i="7"/>
  <c r="J266" i="7"/>
  <c r="K266" i="7"/>
  <c r="L266" i="7"/>
  <c r="M266" i="7"/>
  <c r="N266" i="7"/>
  <c r="O266" i="7"/>
  <c r="F267" i="7"/>
  <c r="G267" i="7"/>
  <c r="H267" i="7"/>
  <c r="I267" i="7"/>
  <c r="J267" i="7"/>
  <c r="K267" i="7"/>
  <c r="L267" i="7"/>
  <c r="M267" i="7"/>
  <c r="N267" i="7"/>
  <c r="O267" i="7"/>
  <c r="E269" i="7"/>
  <c r="F269" i="7"/>
  <c r="G269" i="7"/>
  <c r="H269" i="7"/>
  <c r="I269" i="7"/>
  <c r="J269" i="7"/>
  <c r="K269" i="7"/>
  <c r="L269" i="7"/>
  <c r="M269" i="7"/>
  <c r="N269" i="7"/>
  <c r="O269" i="7"/>
  <c r="E270" i="7"/>
  <c r="F270" i="7"/>
  <c r="I270" i="7"/>
  <c r="J270" i="7"/>
  <c r="K270" i="7"/>
  <c r="L270" i="7"/>
  <c r="M270" i="7"/>
  <c r="N270" i="7"/>
  <c r="O270" i="7"/>
  <c r="E272" i="7"/>
  <c r="F272" i="7"/>
  <c r="G272" i="7"/>
  <c r="H272" i="7"/>
  <c r="I272" i="7"/>
  <c r="J272" i="7"/>
  <c r="K272" i="7"/>
  <c r="L272" i="7"/>
  <c r="M272" i="7"/>
  <c r="N272" i="7"/>
  <c r="O272" i="7"/>
  <c r="F273" i="7"/>
  <c r="G273" i="7"/>
  <c r="H273" i="7"/>
  <c r="I273" i="7"/>
  <c r="J273" i="7"/>
  <c r="K273" i="7"/>
  <c r="L273" i="7"/>
  <c r="M273" i="7"/>
  <c r="N273" i="7"/>
  <c r="O273" i="7"/>
  <c r="H275" i="7"/>
  <c r="I275" i="7"/>
  <c r="J275" i="7"/>
  <c r="K275" i="7"/>
  <c r="L275" i="7"/>
  <c r="M275" i="7"/>
  <c r="N275" i="7"/>
  <c r="O275" i="7"/>
  <c r="E280" i="7"/>
  <c r="F280" i="7"/>
  <c r="G280" i="7"/>
  <c r="E283" i="7"/>
  <c r="F283" i="7"/>
  <c r="G283" i="7"/>
  <c r="H284" i="7"/>
  <c r="I284" i="7"/>
  <c r="J284" i="7"/>
  <c r="K284" i="7"/>
  <c r="L284" i="7"/>
  <c r="M284" i="7"/>
  <c r="N284" i="7"/>
  <c r="O284" i="7"/>
  <c r="C288" i="7"/>
  <c r="E291" i="7"/>
  <c r="F291" i="7"/>
  <c r="G291" i="7"/>
  <c r="H291" i="7"/>
  <c r="I291" i="7"/>
  <c r="J291" i="7"/>
  <c r="K291" i="7"/>
  <c r="L291" i="7"/>
  <c r="M291" i="7"/>
  <c r="N291" i="7"/>
  <c r="O291" i="7"/>
  <c r="E292" i="7"/>
  <c r="F292" i="7"/>
  <c r="I292" i="7"/>
  <c r="J292" i="7"/>
  <c r="K292" i="7"/>
  <c r="L292" i="7"/>
  <c r="M292" i="7"/>
  <c r="N292" i="7"/>
  <c r="O292" i="7"/>
  <c r="E294" i="7"/>
  <c r="F294" i="7"/>
  <c r="G294" i="7"/>
  <c r="H294" i="7"/>
  <c r="I294" i="7"/>
  <c r="J294" i="7"/>
  <c r="K294" i="7"/>
  <c r="L294" i="7"/>
  <c r="M294" i="7"/>
  <c r="N294" i="7"/>
  <c r="O294" i="7"/>
  <c r="E301" i="7"/>
  <c r="F301" i="7"/>
  <c r="G301" i="7"/>
  <c r="H301" i="7"/>
  <c r="I301" i="7"/>
  <c r="J301" i="7"/>
  <c r="K301" i="7"/>
  <c r="L301" i="7"/>
  <c r="M301" i="7"/>
  <c r="N301" i="7"/>
  <c r="O301" i="7"/>
  <c r="F302" i="7"/>
  <c r="G302" i="7"/>
  <c r="H302" i="7"/>
  <c r="I302" i="7"/>
  <c r="J302" i="7"/>
  <c r="K302" i="7"/>
  <c r="L302" i="7"/>
  <c r="M302" i="7"/>
  <c r="N302" i="7"/>
  <c r="O302" i="7"/>
  <c r="E304" i="7"/>
  <c r="F304" i="7"/>
  <c r="G304" i="7"/>
  <c r="H304" i="7"/>
  <c r="I304" i="7"/>
  <c r="J304" i="7"/>
  <c r="K304" i="7"/>
  <c r="L304" i="7"/>
  <c r="M304" i="7"/>
  <c r="N304" i="7"/>
  <c r="O304" i="7"/>
  <c r="E305" i="7"/>
  <c r="F305" i="7"/>
  <c r="I305" i="7"/>
  <c r="J305" i="7"/>
  <c r="K305" i="7"/>
  <c r="L305" i="7"/>
  <c r="M305" i="7"/>
  <c r="N305" i="7"/>
  <c r="O305" i="7"/>
  <c r="E307" i="7"/>
  <c r="F307" i="7"/>
  <c r="G307" i="7"/>
  <c r="H307" i="7"/>
  <c r="I307" i="7"/>
  <c r="J307" i="7"/>
  <c r="K307" i="7"/>
  <c r="L307" i="7"/>
  <c r="M307" i="7"/>
  <c r="N307" i="7"/>
  <c r="O307" i="7"/>
  <c r="F308" i="7"/>
  <c r="G308" i="7"/>
  <c r="H308" i="7"/>
  <c r="I308" i="7"/>
  <c r="J308" i="7"/>
  <c r="K308" i="7"/>
  <c r="L308" i="7"/>
  <c r="M308" i="7"/>
  <c r="N308" i="7"/>
  <c r="O308" i="7"/>
  <c r="H310" i="7"/>
  <c r="I310" i="7"/>
  <c r="J310" i="7"/>
  <c r="K310" i="7"/>
  <c r="L310" i="7"/>
  <c r="M310" i="7"/>
  <c r="N310" i="7"/>
  <c r="O310" i="7"/>
  <c r="E315" i="7"/>
  <c r="F315" i="7"/>
  <c r="G315" i="7"/>
  <c r="E318" i="7"/>
  <c r="F318" i="7"/>
  <c r="G318" i="7"/>
  <c r="H319" i="7"/>
  <c r="I319" i="7"/>
  <c r="J319" i="7"/>
  <c r="K319" i="7"/>
  <c r="L319" i="7"/>
  <c r="M319" i="7"/>
  <c r="N319" i="7"/>
  <c r="O319" i="7"/>
  <c r="C3" i="12"/>
  <c r="E3" i="12"/>
  <c r="F3" i="12"/>
  <c r="G3" i="12"/>
  <c r="H3" i="12"/>
  <c r="I3" i="12"/>
  <c r="J3" i="12"/>
  <c r="K3" i="12"/>
  <c r="L3" i="12"/>
  <c r="M3" i="12"/>
  <c r="N3" i="12"/>
  <c r="O3" i="12"/>
  <c r="E4" i="12"/>
  <c r="F4" i="12"/>
  <c r="I4" i="12"/>
  <c r="J4" i="12"/>
  <c r="K4" i="12"/>
  <c r="L4" i="12"/>
  <c r="M4" i="12"/>
  <c r="N4" i="12"/>
  <c r="O4" i="12"/>
  <c r="E9" i="12"/>
  <c r="F9" i="12"/>
  <c r="G9" i="12"/>
  <c r="H9" i="12"/>
  <c r="I9" i="12"/>
  <c r="J9" i="12"/>
  <c r="K9" i="12"/>
  <c r="L9" i="12"/>
  <c r="C11" i="12"/>
  <c r="D11" i="12"/>
  <c r="E11" i="12"/>
  <c r="F11" i="12"/>
  <c r="G11" i="12"/>
  <c r="H11" i="12"/>
  <c r="I11" i="12"/>
  <c r="J11" i="12"/>
  <c r="K11" i="12"/>
  <c r="L11" i="12"/>
  <c r="C12" i="12"/>
  <c r="D12" i="12"/>
  <c r="E12" i="12"/>
  <c r="F12" i="12"/>
  <c r="G12" i="12"/>
  <c r="H12" i="12"/>
  <c r="I12" i="12"/>
  <c r="J12" i="12"/>
  <c r="K12" i="12"/>
  <c r="L12" i="12"/>
  <c r="C13" i="12"/>
  <c r="D13" i="12"/>
  <c r="E13" i="12"/>
  <c r="F13" i="12"/>
  <c r="G13" i="12"/>
  <c r="H13" i="12"/>
  <c r="I13" i="12"/>
  <c r="J13" i="12"/>
  <c r="K13" i="12"/>
  <c r="L13" i="12"/>
  <c r="C14" i="12"/>
  <c r="D14" i="12"/>
  <c r="E14" i="12"/>
  <c r="F14" i="12"/>
  <c r="G14" i="12"/>
  <c r="H14" i="12"/>
  <c r="I14" i="12"/>
  <c r="J14" i="12"/>
  <c r="K14" i="12"/>
  <c r="L14" i="12"/>
  <c r="C15" i="12"/>
  <c r="D15" i="12"/>
  <c r="E15" i="12"/>
  <c r="F15" i="12"/>
  <c r="G15" i="12"/>
  <c r="H15" i="12"/>
  <c r="I15" i="12"/>
  <c r="J15" i="12"/>
  <c r="K15" i="12"/>
  <c r="L15" i="12"/>
  <c r="C16" i="12"/>
  <c r="D16" i="12"/>
  <c r="E16" i="12"/>
  <c r="F16" i="12"/>
  <c r="G16" i="12"/>
  <c r="H16" i="12"/>
  <c r="I16" i="12"/>
  <c r="J16" i="12"/>
  <c r="K16" i="12"/>
  <c r="L16" i="12"/>
  <c r="C17" i="12"/>
  <c r="D17" i="12"/>
  <c r="E17" i="12"/>
  <c r="F17" i="12"/>
  <c r="G17" i="12"/>
  <c r="H17" i="12"/>
  <c r="I17" i="12"/>
  <c r="J17" i="12"/>
  <c r="K17" i="12"/>
  <c r="L17" i="12"/>
  <c r="C18" i="12"/>
  <c r="D18" i="12"/>
  <c r="E18" i="12"/>
  <c r="F18" i="12"/>
  <c r="G18" i="12"/>
  <c r="H18" i="12"/>
  <c r="I18" i="12"/>
  <c r="J18" i="12"/>
  <c r="K18" i="12"/>
  <c r="L18" i="12"/>
  <c r="C19" i="12"/>
  <c r="D19" i="12"/>
  <c r="E19" i="12"/>
  <c r="F19" i="12"/>
  <c r="G19" i="12"/>
  <c r="H19" i="12"/>
  <c r="I19" i="12"/>
  <c r="J19" i="12"/>
  <c r="K19" i="12"/>
  <c r="L19" i="12"/>
  <c r="C25" i="12"/>
  <c r="E25" i="12"/>
  <c r="F25" i="12"/>
  <c r="G25" i="12"/>
  <c r="H25" i="12"/>
  <c r="I25" i="12"/>
  <c r="J25" i="12"/>
  <c r="K25" i="12"/>
  <c r="L25" i="12"/>
  <c r="M25" i="12"/>
  <c r="N25" i="12"/>
  <c r="O25" i="12"/>
  <c r="E26" i="12"/>
  <c r="F26" i="12"/>
  <c r="I26" i="12"/>
  <c r="J26" i="12"/>
  <c r="K26" i="12"/>
  <c r="L26" i="12"/>
  <c r="M26" i="12"/>
  <c r="N26" i="12"/>
  <c r="O26" i="12"/>
  <c r="G28" i="12"/>
  <c r="H28" i="12"/>
  <c r="I28" i="12"/>
  <c r="J28" i="12"/>
  <c r="K28" i="12"/>
  <c r="L28" i="12"/>
  <c r="M28" i="12"/>
  <c r="N28" i="12"/>
  <c r="O28" i="12"/>
  <c r="G29" i="12"/>
  <c r="H29" i="12"/>
  <c r="I29" i="12"/>
  <c r="J29" i="12"/>
  <c r="K29" i="12"/>
  <c r="L29" i="12"/>
  <c r="M29" i="12"/>
  <c r="N29" i="12"/>
  <c r="O29" i="12"/>
  <c r="G30" i="12"/>
  <c r="H30" i="12"/>
  <c r="I30" i="12"/>
  <c r="J30" i="12"/>
  <c r="K30" i="12"/>
  <c r="L30" i="12"/>
  <c r="M30" i="12"/>
  <c r="N30" i="12"/>
  <c r="O30" i="12"/>
  <c r="G31" i="12"/>
  <c r="H31" i="12"/>
  <c r="I31" i="12"/>
  <c r="J31" i="12"/>
  <c r="K31" i="12"/>
  <c r="L31" i="12"/>
  <c r="M31" i="12"/>
  <c r="N31" i="12"/>
  <c r="O31" i="12"/>
  <c r="G32" i="12"/>
  <c r="H32" i="12"/>
  <c r="I32" i="12"/>
  <c r="J32" i="12"/>
  <c r="K32" i="12"/>
  <c r="L32" i="12"/>
  <c r="M32" i="12"/>
  <c r="N32" i="12"/>
  <c r="O32" i="12"/>
  <c r="G33" i="12"/>
  <c r="H33" i="12"/>
  <c r="I33" i="12"/>
  <c r="J33" i="12"/>
  <c r="K33" i="12"/>
  <c r="L33" i="12"/>
  <c r="M33" i="12"/>
  <c r="N33" i="12"/>
  <c r="O33" i="12"/>
  <c r="G34" i="12"/>
  <c r="H34" i="12"/>
  <c r="I34" i="12"/>
  <c r="J34" i="12"/>
  <c r="K34" i="12"/>
  <c r="L34" i="12"/>
  <c r="M34" i="12"/>
  <c r="N34" i="12"/>
  <c r="O34" i="12"/>
  <c r="G35" i="12"/>
  <c r="H35" i="12"/>
  <c r="I35" i="12"/>
  <c r="J35" i="12"/>
  <c r="K35" i="12"/>
  <c r="L35" i="12"/>
  <c r="M35" i="12"/>
  <c r="N35" i="12"/>
  <c r="O35" i="12"/>
  <c r="H36" i="12"/>
  <c r="I36" i="12"/>
  <c r="J36" i="12"/>
  <c r="K36" i="12"/>
  <c r="L36" i="12"/>
  <c r="M36" i="12"/>
  <c r="N36" i="12"/>
  <c r="O36" i="12"/>
  <c r="H37" i="12"/>
  <c r="I37" i="12"/>
  <c r="J37" i="12"/>
  <c r="K37" i="12"/>
  <c r="L37" i="12"/>
  <c r="M37" i="12"/>
  <c r="N37" i="12"/>
  <c r="O37" i="12"/>
  <c r="C43" i="12"/>
  <c r="E43" i="12"/>
  <c r="F43" i="12"/>
  <c r="G43" i="12"/>
  <c r="H43" i="12"/>
  <c r="I43" i="12"/>
  <c r="J43" i="12"/>
  <c r="K43" i="12"/>
  <c r="L43" i="12"/>
  <c r="M43" i="12"/>
  <c r="N43" i="12"/>
  <c r="O43" i="12"/>
  <c r="E44" i="12"/>
  <c r="F44" i="12"/>
  <c r="I44" i="12"/>
  <c r="J44" i="12"/>
  <c r="K44" i="12"/>
  <c r="L44" i="12"/>
  <c r="M44" i="12"/>
  <c r="N44" i="12"/>
  <c r="O44" i="12"/>
  <c r="G46" i="12"/>
  <c r="H46" i="12"/>
  <c r="I46" i="12"/>
  <c r="J46" i="12"/>
  <c r="K46" i="12"/>
  <c r="L46" i="12"/>
  <c r="M46" i="12"/>
  <c r="N46" i="12"/>
  <c r="O46" i="12"/>
  <c r="G47" i="12"/>
  <c r="H47" i="12"/>
  <c r="I47" i="12"/>
  <c r="J47" i="12"/>
  <c r="K47" i="12"/>
  <c r="L47" i="12"/>
  <c r="M47" i="12"/>
  <c r="N47" i="12"/>
  <c r="O47" i="12"/>
  <c r="G48" i="12"/>
  <c r="H48" i="12"/>
  <c r="I48" i="12"/>
  <c r="J48" i="12"/>
  <c r="K48" i="12"/>
  <c r="L48" i="12"/>
  <c r="M48" i="12"/>
  <c r="N48" i="12"/>
  <c r="O48" i="12"/>
  <c r="G49" i="12"/>
  <c r="H49" i="12"/>
  <c r="I49" i="12"/>
  <c r="J49" i="12"/>
  <c r="K49" i="12"/>
  <c r="L49" i="12"/>
  <c r="M49" i="12"/>
  <c r="N49" i="12"/>
  <c r="O49" i="12"/>
  <c r="G50" i="12"/>
  <c r="H50" i="12"/>
  <c r="I50" i="12"/>
  <c r="J50" i="12"/>
  <c r="K50" i="12"/>
  <c r="L50" i="12"/>
  <c r="M50" i="12"/>
  <c r="N50" i="12"/>
  <c r="O50" i="12"/>
  <c r="G51" i="12"/>
  <c r="H51" i="12"/>
  <c r="I51" i="12"/>
  <c r="J51" i="12"/>
  <c r="K51" i="12"/>
  <c r="L51" i="12"/>
  <c r="M51" i="12"/>
  <c r="N51" i="12"/>
  <c r="O51" i="12"/>
  <c r="G52" i="12"/>
  <c r="H52" i="12"/>
  <c r="I52" i="12"/>
  <c r="J52" i="12"/>
  <c r="K52" i="12"/>
  <c r="L52" i="12"/>
  <c r="M52" i="12"/>
  <c r="N52" i="12"/>
  <c r="O52" i="12"/>
  <c r="G53" i="12"/>
  <c r="H53" i="12"/>
  <c r="I53" i="12"/>
  <c r="J53" i="12"/>
  <c r="K53" i="12"/>
  <c r="L53" i="12"/>
  <c r="M53" i="12"/>
  <c r="N53" i="12"/>
  <c r="O53" i="12"/>
  <c r="H54" i="12"/>
  <c r="I54" i="12"/>
  <c r="J54" i="12"/>
  <c r="K54" i="12"/>
  <c r="L54" i="12"/>
  <c r="M54" i="12"/>
  <c r="N54" i="12"/>
  <c r="O54" i="12"/>
  <c r="H55" i="12"/>
  <c r="I55" i="12"/>
  <c r="J55" i="12"/>
  <c r="K55" i="12"/>
  <c r="L55" i="12"/>
  <c r="M55" i="12"/>
  <c r="N55" i="12"/>
  <c r="O55" i="12"/>
  <c r="C61" i="12"/>
  <c r="E61" i="12"/>
  <c r="F61" i="12"/>
  <c r="G61" i="12"/>
  <c r="H61" i="12"/>
  <c r="I61" i="12"/>
  <c r="J61" i="12"/>
  <c r="K61" i="12"/>
  <c r="L61" i="12"/>
  <c r="M61" i="12"/>
  <c r="N61" i="12"/>
  <c r="O61" i="12"/>
  <c r="E62" i="12"/>
  <c r="F62" i="12"/>
  <c r="I62" i="12"/>
  <c r="J62" i="12"/>
  <c r="K62" i="12"/>
  <c r="L62" i="12"/>
  <c r="M62" i="12"/>
  <c r="N62" i="12"/>
  <c r="O62" i="12"/>
  <c r="G64" i="12"/>
  <c r="H64" i="12"/>
  <c r="I64" i="12"/>
  <c r="J64" i="12"/>
  <c r="K64" i="12"/>
  <c r="L64" i="12"/>
  <c r="M64" i="12"/>
  <c r="N64" i="12"/>
  <c r="O64" i="12"/>
  <c r="G65" i="12"/>
  <c r="H65" i="12"/>
  <c r="I65" i="12"/>
  <c r="J65" i="12"/>
  <c r="K65" i="12"/>
  <c r="L65" i="12"/>
  <c r="M65" i="12"/>
  <c r="N65" i="12"/>
  <c r="O65" i="12"/>
  <c r="G66" i="12"/>
  <c r="H66" i="12"/>
  <c r="I66" i="12"/>
  <c r="J66" i="12"/>
  <c r="K66" i="12"/>
  <c r="L66" i="12"/>
  <c r="M66" i="12"/>
  <c r="N66" i="12"/>
  <c r="O66" i="12"/>
  <c r="G67" i="12"/>
  <c r="H67" i="12"/>
  <c r="I67" i="12"/>
  <c r="J67" i="12"/>
  <c r="K67" i="12"/>
  <c r="L67" i="12"/>
  <c r="M67" i="12"/>
  <c r="N67" i="12"/>
  <c r="O67" i="12"/>
  <c r="H68" i="12"/>
  <c r="I68" i="12"/>
  <c r="J68" i="12"/>
  <c r="K68" i="12"/>
  <c r="L68" i="12"/>
  <c r="M68" i="12"/>
  <c r="N68" i="12"/>
  <c r="O68" i="12"/>
  <c r="G69" i="12"/>
  <c r="H69" i="12"/>
  <c r="I69" i="12"/>
  <c r="J69" i="12"/>
  <c r="K69" i="12"/>
  <c r="L69" i="12"/>
  <c r="M69" i="12"/>
  <c r="N69" i="12"/>
  <c r="O69" i="12"/>
  <c r="G70" i="12"/>
  <c r="H70" i="12"/>
  <c r="I70" i="12"/>
  <c r="J70" i="12"/>
  <c r="K70" i="12"/>
  <c r="L70" i="12"/>
  <c r="M70" i="12"/>
  <c r="N70" i="12"/>
  <c r="O70" i="12"/>
  <c r="G71" i="12"/>
  <c r="H71" i="12"/>
  <c r="I71" i="12"/>
  <c r="J71" i="12"/>
  <c r="K71" i="12"/>
  <c r="L71" i="12"/>
  <c r="M71" i="12"/>
  <c r="N71" i="12"/>
  <c r="O71" i="12"/>
  <c r="H72" i="12"/>
  <c r="I72" i="12"/>
  <c r="J72" i="12"/>
  <c r="K72" i="12"/>
  <c r="L72" i="12"/>
  <c r="M72" i="12"/>
  <c r="N72" i="12"/>
  <c r="O72" i="12"/>
  <c r="H73" i="12"/>
  <c r="I73" i="12"/>
  <c r="J73" i="12"/>
  <c r="K73" i="12"/>
  <c r="L73" i="12"/>
  <c r="M73" i="12"/>
  <c r="N73" i="12"/>
  <c r="O73" i="12"/>
  <c r="C79" i="12"/>
  <c r="E79" i="12"/>
  <c r="F79" i="12"/>
  <c r="G79" i="12"/>
  <c r="H79" i="12"/>
  <c r="I79" i="12"/>
  <c r="J79" i="12"/>
  <c r="K79" i="12"/>
  <c r="L79" i="12"/>
  <c r="M79" i="12"/>
  <c r="N79" i="12"/>
  <c r="O79" i="12"/>
  <c r="E80" i="12"/>
  <c r="F80" i="12"/>
  <c r="I80" i="12"/>
  <c r="J80" i="12"/>
  <c r="K80" i="12"/>
  <c r="L80" i="12"/>
  <c r="M80" i="12"/>
  <c r="N80" i="12"/>
  <c r="O80" i="12"/>
  <c r="G82" i="12"/>
  <c r="H82" i="12"/>
  <c r="I82" i="12"/>
  <c r="J82" i="12"/>
  <c r="K82" i="12"/>
  <c r="L82" i="12"/>
  <c r="M82" i="12"/>
  <c r="N82" i="12"/>
  <c r="O82" i="12"/>
  <c r="G83" i="12"/>
  <c r="H83" i="12"/>
  <c r="I83" i="12"/>
  <c r="J83" i="12"/>
  <c r="K83" i="12"/>
  <c r="L83" i="12"/>
  <c r="M83" i="12"/>
  <c r="N83" i="12"/>
  <c r="O83" i="12"/>
  <c r="G84" i="12"/>
  <c r="H84" i="12"/>
  <c r="I84" i="12"/>
  <c r="J84" i="12"/>
  <c r="K84" i="12"/>
  <c r="L84" i="12"/>
  <c r="M84" i="12"/>
  <c r="N84" i="12"/>
  <c r="O84" i="12"/>
  <c r="G85" i="12"/>
  <c r="H85" i="12"/>
  <c r="I85" i="12"/>
  <c r="J85" i="12"/>
  <c r="K85" i="12"/>
  <c r="L85" i="12"/>
  <c r="M85" i="12"/>
  <c r="N85" i="12"/>
  <c r="O85" i="12"/>
  <c r="H86" i="12"/>
  <c r="I86" i="12"/>
  <c r="J86" i="12"/>
  <c r="K86" i="12"/>
  <c r="L86" i="12"/>
  <c r="M86" i="12"/>
  <c r="N86" i="12"/>
  <c r="O86" i="12"/>
  <c r="G87" i="12"/>
  <c r="H87" i="12"/>
  <c r="I87" i="12"/>
  <c r="J87" i="12"/>
  <c r="K87" i="12"/>
  <c r="L87" i="12"/>
  <c r="M87" i="12"/>
  <c r="N87" i="12"/>
  <c r="O87" i="12"/>
  <c r="G88" i="12"/>
  <c r="H88" i="12"/>
  <c r="I88" i="12"/>
  <c r="J88" i="12"/>
  <c r="K88" i="12"/>
  <c r="L88" i="12"/>
  <c r="M88" i="12"/>
  <c r="N88" i="12"/>
  <c r="O88" i="12"/>
  <c r="G89" i="12"/>
  <c r="H89" i="12"/>
  <c r="I89" i="12"/>
  <c r="J89" i="12"/>
  <c r="K89" i="12"/>
  <c r="L89" i="12"/>
  <c r="M89" i="12"/>
  <c r="N89" i="12"/>
  <c r="O89" i="12"/>
  <c r="H90" i="12"/>
  <c r="I90" i="12"/>
  <c r="J90" i="12"/>
  <c r="K90" i="12"/>
  <c r="L90" i="12"/>
  <c r="M90" i="12"/>
  <c r="N90" i="12"/>
  <c r="O90" i="12"/>
  <c r="H91" i="12"/>
  <c r="I91" i="12"/>
  <c r="J91" i="12"/>
  <c r="K91" i="12"/>
  <c r="L91" i="12"/>
  <c r="M91" i="12"/>
  <c r="N91" i="12"/>
  <c r="O91" i="12"/>
  <c r="C97" i="12"/>
  <c r="E97" i="12"/>
  <c r="F97" i="12"/>
  <c r="G97" i="12"/>
  <c r="H97" i="12"/>
  <c r="I97" i="12"/>
  <c r="J97" i="12"/>
  <c r="K97" i="12"/>
  <c r="L97" i="12"/>
  <c r="M97" i="12"/>
  <c r="N97" i="12"/>
  <c r="O97" i="12"/>
  <c r="E98" i="12"/>
  <c r="F98" i="12"/>
  <c r="I98" i="12"/>
  <c r="J98" i="12"/>
  <c r="K98" i="12"/>
  <c r="L98" i="12"/>
  <c r="M98" i="12"/>
  <c r="N98" i="12"/>
  <c r="O98" i="12"/>
  <c r="G100" i="12"/>
  <c r="H100" i="12"/>
  <c r="I100" i="12"/>
  <c r="J100" i="12"/>
  <c r="K100" i="12"/>
  <c r="L100" i="12"/>
  <c r="M100" i="12"/>
  <c r="N100" i="12"/>
  <c r="O100" i="12"/>
  <c r="G101" i="12"/>
  <c r="H101" i="12"/>
  <c r="I101" i="12"/>
  <c r="J101" i="12"/>
  <c r="K101" i="12"/>
  <c r="L101" i="12"/>
  <c r="M101" i="12"/>
  <c r="N101" i="12"/>
  <c r="O101" i="12"/>
  <c r="G102" i="12"/>
  <c r="H102" i="12"/>
  <c r="I102" i="12"/>
  <c r="J102" i="12"/>
  <c r="K102" i="12"/>
  <c r="L102" i="12"/>
  <c r="M102" i="12"/>
  <c r="N102" i="12"/>
  <c r="O102" i="12"/>
  <c r="G103" i="12"/>
  <c r="H103" i="12"/>
  <c r="I103" i="12"/>
  <c r="J103" i="12"/>
  <c r="K103" i="12"/>
  <c r="L103" i="12"/>
  <c r="M103" i="12"/>
  <c r="N103" i="12"/>
  <c r="O103" i="12"/>
  <c r="H104" i="12"/>
  <c r="I104" i="12"/>
  <c r="J104" i="12"/>
  <c r="K104" i="12"/>
  <c r="L104" i="12"/>
  <c r="M104" i="12"/>
  <c r="N104" i="12"/>
  <c r="O104" i="12"/>
  <c r="G105" i="12"/>
  <c r="H105" i="12"/>
  <c r="I105" i="12"/>
  <c r="J105" i="12"/>
  <c r="K105" i="12"/>
  <c r="L105" i="12"/>
  <c r="M105" i="12"/>
  <c r="N105" i="12"/>
  <c r="O105" i="12"/>
  <c r="G106" i="12"/>
  <c r="H106" i="12"/>
  <c r="I106" i="12"/>
  <c r="J106" i="12"/>
  <c r="K106" i="12"/>
  <c r="L106" i="12"/>
  <c r="M106" i="12"/>
  <c r="N106" i="12"/>
  <c r="O106" i="12"/>
  <c r="G107" i="12"/>
  <c r="H107" i="12"/>
  <c r="I107" i="12"/>
  <c r="J107" i="12"/>
  <c r="K107" i="12"/>
  <c r="L107" i="12"/>
  <c r="M107" i="12"/>
  <c r="N107" i="12"/>
  <c r="O107" i="12"/>
  <c r="H108" i="12"/>
  <c r="I108" i="12"/>
  <c r="J108" i="12"/>
  <c r="K108" i="12"/>
  <c r="L108" i="12"/>
  <c r="M108" i="12"/>
  <c r="N108" i="12"/>
  <c r="O108" i="12"/>
  <c r="H109" i="12"/>
  <c r="I109" i="12"/>
  <c r="J109" i="12"/>
  <c r="K109" i="12"/>
  <c r="L109" i="12"/>
  <c r="M109" i="12"/>
  <c r="N109" i="12"/>
  <c r="O109" i="12"/>
  <c r="C115" i="12"/>
  <c r="E115" i="12"/>
  <c r="F115" i="12"/>
  <c r="G115" i="12"/>
  <c r="H115" i="12"/>
  <c r="I115" i="12"/>
  <c r="J115" i="12"/>
  <c r="K115" i="12"/>
  <c r="L115" i="12"/>
  <c r="M115" i="12"/>
  <c r="N115" i="12"/>
  <c r="O115" i="12"/>
  <c r="E116" i="12"/>
  <c r="F116" i="12"/>
  <c r="I116" i="12"/>
  <c r="J116" i="12"/>
  <c r="K116" i="12"/>
  <c r="L116" i="12"/>
  <c r="M116" i="12"/>
  <c r="N116" i="12"/>
  <c r="O116" i="12"/>
  <c r="G118" i="12"/>
  <c r="H118" i="12"/>
  <c r="I118" i="12"/>
  <c r="J118" i="12"/>
  <c r="K118" i="12"/>
  <c r="L118" i="12"/>
  <c r="M118" i="12"/>
  <c r="N118" i="12"/>
  <c r="O118" i="12"/>
  <c r="G119" i="12"/>
  <c r="H119" i="12"/>
  <c r="I119" i="12"/>
  <c r="J119" i="12"/>
  <c r="K119" i="12"/>
  <c r="L119" i="12"/>
  <c r="M119" i="12"/>
  <c r="N119" i="12"/>
  <c r="O119" i="12"/>
  <c r="G120" i="12"/>
  <c r="H120" i="12"/>
  <c r="I120" i="12"/>
  <c r="J120" i="12"/>
  <c r="K120" i="12"/>
  <c r="L120" i="12"/>
  <c r="M120" i="12"/>
  <c r="N120" i="12"/>
  <c r="O120" i="12"/>
  <c r="G121" i="12"/>
  <c r="H121" i="12"/>
  <c r="I121" i="12"/>
  <c r="J121" i="12"/>
  <c r="K121" i="12"/>
  <c r="L121" i="12"/>
  <c r="M121" i="12"/>
  <c r="N121" i="12"/>
  <c r="O121" i="12"/>
  <c r="H122" i="12"/>
  <c r="I122" i="12"/>
  <c r="J122" i="12"/>
  <c r="K122" i="12"/>
  <c r="L122" i="12"/>
  <c r="M122" i="12"/>
  <c r="N122" i="12"/>
  <c r="O122" i="12"/>
  <c r="G123" i="12"/>
  <c r="H123" i="12"/>
  <c r="I123" i="12"/>
  <c r="J123" i="12"/>
  <c r="K123" i="12"/>
  <c r="L123" i="12"/>
  <c r="M123" i="12"/>
  <c r="N123" i="12"/>
  <c r="O123" i="12"/>
  <c r="G124" i="12"/>
  <c r="H124" i="12"/>
  <c r="I124" i="12"/>
  <c r="J124" i="12"/>
  <c r="K124" i="12"/>
  <c r="L124" i="12"/>
  <c r="M124" i="12"/>
  <c r="N124" i="12"/>
  <c r="O124" i="12"/>
  <c r="G125" i="12"/>
  <c r="H125" i="12"/>
  <c r="I125" i="12"/>
  <c r="J125" i="12"/>
  <c r="K125" i="12"/>
  <c r="L125" i="12"/>
  <c r="M125" i="12"/>
  <c r="N125" i="12"/>
  <c r="O125" i="12"/>
  <c r="H126" i="12"/>
  <c r="I126" i="12"/>
  <c r="J126" i="12"/>
  <c r="K126" i="12"/>
  <c r="L126" i="12"/>
  <c r="M126" i="12"/>
  <c r="N126" i="12"/>
  <c r="O126" i="12"/>
  <c r="H127" i="12"/>
  <c r="I127" i="12"/>
  <c r="J127" i="12"/>
  <c r="K127" i="12"/>
  <c r="L127" i="12"/>
  <c r="M127" i="12"/>
  <c r="N127" i="12"/>
  <c r="O127" i="12"/>
  <c r="C133" i="12"/>
  <c r="E133" i="12"/>
  <c r="F133" i="12"/>
  <c r="G133" i="12"/>
  <c r="H133" i="12"/>
  <c r="I133" i="12"/>
  <c r="J133" i="12"/>
  <c r="K133" i="12"/>
  <c r="L133" i="12"/>
  <c r="M133" i="12"/>
  <c r="N133" i="12"/>
  <c r="O133" i="12"/>
  <c r="E134" i="12"/>
  <c r="F134" i="12"/>
  <c r="I134" i="12"/>
  <c r="J134" i="12"/>
  <c r="K134" i="12"/>
  <c r="L134" i="12"/>
  <c r="M134" i="12"/>
  <c r="N134" i="12"/>
  <c r="O134" i="12"/>
  <c r="G136" i="12"/>
  <c r="H136" i="12"/>
  <c r="I136" i="12"/>
  <c r="J136" i="12"/>
  <c r="K136" i="12"/>
  <c r="L136" i="12"/>
  <c r="M136" i="12"/>
  <c r="N136" i="12"/>
  <c r="O136" i="12"/>
  <c r="G137" i="12"/>
  <c r="H137" i="12"/>
  <c r="I137" i="12"/>
  <c r="J137" i="12"/>
  <c r="K137" i="12"/>
  <c r="L137" i="12"/>
  <c r="M137" i="12"/>
  <c r="N137" i="12"/>
  <c r="O137" i="12"/>
  <c r="G138" i="12"/>
  <c r="H138" i="12"/>
  <c r="I138" i="12"/>
  <c r="J138" i="12"/>
  <c r="K138" i="12"/>
  <c r="L138" i="12"/>
  <c r="M138" i="12"/>
  <c r="N138" i="12"/>
  <c r="O138" i="12"/>
  <c r="G139" i="12"/>
  <c r="H139" i="12"/>
  <c r="I139" i="12"/>
  <c r="J139" i="12"/>
  <c r="K139" i="12"/>
  <c r="L139" i="12"/>
  <c r="M139" i="12"/>
  <c r="N139" i="12"/>
  <c r="O139" i="12"/>
  <c r="H140" i="12"/>
  <c r="I140" i="12"/>
  <c r="J140" i="12"/>
  <c r="K140" i="12"/>
  <c r="L140" i="12"/>
  <c r="M140" i="12"/>
  <c r="N140" i="12"/>
  <c r="O140" i="12"/>
  <c r="G141" i="12"/>
  <c r="H141" i="12"/>
  <c r="I141" i="12"/>
  <c r="J141" i="12"/>
  <c r="K141" i="12"/>
  <c r="L141" i="12"/>
  <c r="M141" i="12"/>
  <c r="N141" i="12"/>
  <c r="O141" i="12"/>
  <c r="G142" i="12"/>
  <c r="H142" i="12"/>
  <c r="I142" i="12"/>
  <c r="J142" i="12"/>
  <c r="K142" i="12"/>
  <c r="L142" i="12"/>
  <c r="M142" i="12"/>
  <c r="N142" i="12"/>
  <c r="O142" i="12"/>
  <c r="G143" i="12"/>
  <c r="H143" i="12"/>
  <c r="I143" i="12"/>
  <c r="J143" i="12"/>
  <c r="K143" i="12"/>
  <c r="L143" i="12"/>
  <c r="M143" i="12"/>
  <c r="N143" i="12"/>
  <c r="O143" i="12"/>
  <c r="H144" i="12"/>
  <c r="I144" i="12"/>
  <c r="J144" i="12"/>
  <c r="K144" i="12"/>
  <c r="L144" i="12"/>
  <c r="M144" i="12"/>
  <c r="N144" i="12"/>
  <c r="O144" i="12"/>
  <c r="H145" i="12"/>
  <c r="I145" i="12"/>
  <c r="J145" i="12"/>
  <c r="K145" i="12"/>
  <c r="L145" i="12"/>
  <c r="M145" i="12"/>
  <c r="N145" i="12"/>
  <c r="O145" i="12"/>
  <c r="C151" i="12"/>
  <c r="E151" i="12"/>
  <c r="F151" i="12"/>
  <c r="G151" i="12"/>
  <c r="H151" i="12"/>
  <c r="I151" i="12"/>
  <c r="J151" i="12"/>
  <c r="K151" i="12"/>
  <c r="L151" i="12"/>
  <c r="M151" i="12"/>
  <c r="N151" i="12"/>
  <c r="O151" i="12"/>
  <c r="E152" i="12"/>
  <c r="F152" i="12"/>
  <c r="I152" i="12"/>
  <c r="J152" i="12"/>
  <c r="K152" i="12"/>
  <c r="L152" i="12"/>
  <c r="M152" i="12"/>
  <c r="N152" i="12"/>
  <c r="O152" i="12"/>
  <c r="G154" i="12"/>
  <c r="H154" i="12"/>
  <c r="I154" i="12"/>
  <c r="J154" i="12"/>
  <c r="K154" i="12"/>
  <c r="L154" i="12"/>
  <c r="M154" i="12"/>
  <c r="N154" i="12"/>
  <c r="O154" i="12"/>
  <c r="G155" i="12"/>
  <c r="H155" i="12"/>
  <c r="I155" i="12"/>
  <c r="J155" i="12"/>
  <c r="K155" i="12"/>
  <c r="L155" i="12"/>
  <c r="M155" i="12"/>
  <c r="N155" i="12"/>
  <c r="O155" i="12"/>
  <c r="G156" i="12"/>
  <c r="H156" i="12"/>
  <c r="I156" i="12"/>
  <c r="J156" i="12"/>
  <c r="K156" i="12"/>
  <c r="L156" i="12"/>
  <c r="M156" i="12"/>
  <c r="N156" i="12"/>
  <c r="O156" i="12"/>
  <c r="G157" i="12"/>
  <c r="H157" i="12"/>
  <c r="I157" i="12"/>
  <c r="J157" i="12"/>
  <c r="K157" i="12"/>
  <c r="L157" i="12"/>
  <c r="M157" i="12"/>
  <c r="N157" i="12"/>
  <c r="O157" i="12"/>
  <c r="H158" i="12"/>
  <c r="I158" i="12"/>
  <c r="J158" i="12"/>
  <c r="K158" i="12"/>
  <c r="L158" i="12"/>
  <c r="M158" i="12"/>
  <c r="N158" i="12"/>
  <c r="O158" i="12"/>
  <c r="G159" i="12"/>
  <c r="H159" i="12"/>
  <c r="I159" i="12"/>
  <c r="J159" i="12"/>
  <c r="K159" i="12"/>
  <c r="L159" i="12"/>
  <c r="M159" i="12"/>
  <c r="N159" i="12"/>
  <c r="O159" i="12"/>
  <c r="G160" i="12"/>
  <c r="H160" i="12"/>
  <c r="I160" i="12"/>
  <c r="J160" i="12"/>
  <c r="K160" i="12"/>
  <c r="L160" i="12"/>
  <c r="M160" i="12"/>
  <c r="N160" i="12"/>
  <c r="O160" i="12"/>
  <c r="G161" i="12"/>
  <c r="H161" i="12"/>
  <c r="I161" i="12"/>
  <c r="J161" i="12"/>
  <c r="K161" i="12"/>
  <c r="L161" i="12"/>
  <c r="M161" i="12"/>
  <c r="N161" i="12"/>
  <c r="O161" i="12"/>
  <c r="H162" i="12"/>
  <c r="I162" i="12"/>
  <c r="J162" i="12"/>
  <c r="K162" i="12"/>
  <c r="L162" i="12"/>
  <c r="M162" i="12"/>
  <c r="N162" i="12"/>
  <c r="O162" i="12"/>
  <c r="H163" i="12"/>
  <c r="I163" i="12"/>
  <c r="J163" i="12"/>
  <c r="K163" i="12"/>
  <c r="L163" i="12"/>
  <c r="M163" i="12"/>
  <c r="N163" i="12"/>
  <c r="O163" i="12"/>
  <c r="C169" i="12"/>
  <c r="E169" i="12"/>
  <c r="F169" i="12"/>
  <c r="G169" i="12"/>
  <c r="H169" i="12"/>
  <c r="I169" i="12"/>
  <c r="J169" i="12"/>
  <c r="K169" i="12"/>
  <c r="L169" i="12"/>
  <c r="M169" i="12"/>
  <c r="N169" i="12"/>
  <c r="O169" i="12"/>
  <c r="E170" i="12"/>
  <c r="F170" i="12"/>
  <c r="I170" i="12"/>
  <c r="J170" i="12"/>
  <c r="K170" i="12"/>
  <c r="L170" i="12"/>
  <c r="M170" i="12"/>
  <c r="N170" i="12"/>
  <c r="O170" i="12"/>
  <c r="G172" i="12"/>
  <c r="H172" i="12"/>
  <c r="I172" i="12"/>
  <c r="J172" i="12"/>
  <c r="K172" i="12"/>
  <c r="L172" i="12"/>
  <c r="M172" i="12"/>
  <c r="N172" i="12"/>
  <c r="O172" i="12"/>
  <c r="G173" i="12"/>
  <c r="H173" i="12"/>
  <c r="I173" i="12"/>
  <c r="J173" i="12"/>
  <c r="K173" i="12"/>
  <c r="L173" i="12"/>
  <c r="M173" i="12"/>
  <c r="N173" i="12"/>
  <c r="O173" i="12"/>
  <c r="G174" i="12"/>
  <c r="H174" i="12"/>
  <c r="I174" i="12"/>
  <c r="J174" i="12"/>
  <c r="K174" i="12"/>
  <c r="L174" i="12"/>
  <c r="M174" i="12"/>
  <c r="N174" i="12"/>
  <c r="O174" i="12"/>
  <c r="G175" i="12"/>
  <c r="H175" i="12"/>
  <c r="I175" i="12"/>
  <c r="J175" i="12"/>
  <c r="K175" i="12"/>
  <c r="L175" i="12"/>
  <c r="M175" i="12"/>
  <c r="N175" i="12"/>
  <c r="O175" i="12"/>
  <c r="H176" i="12"/>
  <c r="I176" i="12"/>
  <c r="J176" i="12"/>
  <c r="K176" i="12"/>
  <c r="L176" i="12"/>
  <c r="M176" i="12"/>
  <c r="N176" i="12"/>
  <c r="O176" i="12"/>
  <c r="G177" i="12"/>
  <c r="H177" i="12"/>
  <c r="I177" i="12"/>
  <c r="J177" i="12"/>
  <c r="K177" i="12"/>
  <c r="L177" i="12"/>
  <c r="M177" i="12"/>
  <c r="N177" i="12"/>
  <c r="O177" i="12"/>
  <c r="G178" i="12"/>
  <c r="H178" i="12"/>
  <c r="I178" i="12"/>
  <c r="J178" i="12"/>
  <c r="K178" i="12"/>
  <c r="L178" i="12"/>
  <c r="M178" i="12"/>
  <c r="N178" i="12"/>
  <c r="O178" i="12"/>
  <c r="G179" i="12"/>
  <c r="H179" i="12"/>
  <c r="I179" i="12"/>
  <c r="J179" i="12"/>
  <c r="K179" i="12"/>
  <c r="L179" i="12"/>
  <c r="M179" i="12"/>
  <c r="N179" i="12"/>
  <c r="O179" i="12"/>
  <c r="H180" i="12"/>
  <c r="I180" i="12"/>
  <c r="J180" i="12"/>
  <c r="K180" i="12"/>
  <c r="L180" i="12"/>
  <c r="M180" i="12"/>
  <c r="N180" i="12"/>
  <c r="O180" i="12"/>
  <c r="H181" i="12"/>
  <c r="I181" i="12"/>
  <c r="J181" i="12"/>
  <c r="K181" i="12"/>
  <c r="L181" i="12"/>
  <c r="M181" i="12"/>
  <c r="N181" i="12"/>
  <c r="O181" i="12"/>
  <c r="C3" i="13"/>
  <c r="E3" i="13"/>
  <c r="F3" i="13"/>
  <c r="G3" i="13"/>
  <c r="H3" i="13"/>
  <c r="I3" i="13"/>
  <c r="J3" i="13"/>
  <c r="K3" i="13"/>
  <c r="L3" i="13"/>
  <c r="M3" i="13"/>
  <c r="N3" i="13"/>
  <c r="O3" i="13"/>
  <c r="E4" i="13"/>
  <c r="F4" i="13"/>
  <c r="I4" i="13"/>
  <c r="J4" i="13"/>
  <c r="K4" i="13"/>
  <c r="L4" i="13"/>
  <c r="M4" i="13"/>
  <c r="N4" i="13"/>
  <c r="O4" i="13"/>
  <c r="E7" i="13"/>
  <c r="F7" i="13"/>
  <c r="G7" i="13"/>
  <c r="H7" i="13"/>
  <c r="I7" i="13"/>
  <c r="J7" i="13"/>
  <c r="K7" i="13"/>
  <c r="L7" i="13"/>
  <c r="M7" i="13"/>
  <c r="N7" i="13"/>
  <c r="O7" i="13"/>
  <c r="C8" i="13"/>
  <c r="H8" i="13"/>
  <c r="I8" i="13"/>
  <c r="J8" i="13"/>
  <c r="K8" i="13"/>
  <c r="L8" i="13"/>
  <c r="M8" i="13"/>
  <c r="N8" i="13"/>
  <c r="O8" i="13"/>
  <c r="C9" i="13"/>
  <c r="H9" i="13"/>
  <c r="I9" i="13"/>
  <c r="J9" i="13"/>
  <c r="K9" i="13"/>
  <c r="L9" i="13"/>
  <c r="M9" i="13"/>
  <c r="N9" i="13"/>
  <c r="O9" i="13"/>
  <c r="C10" i="13"/>
  <c r="H10" i="13"/>
  <c r="I10" i="13"/>
  <c r="J10" i="13"/>
  <c r="K10" i="13"/>
  <c r="L10" i="13"/>
  <c r="M10" i="13"/>
  <c r="N10" i="13"/>
  <c r="O10" i="13"/>
  <c r="C11" i="13"/>
  <c r="H11" i="13"/>
  <c r="I11" i="13"/>
  <c r="J11" i="13"/>
  <c r="K11" i="13"/>
  <c r="L11" i="13"/>
  <c r="M11" i="13"/>
  <c r="N11" i="13"/>
  <c r="O11" i="13"/>
  <c r="E12" i="13"/>
  <c r="F12" i="13"/>
  <c r="G12" i="13"/>
  <c r="H12" i="13"/>
  <c r="I12" i="13"/>
  <c r="J12" i="13"/>
  <c r="K12" i="13"/>
  <c r="L12" i="13"/>
  <c r="M12" i="13"/>
  <c r="N12" i="13"/>
  <c r="O12" i="13"/>
  <c r="C13" i="13"/>
  <c r="H13" i="13"/>
  <c r="I13" i="13"/>
  <c r="J13" i="13"/>
  <c r="K13" i="13"/>
  <c r="L13" i="13"/>
  <c r="M13" i="13"/>
  <c r="N13" i="13"/>
  <c r="O13" i="13"/>
  <c r="C14" i="13"/>
  <c r="H14" i="13"/>
  <c r="I14" i="13"/>
  <c r="J14" i="13"/>
  <c r="K14" i="13"/>
  <c r="L14" i="13"/>
  <c r="M14" i="13"/>
  <c r="N14" i="13"/>
  <c r="O14" i="13"/>
  <c r="C15" i="13"/>
  <c r="H15" i="13"/>
  <c r="I15" i="13"/>
  <c r="J15" i="13"/>
  <c r="K15" i="13"/>
  <c r="L15" i="13"/>
  <c r="M15" i="13"/>
  <c r="N15" i="13"/>
  <c r="O15" i="13"/>
  <c r="C16" i="13"/>
  <c r="H16" i="13"/>
  <c r="I16" i="13"/>
  <c r="J16" i="13"/>
  <c r="K16" i="13"/>
  <c r="L16" i="13"/>
  <c r="M16" i="13"/>
  <c r="N16" i="13"/>
  <c r="O16" i="13"/>
  <c r="H17" i="13"/>
  <c r="I17" i="13"/>
  <c r="J17" i="13"/>
  <c r="K17" i="13"/>
  <c r="L17" i="13"/>
  <c r="M17" i="13"/>
  <c r="N17" i="13"/>
  <c r="O17" i="13"/>
  <c r="H19" i="13"/>
  <c r="I19" i="13"/>
  <c r="J19" i="13"/>
  <c r="K19" i="13"/>
  <c r="L19" i="13"/>
  <c r="M19" i="13"/>
  <c r="N19" i="13"/>
  <c r="O19" i="13"/>
  <c r="H20" i="13"/>
  <c r="I20" i="13"/>
  <c r="J20" i="13"/>
  <c r="K20" i="13"/>
  <c r="L20" i="13"/>
  <c r="M20" i="13"/>
  <c r="N20" i="13"/>
  <c r="O20" i="13"/>
  <c r="H21" i="13"/>
  <c r="I21" i="13"/>
  <c r="J21" i="13"/>
  <c r="K21" i="13"/>
  <c r="L21" i="13"/>
  <c r="M21" i="13"/>
  <c r="N21" i="13"/>
  <c r="O21" i="13"/>
  <c r="H22" i="13"/>
  <c r="I22" i="13"/>
  <c r="J22" i="13"/>
  <c r="K22" i="13"/>
  <c r="L22" i="13"/>
  <c r="M22" i="13"/>
  <c r="N22" i="13"/>
  <c r="O22" i="13"/>
  <c r="E24" i="13"/>
  <c r="F24" i="13"/>
  <c r="G24" i="13"/>
  <c r="H24" i="13"/>
  <c r="I24" i="13"/>
  <c r="J24" i="13"/>
  <c r="K24" i="13"/>
  <c r="L24" i="13"/>
  <c r="M24" i="13"/>
  <c r="N24" i="13"/>
  <c r="O24" i="13"/>
  <c r="F27" i="13"/>
  <c r="G27" i="13"/>
  <c r="F28" i="13"/>
  <c r="G28" i="13"/>
  <c r="F29" i="13"/>
  <c r="G29" i="13"/>
  <c r="F30" i="13"/>
  <c r="G30" i="13"/>
  <c r="C3" i="9"/>
  <c r="E3" i="9"/>
  <c r="F3" i="9"/>
  <c r="G3" i="9"/>
  <c r="H3" i="9"/>
  <c r="I3" i="9"/>
  <c r="J3" i="9"/>
  <c r="K3" i="9"/>
  <c r="L3" i="9"/>
  <c r="M3" i="9"/>
  <c r="N3" i="9"/>
  <c r="O3" i="9"/>
  <c r="E4" i="9"/>
  <c r="F4" i="9"/>
  <c r="I4" i="9"/>
  <c r="J4" i="9"/>
  <c r="K4" i="9"/>
  <c r="L4" i="9"/>
  <c r="M4" i="9"/>
  <c r="N4" i="9"/>
  <c r="O4" i="9"/>
  <c r="E11" i="9"/>
  <c r="F11" i="9"/>
  <c r="G11" i="9"/>
  <c r="H11" i="9"/>
  <c r="I11" i="9"/>
  <c r="J11" i="9"/>
  <c r="K11" i="9"/>
  <c r="L11" i="9"/>
  <c r="M11" i="9"/>
  <c r="N11" i="9"/>
  <c r="O11" i="9"/>
  <c r="E12" i="9"/>
  <c r="F12" i="9"/>
  <c r="I12" i="9"/>
  <c r="J12" i="9"/>
  <c r="K12" i="9"/>
  <c r="L12" i="9"/>
  <c r="M12" i="9"/>
  <c r="N12" i="9"/>
  <c r="O12" i="9"/>
  <c r="E16" i="9"/>
  <c r="F16" i="9"/>
  <c r="G16" i="9"/>
  <c r="H16" i="9"/>
  <c r="I16" i="9"/>
  <c r="J16" i="9"/>
  <c r="K16" i="9"/>
  <c r="L16" i="9"/>
  <c r="M16" i="9"/>
  <c r="N16" i="9"/>
  <c r="O16" i="9"/>
  <c r="E21" i="9"/>
  <c r="F21" i="9"/>
  <c r="G21" i="9"/>
  <c r="H21" i="9"/>
  <c r="I21" i="9"/>
  <c r="J21" i="9"/>
  <c r="K21" i="9"/>
  <c r="L21" i="9"/>
  <c r="M21" i="9"/>
  <c r="N21" i="9"/>
  <c r="O21" i="9"/>
  <c r="E23" i="9"/>
  <c r="F23" i="9"/>
  <c r="G23" i="9"/>
  <c r="H23" i="9"/>
  <c r="I23" i="9"/>
  <c r="J23" i="9"/>
  <c r="K23" i="9"/>
  <c r="L23" i="9"/>
  <c r="M23" i="9"/>
  <c r="N23" i="9"/>
  <c r="O23" i="9"/>
  <c r="E24" i="9"/>
  <c r="F24" i="9"/>
  <c r="G24" i="9"/>
  <c r="H24" i="9"/>
  <c r="I24" i="9"/>
  <c r="J24" i="9"/>
  <c r="K24" i="9"/>
  <c r="L24" i="9"/>
  <c r="M24" i="9"/>
  <c r="N24" i="9"/>
  <c r="O24" i="9"/>
  <c r="E25" i="9"/>
  <c r="F25" i="9"/>
  <c r="G25" i="9"/>
  <c r="H25" i="9"/>
  <c r="I25" i="9"/>
  <c r="J25" i="9"/>
  <c r="K25" i="9"/>
  <c r="L25" i="9"/>
  <c r="M25" i="9"/>
  <c r="N25" i="9"/>
  <c r="O25" i="9"/>
  <c r="G26" i="9"/>
  <c r="H26" i="9"/>
  <c r="I26" i="9"/>
  <c r="J26" i="9"/>
  <c r="K26" i="9"/>
  <c r="L26" i="9"/>
  <c r="M26" i="9"/>
  <c r="N26" i="9"/>
  <c r="O26" i="9"/>
  <c r="E34" i="9"/>
  <c r="F34" i="9"/>
  <c r="G34" i="9"/>
  <c r="H34" i="9"/>
  <c r="I34" i="9"/>
  <c r="J34" i="9"/>
  <c r="K34" i="9"/>
  <c r="L34" i="9"/>
  <c r="M34" i="9"/>
  <c r="N34" i="9"/>
  <c r="O34" i="9"/>
  <c r="E35" i="9"/>
  <c r="F35" i="9"/>
  <c r="G35" i="9"/>
  <c r="H35" i="9"/>
  <c r="I35" i="9"/>
  <c r="J35" i="9"/>
  <c r="K35" i="9"/>
  <c r="L35" i="9"/>
  <c r="M35" i="9"/>
  <c r="N35" i="9"/>
  <c r="O35" i="9"/>
  <c r="H37" i="9"/>
  <c r="I37" i="9"/>
  <c r="J37" i="9"/>
  <c r="K37" i="9"/>
  <c r="L37" i="9"/>
  <c r="M37" i="9"/>
  <c r="N37" i="9"/>
  <c r="O37" i="9"/>
  <c r="H38" i="9"/>
  <c r="I38" i="9"/>
  <c r="J38" i="9"/>
  <c r="K38" i="9"/>
  <c r="L38" i="9"/>
  <c r="M38" i="9"/>
  <c r="N38" i="9"/>
  <c r="O38" i="9"/>
  <c r="H42" i="9"/>
  <c r="I42" i="9"/>
  <c r="J42" i="9"/>
  <c r="K42" i="9"/>
  <c r="L42" i="9"/>
  <c r="M42" i="9"/>
  <c r="N42" i="9"/>
  <c r="O42" i="9"/>
  <c r="H44" i="9"/>
  <c r="I44" i="9"/>
  <c r="J44" i="9"/>
  <c r="K44" i="9"/>
  <c r="L44" i="9"/>
  <c r="M44" i="9"/>
  <c r="N44" i="9"/>
  <c r="O44" i="9"/>
  <c r="H46" i="9"/>
  <c r="I46" i="9"/>
  <c r="J46" i="9"/>
  <c r="K46" i="9"/>
  <c r="L46" i="9"/>
  <c r="M46" i="9"/>
  <c r="N46" i="9"/>
  <c r="O46" i="9"/>
  <c r="C3" i="14"/>
  <c r="D9" i="14"/>
  <c r="E9" i="14"/>
  <c r="F9" i="14"/>
  <c r="G9" i="14"/>
  <c r="H9" i="14"/>
  <c r="I9" i="14"/>
  <c r="J9" i="14"/>
  <c r="K9" i="14"/>
  <c r="L9" i="14"/>
  <c r="E10" i="14"/>
  <c r="F10" i="14"/>
  <c r="G10" i="14"/>
  <c r="H10" i="14"/>
  <c r="I10" i="14"/>
  <c r="J10" i="14"/>
  <c r="K10" i="14"/>
  <c r="L10" i="14"/>
  <c r="C11" i="14"/>
  <c r="D11" i="14"/>
  <c r="E11" i="14"/>
  <c r="F11" i="14"/>
  <c r="G11" i="14"/>
  <c r="H11" i="14"/>
  <c r="I11" i="14"/>
  <c r="J11" i="14"/>
  <c r="K11" i="14"/>
  <c r="L11" i="14"/>
  <c r="C12" i="14"/>
  <c r="D12" i="14"/>
  <c r="E12" i="14"/>
  <c r="F12" i="14"/>
  <c r="G12" i="14"/>
  <c r="H12" i="14"/>
  <c r="I12" i="14"/>
  <c r="J12" i="14"/>
  <c r="K12" i="14"/>
  <c r="L12" i="14"/>
  <c r="C13" i="14"/>
  <c r="D13" i="14"/>
  <c r="E13" i="14"/>
  <c r="F13" i="14"/>
  <c r="G13" i="14"/>
  <c r="H13" i="14"/>
  <c r="I13" i="14"/>
  <c r="J13" i="14"/>
  <c r="K13" i="14"/>
  <c r="L13" i="14"/>
  <c r="C14" i="14"/>
  <c r="D14" i="14"/>
  <c r="E14" i="14"/>
  <c r="F14" i="14"/>
  <c r="G14" i="14"/>
  <c r="H14" i="14"/>
  <c r="I14" i="14"/>
  <c r="J14" i="14"/>
  <c r="K14" i="14"/>
  <c r="L14" i="14"/>
  <c r="C15" i="14"/>
  <c r="D15" i="14"/>
  <c r="E15" i="14"/>
  <c r="F15" i="14"/>
  <c r="G15" i="14"/>
  <c r="H15" i="14"/>
  <c r="I15" i="14"/>
  <c r="J15" i="14"/>
  <c r="K15" i="14"/>
  <c r="L15" i="14"/>
  <c r="C16" i="14"/>
  <c r="D16" i="14"/>
  <c r="E16" i="14"/>
  <c r="F16" i="14"/>
  <c r="G16" i="14"/>
  <c r="H16" i="14"/>
  <c r="I16" i="14"/>
  <c r="J16" i="14"/>
  <c r="K16" i="14"/>
  <c r="L16" i="14"/>
  <c r="C17" i="14"/>
  <c r="D17" i="14"/>
  <c r="E17" i="14"/>
  <c r="F17" i="14"/>
  <c r="G17" i="14"/>
  <c r="H17" i="14"/>
  <c r="I17" i="14"/>
  <c r="J17" i="14"/>
  <c r="K17" i="14"/>
  <c r="L17" i="14"/>
  <c r="C18" i="14"/>
  <c r="D18" i="14"/>
  <c r="E18" i="14"/>
  <c r="F18" i="14"/>
  <c r="G18" i="14"/>
  <c r="H18" i="14"/>
  <c r="I18" i="14"/>
  <c r="J18" i="14"/>
  <c r="K18" i="14"/>
  <c r="L18" i="14"/>
  <c r="C19" i="14"/>
  <c r="D19" i="14"/>
  <c r="E19" i="14"/>
  <c r="F19" i="14"/>
  <c r="G19" i="14"/>
  <c r="H19" i="14"/>
  <c r="I19" i="14"/>
  <c r="J19" i="14"/>
  <c r="K19" i="14"/>
  <c r="L19" i="14"/>
  <c r="E21" i="14"/>
  <c r="F21" i="14"/>
  <c r="G21" i="14"/>
  <c r="H21" i="14"/>
  <c r="I21" i="14"/>
  <c r="J21" i="14"/>
  <c r="K21" i="14"/>
  <c r="L21" i="14"/>
  <c r="C23" i="14"/>
  <c r="D23" i="14"/>
  <c r="E23" i="14"/>
  <c r="F23" i="14"/>
  <c r="G23" i="14"/>
  <c r="H23" i="14"/>
  <c r="I23" i="14"/>
  <c r="J23" i="14"/>
  <c r="K23" i="14"/>
  <c r="L23" i="14"/>
  <c r="C24" i="14"/>
  <c r="D24" i="14"/>
  <c r="E24" i="14"/>
  <c r="F24" i="14"/>
  <c r="G24" i="14"/>
  <c r="H24" i="14"/>
  <c r="I24" i="14"/>
  <c r="J24" i="14"/>
  <c r="K24" i="14"/>
  <c r="L24" i="14"/>
  <c r="C25" i="14"/>
  <c r="D25" i="14"/>
  <c r="E25" i="14"/>
  <c r="F25" i="14"/>
  <c r="G25" i="14"/>
  <c r="H25" i="14"/>
  <c r="I25" i="14"/>
  <c r="J25" i="14"/>
  <c r="K25" i="14"/>
  <c r="L25" i="14"/>
  <c r="C26" i="14"/>
  <c r="D26" i="14"/>
  <c r="E26" i="14"/>
  <c r="F26" i="14"/>
  <c r="G26" i="14"/>
  <c r="H26" i="14"/>
  <c r="I26" i="14"/>
  <c r="J26" i="14"/>
  <c r="K26" i="14"/>
  <c r="L26" i="14"/>
  <c r="C27" i="14"/>
  <c r="D27" i="14"/>
  <c r="E27" i="14"/>
  <c r="F27" i="14"/>
  <c r="G27" i="14"/>
  <c r="H27" i="14"/>
  <c r="I27" i="14"/>
  <c r="J27" i="14"/>
  <c r="K27" i="14"/>
  <c r="L27" i="14"/>
  <c r="C28" i="14"/>
  <c r="D28" i="14"/>
  <c r="E28" i="14"/>
  <c r="F28" i="14"/>
  <c r="G28" i="14"/>
  <c r="H28" i="14"/>
  <c r="I28" i="14"/>
  <c r="J28" i="14"/>
  <c r="K28" i="14"/>
  <c r="L28" i="14"/>
  <c r="C29" i="14"/>
  <c r="D29" i="14"/>
  <c r="E29" i="14"/>
  <c r="F29" i="14"/>
  <c r="G29" i="14"/>
  <c r="H29" i="14"/>
  <c r="I29" i="14"/>
  <c r="J29" i="14"/>
  <c r="K29" i="14"/>
  <c r="L29" i="14"/>
  <c r="C30" i="14"/>
  <c r="D30" i="14"/>
  <c r="E30" i="14"/>
  <c r="F30" i="14"/>
  <c r="G30" i="14"/>
  <c r="H30" i="14"/>
  <c r="I30" i="14"/>
  <c r="J30" i="14"/>
  <c r="K30" i="14"/>
  <c r="L30" i="14"/>
  <c r="C31" i="14"/>
  <c r="D31" i="14"/>
  <c r="E31" i="14"/>
  <c r="F31" i="14"/>
  <c r="G31" i="14"/>
  <c r="H31" i="14"/>
  <c r="I31" i="14"/>
  <c r="J31" i="14"/>
  <c r="K31" i="14"/>
  <c r="L31" i="14"/>
  <c r="E33" i="14"/>
  <c r="F33" i="14"/>
  <c r="G33" i="14"/>
  <c r="H33" i="14"/>
  <c r="I33" i="14"/>
  <c r="J33" i="14"/>
  <c r="K33" i="14"/>
  <c r="L33" i="14"/>
  <c r="C35" i="14"/>
  <c r="D35" i="14"/>
  <c r="E35" i="14"/>
  <c r="F35" i="14"/>
  <c r="G35" i="14"/>
  <c r="H35" i="14"/>
  <c r="I35" i="14"/>
  <c r="J35" i="14"/>
  <c r="K35" i="14"/>
  <c r="L35" i="14"/>
  <c r="C36" i="14"/>
  <c r="D36" i="14"/>
  <c r="E36" i="14"/>
  <c r="F36" i="14"/>
  <c r="G36" i="14"/>
  <c r="H36" i="14"/>
  <c r="I36" i="14"/>
  <c r="J36" i="14"/>
  <c r="K36" i="14"/>
  <c r="L36" i="14"/>
  <c r="C37" i="14"/>
  <c r="D37" i="14"/>
  <c r="E37" i="14"/>
  <c r="F37" i="14"/>
  <c r="G37" i="14"/>
  <c r="H37" i="14"/>
  <c r="I37" i="14"/>
  <c r="J37" i="14"/>
  <c r="K37" i="14"/>
  <c r="L37" i="14"/>
  <c r="C38" i="14"/>
  <c r="D38" i="14"/>
  <c r="E38" i="14"/>
  <c r="F38" i="14"/>
  <c r="G38" i="14"/>
  <c r="H38" i="14"/>
  <c r="I38" i="14"/>
  <c r="J38" i="14"/>
  <c r="K38" i="14"/>
  <c r="L38" i="14"/>
  <c r="C39" i="14"/>
  <c r="D39" i="14"/>
  <c r="E39" i="14"/>
  <c r="F39" i="14"/>
  <c r="G39" i="14"/>
  <c r="H39" i="14"/>
  <c r="I39" i="14"/>
  <c r="J39" i="14"/>
  <c r="K39" i="14"/>
  <c r="L39" i="14"/>
  <c r="C40" i="14"/>
  <c r="D40" i="14"/>
  <c r="E40" i="14"/>
  <c r="F40" i="14"/>
  <c r="G40" i="14"/>
  <c r="H40" i="14"/>
  <c r="I40" i="14"/>
  <c r="J40" i="14"/>
  <c r="K40" i="14"/>
  <c r="L40" i="14"/>
  <c r="C41" i="14"/>
  <c r="D41" i="14"/>
  <c r="E41" i="14"/>
  <c r="F41" i="14"/>
  <c r="G41" i="14"/>
  <c r="H41" i="14"/>
  <c r="I41" i="14"/>
  <c r="J41" i="14"/>
  <c r="K41" i="14"/>
  <c r="L41" i="14"/>
  <c r="C42" i="14"/>
  <c r="D42" i="14"/>
  <c r="E42" i="14"/>
  <c r="F42" i="14"/>
  <c r="G42" i="14"/>
  <c r="H42" i="14"/>
  <c r="I42" i="14"/>
  <c r="J42" i="14"/>
  <c r="K42" i="14"/>
  <c r="L42" i="14"/>
  <c r="C43" i="14"/>
  <c r="D43" i="14"/>
  <c r="E43" i="14"/>
  <c r="F43" i="14"/>
  <c r="G43" i="14"/>
  <c r="H43" i="14"/>
  <c r="I43" i="14"/>
  <c r="J43" i="14"/>
  <c r="K43" i="14"/>
  <c r="L43" i="14"/>
  <c r="E45" i="14"/>
  <c r="F45" i="14"/>
  <c r="G45" i="14"/>
  <c r="H45" i="14"/>
  <c r="I45" i="14"/>
  <c r="J45" i="14"/>
  <c r="K45" i="14"/>
  <c r="L45" i="14"/>
  <c r="C47" i="14"/>
  <c r="D47" i="14"/>
  <c r="E47" i="14"/>
  <c r="F47" i="14"/>
  <c r="G47" i="14"/>
  <c r="H47" i="14"/>
  <c r="I47" i="14"/>
  <c r="J47" i="14"/>
  <c r="K47" i="14"/>
  <c r="L47" i="14"/>
  <c r="C48" i="14"/>
  <c r="D48" i="14"/>
  <c r="E48" i="14"/>
  <c r="F48" i="14"/>
  <c r="G48" i="14"/>
  <c r="H48" i="14"/>
  <c r="I48" i="14"/>
  <c r="J48" i="14"/>
  <c r="K48" i="14"/>
  <c r="L48" i="14"/>
  <c r="C49" i="14"/>
  <c r="D49" i="14"/>
  <c r="E49" i="14"/>
  <c r="F49" i="14"/>
  <c r="G49" i="14"/>
  <c r="H49" i="14"/>
  <c r="I49" i="14"/>
  <c r="J49" i="14"/>
  <c r="K49" i="14"/>
  <c r="L49" i="14"/>
  <c r="C50" i="14"/>
  <c r="D50" i="14"/>
  <c r="E50" i="14"/>
  <c r="F50" i="14"/>
  <c r="G50" i="14"/>
  <c r="H50" i="14"/>
  <c r="I50" i="14"/>
  <c r="J50" i="14"/>
  <c r="K50" i="14"/>
  <c r="L50" i="14"/>
  <c r="C51" i="14"/>
  <c r="D51" i="14"/>
  <c r="E51" i="14"/>
  <c r="F51" i="14"/>
  <c r="G51" i="14"/>
  <c r="H51" i="14"/>
  <c r="I51" i="14"/>
  <c r="J51" i="14"/>
  <c r="K51" i="14"/>
  <c r="L51" i="14"/>
  <c r="C52" i="14"/>
  <c r="D52" i="14"/>
  <c r="E52" i="14"/>
  <c r="F52" i="14"/>
  <c r="G52" i="14"/>
  <c r="H52" i="14"/>
  <c r="I52" i="14"/>
  <c r="J52" i="14"/>
  <c r="K52" i="14"/>
  <c r="L52" i="14"/>
  <c r="C53" i="14"/>
  <c r="D53" i="14"/>
  <c r="E53" i="14"/>
  <c r="F53" i="14"/>
  <c r="G53" i="14"/>
  <c r="H53" i="14"/>
  <c r="I53" i="14"/>
  <c r="J53" i="14"/>
  <c r="K53" i="14"/>
  <c r="L53" i="14"/>
  <c r="C54" i="14"/>
  <c r="D54" i="14"/>
  <c r="E54" i="14"/>
  <c r="F54" i="14"/>
  <c r="G54" i="14"/>
  <c r="H54" i="14"/>
  <c r="I54" i="14"/>
  <c r="J54" i="14"/>
  <c r="K54" i="14"/>
  <c r="L54" i="14"/>
  <c r="C55" i="14"/>
  <c r="D55" i="14"/>
  <c r="E55" i="14"/>
  <c r="F55" i="14"/>
  <c r="G55" i="14"/>
  <c r="H55" i="14"/>
  <c r="I55" i="14"/>
  <c r="J55" i="14"/>
  <c r="K55" i="14"/>
  <c r="L55" i="14"/>
  <c r="E57" i="14"/>
  <c r="F57" i="14"/>
  <c r="G57" i="14"/>
  <c r="H57" i="14"/>
  <c r="I57" i="14"/>
  <c r="J57" i="14"/>
  <c r="K57" i="14"/>
  <c r="L57" i="14"/>
  <c r="D60" i="14"/>
  <c r="E60" i="14"/>
  <c r="F60" i="14"/>
  <c r="G60" i="14"/>
  <c r="H60" i="14"/>
  <c r="I60" i="14"/>
  <c r="J60" i="14"/>
  <c r="K60" i="14"/>
  <c r="L60" i="14"/>
  <c r="D61" i="14"/>
  <c r="E61" i="14"/>
  <c r="F61" i="14"/>
  <c r="G61" i="14"/>
  <c r="H61" i="14"/>
  <c r="I61" i="14"/>
  <c r="J61" i="14"/>
  <c r="K61" i="14"/>
  <c r="L61" i="14"/>
  <c r="D62" i="14"/>
  <c r="E62" i="14"/>
  <c r="F62" i="14"/>
  <c r="G62" i="14"/>
  <c r="H62" i="14"/>
  <c r="I62" i="14"/>
  <c r="J62" i="14"/>
  <c r="K62" i="14"/>
  <c r="L62" i="14"/>
  <c r="D63" i="14"/>
  <c r="E63" i="14"/>
  <c r="F63" i="14"/>
  <c r="G63" i="14"/>
  <c r="H63" i="14"/>
  <c r="I63" i="14"/>
  <c r="J63" i="14"/>
  <c r="K63" i="14"/>
  <c r="L63" i="14"/>
  <c r="D67" i="14"/>
  <c r="E67" i="14"/>
  <c r="F67" i="14"/>
  <c r="G67" i="14"/>
  <c r="H67" i="14"/>
  <c r="I67" i="14"/>
  <c r="J67" i="14"/>
  <c r="K67" i="14"/>
  <c r="L67" i="14"/>
  <c r="D68" i="14"/>
  <c r="E68" i="14"/>
  <c r="F68" i="14"/>
  <c r="G68" i="14"/>
  <c r="H68" i="14"/>
  <c r="I68" i="14"/>
  <c r="J68" i="14"/>
  <c r="K68" i="14"/>
  <c r="L68" i="14"/>
  <c r="D70" i="14"/>
  <c r="E70" i="14"/>
  <c r="F70" i="14"/>
  <c r="G70" i="14"/>
  <c r="H70" i="14"/>
  <c r="I70" i="14"/>
  <c r="J70" i="14"/>
  <c r="K70" i="14"/>
  <c r="L70" i="14"/>
  <c r="D71" i="14"/>
  <c r="E71" i="14"/>
  <c r="F71" i="14"/>
  <c r="G71" i="14"/>
  <c r="H71" i="14"/>
  <c r="I71" i="14"/>
  <c r="J71" i="14"/>
  <c r="K71" i="14"/>
  <c r="L71" i="14"/>
  <c r="D74" i="14"/>
  <c r="E74" i="14"/>
  <c r="F74" i="14"/>
  <c r="G74" i="14"/>
  <c r="H74" i="14"/>
  <c r="I74" i="14"/>
  <c r="J74" i="14"/>
  <c r="K74" i="14"/>
  <c r="L74" i="14"/>
  <c r="D75" i="14"/>
  <c r="E75" i="14"/>
  <c r="F75" i="14"/>
  <c r="G75" i="14"/>
  <c r="H75" i="14"/>
  <c r="I75" i="14"/>
  <c r="J75" i="14"/>
  <c r="K75" i="14"/>
  <c r="L75" i="14"/>
  <c r="D76" i="14"/>
  <c r="E76" i="14"/>
  <c r="F76" i="14"/>
  <c r="G76" i="14"/>
  <c r="H76" i="14"/>
  <c r="I76" i="14"/>
  <c r="J76" i="14"/>
  <c r="K76" i="14"/>
  <c r="L76" i="14"/>
  <c r="D77" i="14"/>
  <c r="E77" i="14"/>
  <c r="F77" i="14"/>
  <c r="G77" i="14"/>
  <c r="H77" i="14"/>
  <c r="I77" i="14"/>
  <c r="J77" i="14"/>
  <c r="K77" i="14"/>
  <c r="L77" i="14"/>
  <c r="D78" i="14"/>
  <c r="E78" i="14"/>
  <c r="F78" i="14"/>
  <c r="G78" i="14"/>
  <c r="H78" i="14"/>
  <c r="I78" i="14"/>
  <c r="J78" i="14"/>
  <c r="K78" i="14"/>
  <c r="L78" i="14"/>
  <c r="E80" i="14"/>
  <c r="F80" i="14"/>
  <c r="G80" i="14"/>
  <c r="H80" i="14"/>
  <c r="I80" i="14"/>
  <c r="J80" i="14"/>
  <c r="K80" i="14"/>
  <c r="L80" i="14"/>
  <c r="E82" i="14"/>
  <c r="F82" i="14"/>
  <c r="G82" i="14"/>
  <c r="H82" i="14"/>
  <c r="I82" i="14"/>
  <c r="J82" i="14"/>
  <c r="K82" i="14"/>
  <c r="L82" i="14"/>
  <c r="E83" i="14"/>
  <c r="F83" i="14"/>
  <c r="G83" i="14"/>
  <c r="H83" i="14"/>
  <c r="I83" i="14"/>
  <c r="J83" i="14"/>
  <c r="K83" i="14"/>
  <c r="L83" i="14"/>
  <c r="E85" i="14"/>
  <c r="F85" i="14"/>
  <c r="G85" i="14"/>
  <c r="H85" i="14"/>
  <c r="I85" i="14"/>
  <c r="J85" i="14"/>
  <c r="K85" i="14"/>
  <c r="L85" i="14"/>
  <c r="E86" i="14"/>
  <c r="F86" i="14"/>
  <c r="G86" i="14"/>
  <c r="H86" i="14"/>
  <c r="I86" i="14"/>
  <c r="J86" i="14"/>
  <c r="K86" i="14"/>
  <c r="L86" i="14"/>
  <c r="E87" i="14"/>
  <c r="F87" i="14"/>
  <c r="G87" i="14"/>
  <c r="H87" i="14"/>
  <c r="I87" i="14"/>
  <c r="J87" i="14"/>
  <c r="K87" i="14"/>
  <c r="L87" i="14"/>
  <c r="E88" i="14"/>
  <c r="F88" i="14"/>
  <c r="G88" i="14"/>
  <c r="H88" i="14"/>
  <c r="I88" i="14"/>
  <c r="J88" i="14"/>
  <c r="K88" i="14"/>
  <c r="L88" i="14"/>
  <c r="E90" i="14"/>
  <c r="F90" i="14"/>
  <c r="G90" i="14"/>
  <c r="H90" i="14"/>
  <c r="I90" i="14"/>
  <c r="J90" i="14"/>
  <c r="K90" i="14"/>
  <c r="L90" i="14"/>
  <c r="E91" i="14"/>
  <c r="F91" i="14"/>
  <c r="G91" i="14"/>
  <c r="H91" i="14"/>
  <c r="I91" i="14"/>
  <c r="J91" i="14"/>
  <c r="K91" i="14"/>
  <c r="L91" i="14"/>
  <c r="E92" i="14"/>
  <c r="F92" i="14"/>
  <c r="G92" i="14"/>
  <c r="H92" i="14"/>
  <c r="I92" i="14"/>
  <c r="J92" i="14"/>
  <c r="K92" i="14"/>
  <c r="L92" i="14"/>
  <c r="E93" i="14"/>
  <c r="F93" i="14"/>
  <c r="G93" i="14"/>
  <c r="H93" i="14"/>
  <c r="I93" i="14"/>
  <c r="J93" i="14"/>
  <c r="K93" i="14"/>
  <c r="L93" i="14"/>
  <c r="E94" i="14"/>
  <c r="F94" i="14"/>
  <c r="G94" i="14"/>
  <c r="H94" i="14"/>
  <c r="I94" i="14"/>
  <c r="J94" i="14"/>
  <c r="K94" i="14"/>
  <c r="L94" i="14"/>
  <c r="E5" i="15"/>
  <c r="F5" i="15"/>
  <c r="G5" i="15"/>
  <c r="H5" i="15"/>
  <c r="I5" i="15"/>
  <c r="J5" i="15"/>
  <c r="E6" i="15"/>
  <c r="F6" i="15"/>
  <c r="G6" i="15"/>
  <c r="H6" i="15"/>
  <c r="I6" i="15"/>
  <c r="J6" i="15"/>
  <c r="B7" i="15"/>
  <c r="E7" i="15"/>
  <c r="F7" i="15"/>
  <c r="G7" i="15"/>
  <c r="H7" i="15"/>
  <c r="I7" i="15"/>
  <c r="J7" i="15"/>
  <c r="B8" i="15"/>
  <c r="E8" i="15"/>
  <c r="F8" i="15"/>
  <c r="G8" i="15"/>
  <c r="H8" i="15"/>
  <c r="I8" i="15"/>
  <c r="J8" i="15"/>
  <c r="B9" i="15"/>
  <c r="E9" i="15"/>
  <c r="F9" i="15"/>
  <c r="G9" i="15"/>
  <c r="H9" i="15"/>
  <c r="I9" i="15"/>
  <c r="J9" i="15"/>
  <c r="B10" i="15"/>
  <c r="E10" i="15"/>
  <c r="F10" i="15"/>
  <c r="G10" i="15"/>
  <c r="H10" i="15"/>
  <c r="I10" i="15"/>
  <c r="J10" i="15"/>
  <c r="B11" i="15"/>
  <c r="E11" i="15"/>
  <c r="B12" i="15"/>
  <c r="E12" i="15"/>
  <c r="B13" i="15"/>
  <c r="E13" i="15"/>
  <c r="F13" i="15"/>
  <c r="G13" i="15"/>
  <c r="H13" i="15"/>
  <c r="I13" i="15"/>
  <c r="J13" i="15"/>
  <c r="E14" i="15"/>
  <c r="F14" i="15"/>
  <c r="G14" i="15"/>
  <c r="H14" i="15"/>
  <c r="I14" i="15"/>
  <c r="J14" i="15"/>
  <c r="B15" i="15"/>
  <c r="E15" i="15"/>
  <c r="F15" i="15"/>
  <c r="G15" i="15"/>
  <c r="H15" i="15"/>
  <c r="I15" i="15"/>
  <c r="J15" i="15"/>
  <c r="B16" i="15"/>
  <c r="E16" i="15"/>
  <c r="F16" i="15"/>
  <c r="G16" i="15"/>
  <c r="H16" i="15"/>
  <c r="I16" i="15"/>
  <c r="J16" i="15"/>
  <c r="B17" i="15"/>
  <c r="E17" i="15"/>
  <c r="F17" i="15"/>
  <c r="G17" i="15"/>
  <c r="H17" i="15"/>
  <c r="I17" i="15"/>
  <c r="J17" i="15"/>
  <c r="B18" i="15"/>
  <c r="E18" i="15"/>
  <c r="F18" i="15"/>
  <c r="G18" i="15"/>
  <c r="H18" i="15"/>
  <c r="I18" i="15"/>
  <c r="J18" i="15"/>
  <c r="B19" i="15"/>
  <c r="E19" i="15"/>
  <c r="F19" i="15"/>
  <c r="G19" i="15"/>
  <c r="H19" i="15"/>
  <c r="I19" i="15"/>
  <c r="J19" i="15"/>
  <c r="B20" i="15"/>
  <c r="E20" i="15"/>
  <c r="F20" i="15"/>
  <c r="G20" i="15"/>
  <c r="H20" i="15"/>
  <c r="I20" i="15"/>
  <c r="J20" i="15"/>
  <c r="B21" i="15"/>
  <c r="E21" i="15"/>
  <c r="F21" i="15"/>
  <c r="G21" i="15"/>
  <c r="H21" i="15"/>
  <c r="I21" i="15"/>
  <c r="J21" i="15"/>
  <c r="E24" i="15"/>
  <c r="F24" i="15"/>
  <c r="G24" i="15"/>
  <c r="H24" i="15"/>
  <c r="I24" i="15"/>
  <c r="J24" i="15"/>
  <c r="E25" i="15"/>
  <c r="F25" i="15"/>
  <c r="G25" i="15"/>
  <c r="H25" i="15"/>
  <c r="I25" i="15"/>
  <c r="J25" i="15"/>
  <c r="E26" i="15"/>
  <c r="F26" i="15"/>
  <c r="G26" i="15"/>
  <c r="H26" i="15"/>
  <c r="I26" i="15"/>
  <c r="J26" i="15"/>
  <c r="F29" i="15"/>
  <c r="G29" i="15"/>
  <c r="H29" i="15"/>
  <c r="I29" i="15"/>
  <c r="J29" i="15"/>
  <c r="F30" i="15"/>
  <c r="G30" i="15"/>
  <c r="H30" i="15"/>
  <c r="I30" i="15"/>
  <c r="J30" i="15"/>
</calcChain>
</file>

<file path=xl/comments1.xml><?xml version="1.0" encoding="utf-8"?>
<comments xmlns="http://schemas.openxmlformats.org/spreadsheetml/2006/main">
  <authors>
    <author>Silviu Lacatusu</author>
  </authors>
  <commentList>
    <comment ref="F22" authorId="0" shapeId="0">
      <text>
        <r>
          <rPr>
            <sz val="9"/>
            <rFont val="Tahoma"/>
            <family val="2"/>
          </rPr>
          <t xml:space="preserve">In cazul operatorilor neplătitori de TVA, se va elimina valoarea
</t>
        </r>
      </text>
    </comment>
  </commentList>
</comments>
</file>

<file path=xl/comments2.xml><?xml version="1.0" encoding="utf-8"?>
<comments xmlns="http://schemas.openxmlformats.org/spreadsheetml/2006/main">
  <authors>
    <author>Augustin Boer</author>
  </authors>
  <commentList>
    <comment ref="H92" authorId="0" shapeId="0">
      <text>
        <r>
          <rPr>
            <b/>
            <sz val="9"/>
            <rFont val="Tahoma"/>
            <family val="2"/>
          </rPr>
          <t>Augustin Boer:</t>
        </r>
        <r>
          <rPr>
            <sz val="9"/>
            <rFont val="Tahoma"/>
            <family val="2"/>
          </rPr>
          <t xml:space="preserve">
Prognoza se realizeaza in pagina "Masuri de crestere a eficientei"</t>
        </r>
      </text>
    </comment>
    <comment ref="H93" authorId="0" shapeId="0">
      <text>
        <r>
          <rPr>
            <b/>
            <sz val="9"/>
            <rFont val="Tahoma"/>
            <family val="2"/>
          </rPr>
          <t>Augustin Boer:</t>
        </r>
        <r>
          <rPr>
            <sz val="9"/>
            <rFont val="Tahoma"/>
            <family val="2"/>
          </rPr>
          <t xml:space="preserve">
Prognoza se realizeaza in pagina "Masuri de crestere a eficientei"</t>
        </r>
      </text>
    </comment>
    <comment ref="H94" authorId="0" shapeId="0">
      <text>
        <r>
          <rPr>
            <b/>
            <sz val="9"/>
            <rFont val="Tahoma"/>
            <family val="2"/>
          </rPr>
          <t>Augustin Boer:</t>
        </r>
        <r>
          <rPr>
            <sz val="9"/>
            <rFont val="Tahoma"/>
            <family val="2"/>
          </rPr>
          <t xml:space="preserve">
Prognoza se realizeaza in pagina "Masuri de crestere a eficientei"</t>
        </r>
      </text>
    </comment>
  </commentList>
</comments>
</file>

<file path=xl/comments3.xml><?xml version="1.0" encoding="utf-8"?>
<comments xmlns="http://schemas.openxmlformats.org/spreadsheetml/2006/main">
  <authors>
    <author>Silviu Lacatusu</author>
  </authors>
  <commentList>
    <comment ref="H43" authorId="0" shapeId="0">
      <text>
        <r>
          <rPr>
            <sz val="9"/>
            <rFont val="Tahoma"/>
            <family val="2"/>
          </rPr>
          <t xml:space="preserve">Pretul de achizitie va tine cont de contractele de furnizare si de plafonarea impusa pana in 31 martie 2025, respectiv pentru 85% din cantitatea pretul este plafonat la un nivel de 1 leu/kwh cu TVA, iar pentru restul de 15% prețul este plafinat la 1,3 lei/kwh cu TVA.
</t>
        </r>
      </text>
    </comment>
    <comment ref="I43"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H91"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I91"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r>
          <rPr>
            <b/>
            <i/>
            <sz val="9"/>
            <rFont val="Tahoma"/>
            <family val="2"/>
          </rPr>
          <t>.</t>
        </r>
      </text>
    </comment>
    <comment ref="H159"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I159" authorId="0" shapeId="0">
      <text>
        <r>
          <rPr>
            <sz val="9"/>
            <rFont val="Tahoma"/>
            <family val="2"/>
          </rPr>
          <t xml:space="preserve">Pretul de achizitie va tine cont de contractele de furnizare si de plafonarea impusa pana in 31 martie 2025, respectiv pentru 85% din cantitatea pretul este plafonat la un nivel de 1 leu/kwh cu TVA, iar pentru restul de 15% prețul este plafinat la 1,3 lei/kwh cu TVA.
</t>
        </r>
      </text>
    </comment>
    <comment ref="H221"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I221"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H283"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I283"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H331"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I331"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H385"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I385"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H439"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I439"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H493"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 ref="I493" authorId="0" shapeId="0">
      <text>
        <r>
          <rPr>
            <sz val="9"/>
            <rFont val="Tahoma"/>
            <family val="2"/>
          </rPr>
          <t>Pretul de achizitie va tine cont de contractele de furnizare si de plafonarea impusa pana in 31 martie 2025, respectiv pentru 85% din cantitatea pretul este plafonat la un nivel de 1 leu/kwh cu TVA, iar pentru restul de 15% prețul este plafinat la 1,3 lei/kwh cu TVA.</t>
        </r>
      </text>
    </comment>
  </commentList>
</comments>
</file>

<file path=xl/comments4.xml><?xml version="1.0" encoding="utf-8"?>
<comments xmlns="http://schemas.openxmlformats.org/spreadsheetml/2006/main">
  <authors>
    <author>Augustin Boer</author>
  </authors>
  <commentList>
    <comment ref="H67" authorId="0" shapeId="0">
      <text>
        <r>
          <rPr>
            <b/>
            <sz val="9"/>
            <rFont val="Tahoma"/>
            <family val="2"/>
          </rPr>
          <t>Augustin Boer:</t>
        </r>
        <r>
          <rPr>
            <sz val="9"/>
            <rFont val="Tahoma"/>
            <family val="2"/>
          </rPr>
          <t xml:space="preserve">
Prognoza consumului de energie electrica se realizeaza in pagina "Costuri operare", in aceasta pagina se prezinta doar sintetic evolutia si masurile de crestere a eficientei.</t>
        </r>
      </text>
    </comment>
  </commentList>
</comments>
</file>

<file path=xl/comments5.xml><?xml version="1.0" encoding="utf-8"?>
<comments xmlns="http://schemas.openxmlformats.org/spreadsheetml/2006/main">
  <authors>
    <author>Silviu Lacatusu</author>
  </authors>
  <commentList>
    <comment ref="E14" authorId="0" shapeId="0">
      <text>
        <r>
          <rPr>
            <sz val="9"/>
            <rFont val="Tahoma"/>
            <family val="2"/>
          </rPr>
          <t>Conform datelor publicate de INS  în baza de date tempo - A.Statistica Sociala - A5. Nivel de trai -  11. Venituri - macheta BUF104I-ABF</t>
        </r>
      </text>
    </comment>
    <comment ref="F14" authorId="0" shapeId="0">
      <text>
        <r>
          <rPr>
            <sz val="9"/>
            <rFont val="Tahoma"/>
            <family val="2"/>
          </rPr>
          <t>Conform datelor publicate de INS în baza de date tempo - A.Statistica Sociala - A5. Nivel de trai -  11. Venituri - macheta BUF104I-ABF</t>
        </r>
      </text>
    </comment>
    <comment ref="G14" authorId="0" shapeId="0">
      <text>
        <r>
          <rPr>
            <sz val="9"/>
            <rFont val="Tahoma"/>
            <family val="2"/>
          </rPr>
          <t xml:space="preserve">Conform datelor publicate de INS în baza de date tempo - A.Statistica Sociala - A5. Nivel de trai -  11. Venituri - macheta BUF104I-ABF
Se vor prelua valorile aferente categoriei de cheltuieli "Impozite, contributii, cotizatii, taxe" si mediului de rezidenta specific ariei   in care se presteaza serviciile.
In cazul in care sunt disponibile doar date trimestriale, se va calcula valoarea medie a trimiestrelor publicate.
</t>
        </r>
      </text>
    </comment>
    <comment ref="E15" authorId="0" shapeId="0">
      <text>
        <r>
          <rPr>
            <sz val="9"/>
            <rFont val="Tahoma"/>
            <family val="2"/>
          </rPr>
          <t>Conform datelor publicate de INS în baza de date tempo - A.Statistica Sociala - A5. Nivel de trai -  12. Cheltuieli - macheta  BUF106I-ABF
Se vor prelua valorile aferente categoriei de cheltuieli "Impozite, contributii, cotizatii, taxe" si mediului de rezidenta specific ariei in care se presteaza serviciile.</t>
        </r>
      </text>
    </comment>
    <comment ref="F15" authorId="0" shapeId="0">
      <text>
        <r>
          <rPr>
            <sz val="9"/>
            <rFont val="Tahoma"/>
            <family val="2"/>
          </rPr>
          <t>Conform datelor publicate de INS în baza de date tempo - A.Statistica Sociala - A5. Nivel de trai -  12. Cheltuieli - macheta  BUF106I-ABF
Se vor prelua valorile aferente categoriei de cheltuieli "Impozite, contributii, cotizatii, taxe" si mediului de rezidenta specific ariei in care se presteaza serviciile.</t>
        </r>
      </text>
    </comment>
    <comment ref="G15" authorId="0" shapeId="0">
      <text>
        <r>
          <rPr>
            <sz val="9"/>
            <rFont val="Tahoma"/>
            <family val="2"/>
          </rPr>
          <t>Conform datelor publicate de INS în baza de date tempo - A.Statistica Sociala - A5. Nivel de trai -  12. Cheltuieli - macheta  BUF106I-ABF
Se vor prelua valorile aferente categoriei de cheltuieli "Impozite, contributii, cotizatii, taxe" si mediului de rezidenta specific ariei in care se presteaza serviciile.
In cazul in care sunt disponibile doar date trimestriale, se va calcula valaore medie a trimiestrelor publicate.</t>
        </r>
      </text>
    </comment>
    <comment ref="E19" authorId="0" shapeId="0">
      <text>
        <r>
          <rPr>
            <sz val="9"/>
            <rFont val="Tahoma"/>
            <family val="2"/>
          </rPr>
          <t>Conform datelor publicate de INS în baza de date tempo - A.Statistica Sociala - A4. Forta de munca -  11. Castig salarial - macheta  FOM107E</t>
        </r>
      </text>
    </comment>
    <comment ref="F19" authorId="0" shapeId="0">
      <text>
        <r>
          <rPr>
            <sz val="9"/>
            <rFont val="Tahoma"/>
            <family val="2"/>
          </rPr>
          <t>Conform datelor publicate de INS în baza de date tempo - A.Statistica Sociala - A4. Forta de munca -  11. Castig salarial - macheta  FOM107E</t>
        </r>
      </text>
    </comment>
    <comment ref="G19" authorId="0" shapeId="0">
      <text>
        <r>
          <rPr>
            <sz val="9"/>
            <rFont val="Tahoma"/>
            <family val="2"/>
          </rPr>
          <t xml:space="preserve">Conform datelor publicate de INS  în baza de date tempo - A.Statistica Sociala - A4. Forta de munca -  11. Castig salarial - macheta  FOM107E
Pana la publicarea datelor pentru anul de referinta, se vor completa valorile anului anterior.
</t>
        </r>
      </text>
    </comment>
    <comment ref="E20" authorId="0" shapeId="0">
      <text>
        <r>
          <rPr>
            <sz val="9"/>
            <rFont val="Tahoma"/>
            <family val="2"/>
          </rPr>
          <t>Conform datelor publicate de INS în baza de date tempo - A.Statistica Sociala - A4. Forta de Munca -  11. Castig salarial - macheta  FOM107E</t>
        </r>
      </text>
    </comment>
    <comment ref="F20" authorId="0" shapeId="0">
      <text>
        <r>
          <rPr>
            <sz val="9"/>
            <rFont val="Tahoma"/>
            <family val="2"/>
          </rPr>
          <t>Conform datelor publicate de INS în baza de date tempo - A.Statistica Sociala - A4. Forta de Munca -  11. Castig salarial - macheta  FOM107E</t>
        </r>
      </text>
    </comment>
    <comment ref="G20" authorId="0" shapeId="0">
      <text>
        <r>
          <rPr>
            <sz val="9"/>
            <rFont val="Tahoma"/>
            <family val="2"/>
          </rPr>
          <t>Conform datelor publicate de INS în baza de date tempo - A.Statistica Sociala - A4. Forta de Munca -  11. Castig salarial - macheta  FOM107E
Pana la publicarea datelor pentru anul de referinta, se vor completa valorile anului anterior.</t>
        </r>
      </text>
    </comment>
  </commentList>
</comments>
</file>

<file path=xl/sharedStrings.xml><?xml version="1.0" encoding="utf-8"?>
<sst xmlns="http://schemas.openxmlformats.org/spreadsheetml/2006/main" count="2380" uniqueCount="430">
  <si>
    <t>PLAN DE AFACERI PENTRU STABILIREA STRATEGIEI DE TARIFARE</t>
  </si>
  <si>
    <t>NUME OPERATOR</t>
  </si>
  <si>
    <t>SEVICIUL PUBLIC DE ALIMENTARE CU APA, CANALIZARE SI SALUBRIZARE</t>
  </si>
  <si>
    <t>DATE DE CONTACT</t>
  </si>
  <si>
    <t>PAPAI IOSIF -Director , mail:spaacsmarghita@gmail.com</t>
  </si>
  <si>
    <t>ARIE DE OPERARE (NUME JUDET(E) SI NUMAR UAT-URI OPERATE CU APA SI CANAL IN JUDET)</t>
  </si>
  <si>
    <t>Orasul MARGHITA, județul BIHOR</t>
  </si>
  <si>
    <t>DATA REALIZARII PLANULUI DE AFACERI</t>
  </si>
  <si>
    <t>FEBRUARIE 2025</t>
  </si>
  <si>
    <t>ANUL DE BAZA IN REALIZAREA PROGNOZEI (ULTIMUL AN CU DATE ISTORICE)</t>
  </si>
  <si>
    <t>PERIOADA DE REGLEMENTARE ECONOMICA (ANI)</t>
  </si>
  <si>
    <t>Date tehnice - activitatea de apa</t>
  </si>
  <si>
    <t>Avarii</t>
  </si>
  <si>
    <t>Numarul statiilor de tratare a apei (nu se includ statiile de tratare care constau doar in dezinfectie cu clor)</t>
  </si>
  <si>
    <t>nr.</t>
  </si>
  <si>
    <t>Avarii pe aductiuni</t>
  </si>
  <si>
    <t>Numarul  statiilor de tratare care constau doar in dezinfectie cu clor/clorinare</t>
  </si>
  <si>
    <t>Avarii pe reteaua de distributie</t>
  </si>
  <si>
    <t>Numarul total al statiilor de pompare</t>
  </si>
  <si>
    <t>Total</t>
  </si>
  <si>
    <t>Lungimea aductiunilor</t>
  </si>
  <si>
    <t>km</t>
  </si>
  <si>
    <t>Lungimea intregii retele de distributie</t>
  </si>
  <si>
    <t>Lungimea totala a retelelor de apa</t>
  </si>
  <si>
    <t>Date tehnice - activitatea de acanalizare epurare</t>
  </si>
  <si>
    <t>Blocaje</t>
  </si>
  <si>
    <t>Numarul statiilor de epurare a apelor uzate</t>
  </si>
  <si>
    <t>Blocaje in reteaua de canalizare, cu exceptia racordurilor</t>
  </si>
  <si>
    <t>Numarul total al statiilor de pompare ape uzate</t>
  </si>
  <si>
    <t>Blocajele aferente racordurilor</t>
  </si>
  <si>
    <t>Lungimea retelei de canalizare in sistem unitar</t>
  </si>
  <si>
    <t>Lungimea retelei de canalizare ape uzate menajere</t>
  </si>
  <si>
    <t>Lungimea retelei de canalizare apa meteorica</t>
  </si>
  <si>
    <t>Lungimea totala a retelor de canalizare</t>
  </si>
  <si>
    <t>NIVELUL PRETURILOR SI TARIFELOR ACTUALE</t>
  </si>
  <si>
    <t>Apa potabilă produsă, transportată și distribuită</t>
  </si>
  <si>
    <t>lei/mc</t>
  </si>
  <si>
    <t>Canalizare – epurare ape uzate și meteorice procesate</t>
  </si>
  <si>
    <t>Apa potabilă produsă și transportată în vederea redistribuirii în alte sisteme de operare</t>
  </si>
  <si>
    <t>Distribuția apei potabile</t>
  </si>
  <si>
    <t>Apa industriala</t>
  </si>
  <si>
    <t>Transportul și epurarea apelor uzate preluate din alte sisteme de operare</t>
  </si>
  <si>
    <t>Canalizare ape uzate menajere</t>
  </si>
  <si>
    <t xml:space="preserve">Serviciul public inteligent alternativ pentru procesarea apelor uzate </t>
  </si>
  <si>
    <t>Canalizare ape pluviale</t>
  </si>
  <si>
    <t>Scenariul macroeconomic</t>
  </si>
  <si>
    <t>Produs Intern Brut -crestere reala</t>
  </si>
  <si>
    <t>%</t>
  </si>
  <si>
    <t>Indicele Preturilor de Consum (IPC) - medie anuală (Inflatia)</t>
  </si>
  <si>
    <t>Cursul de schimb mediu</t>
  </si>
  <si>
    <t>RON/EUR</t>
  </si>
  <si>
    <t>Castigul salarial real</t>
  </si>
  <si>
    <t>Sursa informatiilor pentru scenariul macroeconomic</t>
  </si>
  <si>
    <t>PROIECŢIA PRINCIPALILOR INDICATORI MACROECONOMICI 2024 -2028, 
Prognoza de toamnă 2024</t>
  </si>
  <si>
    <t>Insitutia care a emis prognoza</t>
  </si>
  <si>
    <t>Comisia Natională de Strategie și Prognoză</t>
  </si>
  <si>
    <t>Perioada date pronozate disponibile</t>
  </si>
  <si>
    <t>2024 - 2028</t>
  </si>
  <si>
    <t>Date emiterii prognozei</t>
  </si>
  <si>
    <t>Decembrie 2024</t>
  </si>
  <si>
    <t>Nivel profit rezonabil</t>
  </si>
  <si>
    <t>Nivel cota fond de solidaritare</t>
  </si>
  <si>
    <t>Rata TVA pentru apa si apa uzata</t>
  </si>
  <si>
    <t>Misiune</t>
  </si>
  <si>
    <t>MISIUNEA SERVICIULUI ALIMENATRE CU APĂ ,CANALIZARE LI SALUBRIZARE ÎN CALITATE DE OPERATOR LICENȚIAT ÎN ORAȘUL MARHITA ,JUDEȚUL BIHOR  ESTE ACEEA DE A ASIGURA SERVICII PUBLICE ÎNTR-O MANIERĂ PERFORMANTĂ ȘI NEDISCRIMINATORIE ,LA PARAMETRII CALITATIVI ȘI CANTITATIVI ÎN REGIM PERMANENT ,CU COSTURI SUPORTABILE DE CĂTRE POPULAȚIE.</t>
  </si>
  <si>
    <t>Viziune</t>
  </si>
  <si>
    <t>Orasul MARGHITA ÎȘI PROPUNE CA PRIN NOUL STUDIU DE FEZABILITATE PE CARE IL REALIZEAZA SA ACOPERE TOATE EXTINDERILE  LA RETEAUA  DE  APA SI SA MODERNIZZEZE TOT CE ESTE LEGAT DE CANALIZARE, DUPA CARE SA CAUTAM O SURSA DE FINANTARE PENTRU ACEST PROIECT.</t>
  </si>
  <si>
    <t>Obiective strategice privind operarea</t>
  </si>
  <si>
    <t>SEVICIUL PUBLIC DE ALIMENTARE CU APA, CANALIZARE SI SALUBRIZARE  ÎȘI PROPUNE CA OBIECTIV STRATEGIC PRINCIPAL DE OPERARE SĂ REDUCĂ CÂT MAI MULT PIERDERILE, ODATĂ CU ACEASTA SĂ REDUCĂ OPRIRILE ACIDENTALE ȘI SĂ DIMINUEZE REPARAȚIILE REZULTATE DIN ACESTE INTERVENȚII.</t>
  </si>
  <si>
    <t>Obiective strategice privind investitiile</t>
  </si>
  <si>
    <t>INVESTIȚIA MAJORĂ A SERVICIULUI DE ALIMENATRE CU APĂ, CANALIZARE ȘI SALUBRITATE ESTE SĂ ÎNLOCUIASCĂ TOATE TRONSOANELE CU PIERDERI FOARTE MARI ȘI APOI SĂ REALIZEZE O MONITORIZARE A ÎNTREGULUI SISTEM</t>
  </si>
  <si>
    <t>Obiective strategice privind conformarea cu Directivele UE privind apa si apa uzata</t>
  </si>
  <si>
    <t>ÎMBUNĂTĂȚIREA CALITĂȚII SERVICIILOR PRESTATE DE NOI ,ACCESUL TUTUROR LA ÎNFRASTRUCTURA DE APĂ ȘI APĂ UZATĂ .</t>
  </si>
  <si>
    <t>Prognoza cererii</t>
  </si>
  <si>
    <t>Populatie inregistrata in aria de operare cu servicii de apa, din care:</t>
  </si>
  <si>
    <t>nr. locuitori</t>
  </si>
  <si>
    <t>In mediul urban</t>
  </si>
  <si>
    <t>In mediul rural</t>
  </si>
  <si>
    <t>Populatie inregistrata in aria de operare cu servicii de canalizare-epurare, din care:</t>
  </si>
  <si>
    <t>Factor de prognoza a populatiei</t>
  </si>
  <si>
    <t>Populatia conectata la servicii de apa, din care:</t>
  </si>
  <si>
    <t>Gradul de conectare la servicii de apa, din care:</t>
  </si>
  <si>
    <t>Cantitatea facturata de apa la consumatori casnici (populatie), din care:</t>
  </si>
  <si>
    <t>mc/an</t>
  </si>
  <si>
    <t>Consumul individual de apa</t>
  </si>
  <si>
    <t>litri/persona/zi</t>
  </si>
  <si>
    <t>Populatia conectata la servicii de canalizare, din care:</t>
  </si>
  <si>
    <t>Gradul de conectare la servicii de canalizare, din care:</t>
  </si>
  <si>
    <t>Cantitatea facturata de apa uzata la consumatori casnici (populatie), din care:</t>
  </si>
  <si>
    <t>Volum de apa uzata generat individual</t>
  </si>
  <si>
    <t>Consumul de apa la consumatori comerciali</t>
  </si>
  <si>
    <t>Variatia consumului de apa</t>
  </si>
  <si>
    <t>n/a</t>
  </si>
  <si>
    <t>Volumul de apa uzata la consumatori comerciali</t>
  </si>
  <si>
    <t>Variatia volumul de apa uzata</t>
  </si>
  <si>
    <t>Volum de apa facturat la alte preturi decat cel unic</t>
  </si>
  <si>
    <t>Volum de apa potabilă produsă și transportată în vederea redistribuirii în alte sisteme de operare</t>
  </si>
  <si>
    <t>Variatia volumului de apa potabilă produsă și transportată în vederea redistribuirii în alte sisteme de operare</t>
  </si>
  <si>
    <t>Volum aferent doar distribuției apei potabile</t>
  </si>
  <si>
    <t>Variatia volumului aferent doar distribuției apei potabile</t>
  </si>
  <si>
    <t xml:space="preserve">Volum de apa industriala facturat </t>
  </si>
  <si>
    <t>Variatia volumului de apa industriala facturat</t>
  </si>
  <si>
    <t>Volum de apa uzata facturat la alte preturi decat cel unic</t>
  </si>
  <si>
    <t>Volum aferent transportului și epurarii apelor uzate preluate din alte sisteme de operare</t>
  </si>
  <si>
    <t>Variatia volumului aferent transportului și epurarii apelor uzate preluate din alte sisteme de operare</t>
  </si>
  <si>
    <t>Volum de apa uzata aferent doar canalizarii apelor uzate menajere</t>
  </si>
  <si>
    <t>Variatia volumului de apa uzata aferent doar canalizarii apelor uzate menajere</t>
  </si>
  <si>
    <t xml:space="preserve">Volum de apa uzata facturat aferent serviciul public inteligent alternativ pentru procesarea apelor uzate </t>
  </si>
  <si>
    <t xml:space="preserve">Variatia volumului de apa uzata facturat aferent serviciul public inteligent alternativ pentru procesarea apelor uzate </t>
  </si>
  <si>
    <t>Volum de apa pluviala facturat la alt tarif decat cel unic</t>
  </si>
  <si>
    <t>Variatia volumului de apa pluviala facturat la alt tarif decat cel unic</t>
  </si>
  <si>
    <t>VOLUM TOTAL DE APA FACTURAT</t>
  </si>
  <si>
    <t>Variatia volumului total de apă facturat</t>
  </si>
  <si>
    <t>VOLUM TOTAL DE APA UZATA FACTURAT</t>
  </si>
  <si>
    <t>Variatia volumului total de apă uzată facturat</t>
  </si>
  <si>
    <t>Eficienta operarii sistemelor de apa</t>
  </si>
  <si>
    <t>Cantitatea totala de apa facturata</t>
  </si>
  <si>
    <t>Cantitatea totala de apa cumpărată (apa brută, apa importata, etc.)</t>
  </si>
  <si>
    <t>Apă care nu aduce venituri, din care:</t>
  </si>
  <si>
    <t>Consum tehnologic</t>
  </si>
  <si>
    <t>Pierderi in procesul de transport si distributie</t>
  </si>
  <si>
    <t>mc/km/zi</t>
  </si>
  <si>
    <t>Eficienta operarii sistemelor de apa uzata</t>
  </si>
  <si>
    <t>Cantitatea totala de apa uzata facturata</t>
  </si>
  <si>
    <t>Cantitatea totala neta de infiltratii/ exfiltratii</t>
  </si>
  <si>
    <t>Cantitate totala de apa uzata canalizata</t>
  </si>
  <si>
    <t>Lungime totala retele de canalizare</t>
  </si>
  <si>
    <t>Nivel infiltratii nete in reteaua de canalizare</t>
  </si>
  <si>
    <t>ACTIVITATEA DE APA POTABILA PRODUSA, TRANSPORTATA SI DISTRIBUITA</t>
  </si>
  <si>
    <t>Prezentare justificari pentru cresteri de costuri in termeni reali pentru activitatea de apa potabila produsa, transportata si distribuita</t>
  </si>
  <si>
    <t>Cheltuieli cu apa bruta</t>
  </si>
  <si>
    <t>Cheltuieli cu apa tratata cumparata</t>
  </si>
  <si>
    <t>Cheltuieli materiale</t>
  </si>
  <si>
    <t>Cheltuieli cu energia electrica</t>
  </si>
  <si>
    <t>Cheltuieli de natura salariala</t>
  </si>
  <si>
    <t>Cheltuieli cu intretinerea si reparatiile</t>
  </si>
  <si>
    <t>Cheltuieli cu serviciile prestate de terti</t>
  </si>
  <si>
    <t>Cheltuieli cu amortizarea</t>
  </si>
  <si>
    <t>Cheltuieli cu redeventa</t>
  </si>
  <si>
    <t>Alte cheltuieli din exploatare</t>
  </si>
  <si>
    <t>cheltuieli de natură salarială : 1.893.215 lei:
- Salarii (nr. mediu salariati apa = 22) : 1.798.362 lei
- CAM: 40.463 lei
- Contributie fond de handicap: 32.226 lei 
- Alte drepturi asimilate salariilor: 22.163 lei
Justificarea cheltuielilor de natura salariala pentru activitatea de apa sunt evidentiate in tabelul: Centralizator cheltuieli pe conturi apa si canal pentru perioada: 01.01.2024 – 31.12.2024, la care s-au anexat fisele de cont pentru anul 2024 si state salarii pentru lunile nov2024, dec2024 si ian2025                              *justificarea cheltuielilor de natura salariala (salarii, taxe aferente salariilor si alte drepturi asimilate salariilor) pentru anul 2025: s-a avut in vedere respectarea OUG156/2024, astfel ca  pentru anul 2025 a fost mentinut nivelul cheltuielilor de natura salariala din luna noiembrie an 2024</t>
  </si>
  <si>
    <t>lei/an</t>
  </si>
  <si>
    <t>Cheltuieli inregistrate in an care nu au repetitivitate</t>
  </si>
  <si>
    <t>Alte cheltuieli de exploatare</t>
  </si>
  <si>
    <t>TOTAL CHELTUIELI</t>
  </si>
  <si>
    <t>Detaliere cheltuieli cu apa tratata cumparata</t>
  </si>
  <si>
    <t>Cantitate de apa tratata cumparata</t>
  </si>
  <si>
    <t>Pretul mediu de achizitie</t>
  </si>
  <si>
    <t>Variatie in termeni reali (fara inflatie)</t>
  </si>
  <si>
    <t>Costuri anuale</t>
  </si>
  <si>
    <t>Detaliere cheltuieli cu apa bruta</t>
  </si>
  <si>
    <t>Cantitate de apa bruta</t>
  </si>
  <si>
    <t>Ajustare in termeni reali a cheltuielilor materiale</t>
  </si>
  <si>
    <t>Detaliere cheltuieli cu energia electrica</t>
  </si>
  <si>
    <t>Cantitate de energie electrica</t>
  </si>
  <si>
    <t>KWh/an</t>
  </si>
  <si>
    <t>Consumul mediu pe cantitate facturata</t>
  </si>
  <si>
    <t>KWh/mc</t>
  </si>
  <si>
    <t>lei/KWh</t>
  </si>
  <si>
    <t>Detaliere Cheltuieli de natura salariala</t>
  </si>
  <si>
    <t>Cheltuieli cu salarii</t>
  </si>
  <si>
    <t>Cheltuieli cu taxele aferente salariilor</t>
  </si>
  <si>
    <t>Alte Cheltuieli de natura salariala</t>
  </si>
  <si>
    <t>Numarul mediu de angajati</t>
  </si>
  <si>
    <t>Salariul mediu lunar</t>
  </si>
  <si>
    <t>lei/angajat/luna</t>
  </si>
  <si>
    <t>Cheltuieli unitare medii cu taxele aferente salariilor</t>
  </si>
  <si>
    <t>Alte cheltuieli unitare medii de natura salariala</t>
  </si>
  <si>
    <t>Crestere in termeni reali suplimentare pentru cheltuielile cu salariul mediu</t>
  </si>
  <si>
    <t>Crestere in termeni reali suplimentare pentru cheltuielile unitare medii cu taxele aferente salariilor</t>
  </si>
  <si>
    <t>Crestere in termeni reali suplimentare pentru alte cheltuieli unitare medii de natura salariala</t>
  </si>
  <si>
    <t>Procentul din cresterea salariul mediu brut la nivel national alocat pentru sectorul de apa si apa uzata</t>
  </si>
  <si>
    <t>Ajustare in termeni reali a cheltuielilor cu intretinerea si reparatiile</t>
  </si>
  <si>
    <t>Ajustare in termeni reali a cheltuielilor cu serviciile prestate de terti</t>
  </si>
  <si>
    <t>Ajustare in termeni reali a altor cheltuieli din exploatare</t>
  </si>
  <si>
    <t>Ajustare in termeni nominali a cheltuielilor cu amortizarea</t>
  </si>
  <si>
    <t>Ajustare in termeni nominali a cheltuielilor cu redeventa</t>
  </si>
  <si>
    <t>ACTIVITATEA DE CANALIZARE-EPURARE APE UZATE SI METEORICE PROCESATE</t>
  </si>
  <si>
    <t>Prezentare justificari pentru cresteri de costuri in termeni reali pentru activitatea de canalizare-epurare ape uzate si meteorice procesate</t>
  </si>
  <si>
    <t>Cheltuieli cu valorificarea namolului</t>
  </si>
  <si>
    <t>cheltuieli de natură salarială : 1.175.668 lei:
- Salarii (nr. mediu salariati canal = 12) : 1.110.427 lei
- CAM: 24.985 lei
- Contributie fond de handicap: 23.952 lei 
- Alte drepturi asimilate salariilor: 16.304 lei
Justificarea cheltuielilor de natura salariala pentru activitatea de canalizare-epurare sunt evidentiate in tabelul: Centralizator cheltuieli pe conturi apa si canal pentru perioada: 01.01.2024 – 31.12.2024, la care s-au anexat fisele de cont pentru anul 2024 si state salarii pentru lunile nov2024, dec2024 si ian2025                                                      *justificarea cheltuielilor de natura salariala (salarii, taxe aferente salariilor si alte drepturi asimilate salariilor) pentru anul 2025: s-a avut in vedere respectarea OUG156/2024, astfel ca  pentru anul 2025 a fost mentinut nivelul cheltuielilor de natura salariala din luna noiembrie an 2024</t>
  </si>
  <si>
    <t>Cheltuielile pentru managementul namolului</t>
  </si>
  <si>
    <t>Detaliere cheltuieli cu managementul namolului</t>
  </si>
  <si>
    <t>Cantitate de namol</t>
  </si>
  <si>
    <t>tone/an</t>
  </si>
  <si>
    <t>Costul mediu</t>
  </si>
  <si>
    <t>lei/tona</t>
  </si>
  <si>
    <t>ACTIVITATEA DE APA POTABILA PRODUSA SI TRANSPORTATA IN VEDEREA REDISTRIBUIRII IN ALTE SISTEME DE OPERARE</t>
  </si>
  <si>
    <t>Prezentare justificari pentru cresteri de costuri in termeni reali pentru activitatea de apa potabila produsa si transportata in vederea redistribuirii in alte sisteme de operare</t>
  </si>
  <si>
    <t>Cantitate de apa tratata cumparate</t>
  </si>
  <si>
    <t>ACTIVITATEA DE DISTRIBUTIE A APEI POTABILE</t>
  </si>
  <si>
    <t>Prezentare justificari pentru cresteri de costuri in termeni reali pentru activitatea de distributie a apei potabile</t>
  </si>
  <si>
    <t>ACTIVITATEA DE APA INDUSTRIALA</t>
  </si>
  <si>
    <t>Prezentare justificari pentru cresteri de costuri in termeni reali pentru activitatea de apa industriala</t>
  </si>
  <si>
    <t>ACTIVITATEA DE TRANSPORT SI EPURARE A APELOR UZATE PRELUATE DIN ALTE SISTEME DE OPERARE</t>
  </si>
  <si>
    <t>Prezentare justificari pentru cresteri de costuri in termeni reali pentru activitatea de transport si epurare a apelor uzate preluate din alte sisteme de operare</t>
  </si>
  <si>
    <t>Detaliere cheltuieli cu valorificarea namolului</t>
  </si>
  <si>
    <t>ACTIVITATEA DE CANALIZARE - CANALIZAREA APELOR UZATE MENAJERE</t>
  </si>
  <si>
    <t>Prezentare justificari pentru cresteri de costuri in termeni reali pentru activitatea de canalizare-canalizarea apelor uzate menajere</t>
  </si>
  <si>
    <t>ACTIVITATEA DE CANALIZARE - SERVICIUL PUBLIC INTELIGENT ALTERNATIV PENTRU PROCESAREA APELOR UZATE</t>
  </si>
  <si>
    <t>Prezentare justificari pentru cresteri de costuri in termeni reali pentru activitatea de canalizare-serviciul public inteligent alternativ pentru procesare apelor uzate</t>
  </si>
  <si>
    <t>ACTIVITATEA DE CANALIZARE - CANALIZARE APE PLUVIALE</t>
  </si>
  <si>
    <t>Prezentare justificari pentru cresteri de costuri in termeni reali pentru activitatea de canalizare-canalizare ape pluviale</t>
  </si>
  <si>
    <t>VERIFICARE ACURATETE DATE</t>
  </si>
  <si>
    <t>Cheltuieli din Contul de Profit si Pierdere</t>
  </si>
  <si>
    <t>Cheltuieli cu apa bruta si apa tratata cumparata</t>
  </si>
  <si>
    <t>Cheltuieli aferente altor activitati</t>
  </si>
  <si>
    <t>TOTAL CHELTUIELI DIN EXPLOATARE</t>
  </si>
  <si>
    <t>Cheltuieli din planul de afaceri</t>
  </si>
  <si>
    <t>VERIFICARE</t>
  </si>
  <si>
    <t>MANAGEMENTUL ACTIVELOR</t>
  </si>
  <si>
    <t>Implementarea unui sistem de management al activelor</t>
  </si>
  <si>
    <t>Prezentare strategie si abordare privind managementul activelor</t>
  </si>
  <si>
    <t>Aveti in implementare un sistem de management al activelor (DA, NU)</t>
  </si>
  <si>
    <t>NU</t>
  </si>
  <si>
    <t>Anul in care a fost realizate (sau va fi realizat) documentului de Politica privind Managementul Activelor</t>
  </si>
  <si>
    <t xml:space="preserve">Anul in care a fost realizata (sau va fi realizat) Planul Strategic privind Managementul Activelor </t>
  </si>
  <si>
    <t>Proportia activelor care sunt introduse in sistemul de management al activelor</t>
  </si>
  <si>
    <t>Statii de tratare apa</t>
  </si>
  <si>
    <t>Statii de clorinare</t>
  </si>
  <si>
    <t>Statii de pompare apa</t>
  </si>
  <si>
    <t>Retele de transport apa</t>
  </si>
  <si>
    <t>Retele de distributie apa</t>
  </si>
  <si>
    <t>Statii de pompare ape uzata</t>
  </si>
  <si>
    <t>Retele de canalizare</t>
  </si>
  <si>
    <t>Statii de epurare</t>
  </si>
  <si>
    <t>Proportia activelor care sunt introduse in sistemul GIS (procent in total active operate)</t>
  </si>
  <si>
    <t>Proportia activelor care sunt acoperite de sistemul SCADA (procent in total active relevante operate)</t>
  </si>
  <si>
    <t>Procentul avariilor sau interventiilor care sunt evidentiate centralizat in sistemul GIS (procent in total avarii si interventii inregistrate in an)</t>
  </si>
  <si>
    <t>OPTIMIZAREA PIERDERILOR DE APA</t>
  </si>
  <si>
    <t>Prognoza pierderilor de apa</t>
  </si>
  <si>
    <t>Prezentare ipoteze si calcule pentru masurile de optimizare a piederilor de apa</t>
  </si>
  <si>
    <t>Cantitatea totala de apa cumparata (apa bruta, apa importata, etc.)</t>
  </si>
  <si>
    <t>Apa care nu aduce venituri, din care:</t>
  </si>
  <si>
    <t>Lungime totala retele de transport si distributie</t>
  </si>
  <si>
    <t xml:space="preserve">Pierderi specifice pe rețeaua de distribuție și transport </t>
  </si>
  <si>
    <t>OPTIMIZAREA EFICIENTEI ENERGETICE</t>
  </si>
  <si>
    <t>Eficienta energetica</t>
  </si>
  <si>
    <t>Prezentare ipoteze si calcule pentru masurile de optimizare eficientei energetice si reducere a emisiilor de CO2</t>
  </si>
  <si>
    <t>ACTIVITATEA DE APA</t>
  </si>
  <si>
    <t xml:space="preserve">Consumul specific de energie electrică per m3 de apă facturată </t>
  </si>
  <si>
    <t xml:space="preserve">Consumul specific de energie electrică per m3 de apă potabilă produsă și preluată din alte sisteme de alimentare cu apă </t>
  </si>
  <si>
    <t>ACTIVITATEA DE APA UZATA</t>
  </si>
  <si>
    <t>Consumul specific de energie electrică per pe m3 de apă uzată facturată</t>
  </si>
  <si>
    <t>Consumul specific de energie electrică per m3 de apă uzată epurată din canalizare</t>
  </si>
  <si>
    <t>OPTIMIZAREA EFICIENTEI PERSONALULUI</t>
  </si>
  <si>
    <t>Eficienta personalului</t>
  </si>
  <si>
    <t>Prezentare ipoteze si calcule pentru masurile de optimizare a personalului</t>
  </si>
  <si>
    <t>Personal total pentru activitatea de apa, din care:</t>
  </si>
  <si>
    <t>Personal total pentru activitatea de apa uzata, din care:</t>
  </si>
  <si>
    <t>TOTAL PERSONAL SOCIETATE, din care:</t>
  </si>
  <si>
    <t>Număr angajați direct productivi pentru activitatea de apa</t>
  </si>
  <si>
    <t>Număr angajați direct productivi pentru activitatea de apa uzata</t>
  </si>
  <si>
    <t>Personal indirect</t>
  </si>
  <si>
    <t>Personal general si administrativ</t>
  </si>
  <si>
    <t>Evolutie proportie personal</t>
  </si>
  <si>
    <t>Personal general si adiministrativ</t>
  </si>
  <si>
    <t xml:space="preserve">Număr angajați direct productivi apă per lungime rețea de apă </t>
  </si>
  <si>
    <t>nr/100 km</t>
  </si>
  <si>
    <t>Număr angajați direct productivi apă uzată per lungime rețea de canalizare</t>
  </si>
  <si>
    <t>INVESTITII IN INFRASTRUCTURA DE APA</t>
  </si>
  <si>
    <t>INVESTITII CU FONDURI EUROPENE SI ATRASE</t>
  </si>
  <si>
    <t>Prezentare strategie si ipotezelor privind investitiile in infrastructura de apa</t>
  </si>
  <si>
    <t>INVESTITII</t>
  </si>
  <si>
    <t>Investiții pentru conformare</t>
  </si>
  <si>
    <t>RON/an</t>
  </si>
  <si>
    <t>Investitiide inlocuire (reinvestiții).</t>
  </si>
  <si>
    <t>Investitii de dezvoltare</t>
  </si>
  <si>
    <t>TOTAL INVESTITII</t>
  </si>
  <si>
    <t>SURSE DE FINANTARE</t>
  </si>
  <si>
    <t>Fonduri UE</t>
  </si>
  <si>
    <t>Buget de stat</t>
  </si>
  <si>
    <t>Buget local</t>
  </si>
  <si>
    <t>Imprumut co-finantare</t>
  </si>
  <si>
    <t>Surse proprii</t>
  </si>
  <si>
    <t>TOTAL FINANTARE</t>
  </si>
  <si>
    <t>INVESTITII FINANTATE DIN SURSE PROPRII</t>
  </si>
  <si>
    <t>Imprumut</t>
  </si>
  <si>
    <t>INVESTITII IN INFRASTRUCTURA DE APA UZATA</t>
  </si>
  <si>
    <t>Prezentare strategie si ipotezelor privind investitiile in infrastructura de apa uzata</t>
  </si>
  <si>
    <t>RAMBURSARE IMPRUMUTURI</t>
  </si>
  <si>
    <t>IMPRUMUT BANCA 1</t>
  </si>
  <si>
    <t>Prezentare strategie si ipotezelor privind contractarea si rambursarea imprumuturilor</t>
  </si>
  <si>
    <t>Sold la final de perioada</t>
  </si>
  <si>
    <t>RON</t>
  </si>
  <si>
    <t>Tragere in an</t>
  </si>
  <si>
    <t>Rambursare in an</t>
  </si>
  <si>
    <t>Dobanda</t>
  </si>
  <si>
    <t>Comisioane</t>
  </si>
  <si>
    <t>Total serviciul datoriei</t>
  </si>
  <si>
    <t>Total cheltuieli financiare</t>
  </si>
  <si>
    <t>IMPRUMUT BANCA 2</t>
  </si>
  <si>
    <t>IMPRUMUT BANCA 3</t>
  </si>
  <si>
    <t>IMPRUMUT BANCA 4</t>
  </si>
  <si>
    <t>IMPRUMUT BANCA 5</t>
  </si>
  <si>
    <t>CENTRALIZARE</t>
  </si>
  <si>
    <t>Prezentare strategie si ipotezelor privind alocarea cheltuielilor financiare pe activitati</t>
  </si>
  <si>
    <t>TOTAL SERVICIUL DATORIEI</t>
  </si>
  <si>
    <t>TOTAL CHELTUIELI FINANCIARE, DIN CARE ALOCATE IN TARIFUL PENTRU:</t>
  </si>
  <si>
    <t>Nealocate in tarif (ex. capitalizat pe valoarea investitiei, etc.)</t>
  </si>
  <si>
    <t>AMORTIZAREA</t>
  </si>
  <si>
    <t>Prezentare ipoteze si calcule pentru calculatea si prognoza amortizarii  si redeventei</t>
  </si>
  <si>
    <t>Amortizare active din patrimoniul propriu</t>
  </si>
  <si>
    <t>Amortizare active din patrimoniul public</t>
  </si>
  <si>
    <t>Stabilirea procentului de amortizare inclus in redeventa</t>
  </si>
  <si>
    <t>Amortizarea actuala</t>
  </si>
  <si>
    <t>Amortizare  aferenta investitiilor propuse</t>
  </si>
  <si>
    <t>TOTAL AMORTIZAREA PROGNOZATA</t>
  </si>
  <si>
    <t>Variatia in termeni nominali</t>
  </si>
  <si>
    <t>REDEVENTA</t>
  </si>
  <si>
    <t>Redeventa actuala si prognozata</t>
  </si>
  <si>
    <t>Valoarea amortizarii activelor din patrimoniul public aferente activitatii de apa, din care</t>
  </si>
  <si>
    <t>Aferente proiectului ISPA</t>
  </si>
  <si>
    <t>Aferente proiectului POS Mediu</t>
  </si>
  <si>
    <t>Aferente proiectului POIM</t>
  </si>
  <si>
    <t>Aferente proiectului PODD si altor proiecte cu finantare europeana ulteroara</t>
  </si>
  <si>
    <t>Restul infrastructurii publice existente la data planului de afaceri</t>
  </si>
  <si>
    <t>Amortizarea aferente activelor publice care vor fi realizate prin proiectele de investitii propuse</t>
  </si>
  <si>
    <t>Procent din amortizarea patrimoniului public inclus in tarif prin intermediul redeventei</t>
  </si>
  <si>
    <t>Verificare</t>
  </si>
  <si>
    <t>pentru investitiile realizate din fonduri atrase (Anghel Saligny si redeventa) amortizarea este calculata ca 3% din investitiile realizate in anul anterior</t>
  </si>
  <si>
    <t>Aferente proiectului PDD si altor proiecte cu finantare europeana ulteroara</t>
  </si>
  <si>
    <t>STRATEGIA DE TARIFARE</t>
  </si>
  <si>
    <t>Tarif initial</t>
  </si>
  <si>
    <t>Costuri de operare fara amortizare si redeventea</t>
  </si>
  <si>
    <t>Amortizare si redeventa</t>
  </si>
  <si>
    <t>Profit rezonabil</t>
  </si>
  <si>
    <t>Cheltuieli financiare incluse in tarif</t>
  </si>
  <si>
    <t>Fond de solidaritate</t>
  </si>
  <si>
    <t>Total elemente pentru tarif</t>
  </si>
  <si>
    <t>Cantitate facturata</t>
  </si>
  <si>
    <t>Nivel tarif prognozat - nominal</t>
  </si>
  <si>
    <t>Variatia tarifului in termeni nominali</t>
  </si>
  <si>
    <t>Variatia tarifului in termeni reali</t>
  </si>
  <si>
    <t>Venituri din tarife - activitatea de apa</t>
  </si>
  <si>
    <t>lei</t>
  </si>
  <si>
    <t>Venituri din tarife - activitatea de apa uzata</t>
  </si>
  <si>
    <t>Canalizare-epurare pentru apa pluviala</t>
  </si>
  <si>
    <t>Prezentare ipoteze pentru prognoza altor venituri din exploatare</t>
  </si>
  <si>
    <t>Alte venituri din exploatare aferente activitatii de apa</t>
  </si>
  <si>
    <t>Alte venituri din exploatare aferente activitatii de apa uzata</t>
  </si>
  <si>
    <t>Venituri aferente altor activitati</t>
  </si>
  <si>
    <t>Venituri inregistrate in an care nu au repetitivitate</t>
  </si>
  <si>
    <t>TOTAL VENITURI DIN EXPLOATARE</t>
  </si>
  <si>
    <t>Prognoza alte categorii de venituri</t>
  </si>
  <si>
    <t>PROGNOZA FACTURII MINIME</t>
  </si>
  <si>
    <t xml:space="preserve">Prognoza facturii minime </t>
  </si>
  <si>
    <t>Venitul total mediu pe o gospodărie la nivel național</t>
  </si>
  <si>
    <t>lei/lună</t>
  </si>
  <si>
    <t xml:space="preserve">Cheltuieli cu Impozite, contribuţii,  cotizaţii, taxe </t>
  </si>
  <si>
    <t>Venitul mediu disponibil la nivel național</t>
  </si>
  <si>
    <t>Calcularea factorului de corecție pentru venitul gospodăriei din regiunea de operare</t>
  </si>
  <si>
    <t>Câștigul salarial mediu brut lunar la nivel național</t>
  </si>
  <si>
    <t>Câștigul salarial mediu brut lunar la nivelul ariei de operare</t>
  </si>
  <si>
    <t>Factor de corecție</t>
  </si>
  <si>
    <t>Venitul mediu disponibil la nivelul ariei de operare</t>
  </si>
  <si>
    <t>Este inclusă întreaga amortizare a infrastructurii în tarif prin intermediul amortizării și redevenței?</t>
  </si>
  <si>
    <t>Nivel minim de suportabilitate</t>
  </si>
  <si>
    <t>Nivel minim necesar al facturii platită de consumatorii casnici din gospodaria medie (populație)</t>
  </si>
  <si>
    <t>SUPORTABILITATEA</t>
  </si>
  <si>
    <t>Consumul mediu de apă</t>
  </si>
  <si>
    <t>litri/pers/zi</t>
  </si>
  <si>
    <t>Cantitatea medie de apă uzată generată</t>
  </si>
  <si>
    <t>Preț apă potabilă</t>
  </si>
  <si>
    <t>Tariful  canalizare-epurare</t>
  </si>
  <si>
    <t>Numărul mediu de persoane pe gospodărie</t>
  </si>
  <si>
    <t>persoane</t>
  </si>
  <si>
    <t>Factura de plată medie</t>
  </si>
  <si>
    <t>lei/luna</t>
  </si>
  <si>
    <t>Rata de suportabilitate</t>
  </si>
  <si>
    <t>STRATEGIA PRIVIND REDEVENTA</t>
  </si>
  <si>
    <t>Nivel initial</t>
  </si>
  <si>
    <t>PROCENTUL DIN AMORTIZARE INCLUS IN TARIF PRIN INTERMEDIUL REDEVENTEI</t>
  </si>
  <si>
    <t>MASURI DE OPTIMIZARE A EFICIENTEI</t>
  </si>
  <si>
    <t>Pierderile de apa</t>
  </si>
  <si>
    <t>Pierderi totale (%)</t>
  </si>
  <si>
    <t>Pierderi in procesul de productie  (%)</t>
  </si>
  <si>
    <t>Pierderi specifice pe rețeaua de distribuție și transport (%)</t>
  </si>
  <si>
    <t>Pierderi specifice pe rețeaua de distribuție și transport (mc/km/zi)</t>
  </si>
  <si>
    <t>Activitatea de apa</t>
  </si>
  <si>
    <t>Consumul specific de energie electrică per m3 de apă facturată  (KWh/mc)</t>
  </si>
  <si>
    <t>Consumul specific de energie electrică per m3 de apă potabilă produsă și preluată din alte sisteme de alimentare cu apă  (KWh/mc)</t>
  </si>
  <si>
    <t>Activitatea de apa uzata</t>
  </si>
  <si>
    <t>Consumul specific de energie electrică per pe m3 de apă uzată facturată (KWh/mc)</t>
  </si>
  <si>
    <t>Consumul specific de energie electrică per m3 de apă uzată epurată din canalizare (KWh/mc)</t>
  </si>
  <si>
    <t>Eficienta personal</t>
  </si>
  <si>
    <t>Numar total de angajati (nr.)</t>
  </si>
  <si>
    <t>Număr angajați direct productivi apă per lungime rețea de apă  (nr./100km)</t>
  </si>
  <si>
    <t>Număr angajați direct productivi apă uzată per lungime rețea de canalizare (nr./100km)</t>
  </si>
  <si>
    <t>Pondere personal indirect in total numar personal (%)</t>
  </si>
  <si>
    <t>Pondere personalgeneral si adiministrativ in total numar personal (%)</t>
  </si>
  <si>
    <t>SUPORTABILITATEA CONSUMATORILOR CASNICI (POPULATIA)</t>
  </si>
  <si>
    <t>Rata de suportabilitate prognozata</t>
  </si>
  <si>
    <t>Respectarea nivelului minim de suportabilitate</t>
  </si>
  <si>
    <t>DA/NU</t>
  </si>
  <si>
    <t>PLANUL DE INVESTITII</t>
  </si>
  <si>
    <t>Investitii totale, din care:</t>
  </si>
  <si>
    <t>In Infrastructura de apa</t>
  </si>
  <si>
    <t>In Infrastructura de apa uzata</t>
  </si>
  <si>
    <t>Gradul de utilizare al surselor proprii de finantare</t>
  </si>
  <si>
    <t>Nivelul total al redeventei</t>
  </si>
  <si>
    <t>Nivelul estimativ al serviciului datoriei aferent imprumuturilor</t>
  </si>
  <si>
    <t>Investitii din surse proprii</t>
  </si>
  <si>
    <t>Nr. crt.</t>
  </si>
  <si>
    <t>Indicator</t>
  </si>
  <si>
    <t>U.M.</t>
  </si>
  <si>
    <t>Valoare inițială</t>
  </si>
  <si>
    <t>Valoare  programată</t>
  </si>
  <si>
    <t>nivelul anual al redevenței înregistrat pe costuri</t>
  </si>
  <si>
    <t>total investiții din surse proprii în infrastructura de apă și apă uzată</t>
  </si>
  <si>
    <t xml:space="preserve">număr angajați direct productivi sector apă /  lungime rețea de apă </t>
  </si>
  <si>
    <t>nr./100 km</t>
  </si>
  <si>
    <t xml:space="preserve">număr angajați direct productivi sector apă uzată / lungime rețea de canalizare </t>
  </si>
  <si>
    <t>rentabilitatea personalului pe întreaga activitate (venitul din exploatare pe angajat/cheltuiala de natură salarială pe angajat);</t>
  </si>
  <si>
    <t xml:space="preserve">avarii pe rețeaua de distribuție </t>
  </si>
  <si>
    <t>blocaje totale în rețeaua de canalizare</t>
  </si>
  <si>
    <t>Apă care nu aduce venituri</t>
  </si>
  <si>
    <r>
      <t>m</t>
    </r>
    <r>
      <rPr>
        <vertAlign val="superscript"/>
        <sz val="12"/>
        <color indexed="8"/>
        <rFont val="Times New Roman"/>
        <family val="1"/>
      </rPr>
      <t>3</t>
    </r>
    <r>
      <rPr>
        <sz val="12"/>
        <color indexed="8"/>
        <rFont val="Times New Roman"/>
        <family val="1"/>
      </rPr>
      <t>/an</t>
    </r>
  </si>
  <si>
    <t xml:space="preserve">pierderi specifice pe rețeaua de distribuție și transport </t>
  </si>
  <si>
    <r>
      <t>m</t>
    </r>
    <r>
      <rPr>
        <vertAlign val="superscript"/>
        <sz val="12"/>
        <color indexed="8"/>
        <rFont val="Times New Roman"/>
        <family val="1"/>
      </rPr>
      <t>3</t>
    </r>
    <r>
      <rPr>
        <sz val="12"/>
        <color indexed="8"/>
        <rFont val="Times New Roman"/>
        <family val="1"/>
      </rPr>
      <t>/km * zi</t>
    </r>
  </si>
  <si>
    <r>
      <t>consumul specific de energie electrică / m</t>
    </r>
    <r>
      <rPr>
        <vertAlign val="superscript"/>
        <sz val="12"/>
        <color indexed="8"/>
        <rFont val="Times New Roman"/>
        <family val="1"/>
      </rPr>
      <t>3</t>
    </r>
    <r>
      <rPr>
        <sz val="12"/>
        <color indexed="8"/>
        <rFont val="Times New Roman"/>
        <family val="1"/>
      </rPr>
      <t xml:space="preserve"> de apă potabilă produsă și preluată din alte sisteme de alimentare cu apă</t>
    </r>
  </si>
  <si>
    <r>
      <t>kWh/m</t>
    </r>
    <r>
      <rPr>
        <vertAlign val="superscript"/>
        <sz val="12"/>
        <color indexed="8"/>
        <rFont val="Times New Roman"/>
        <family val="1"/>
      </rPr>
      <t>3</t>
    </r>
  </si>
  <si>
    <r>
      <t>consumul specific de energie electrică / m</t>
    </r>
    <r>
      <rPr>
        <vertAlign val="superscript"/>
        <sz val="12"/>
        <color indexed="8"/>
        <rFont val="Times New Roman"/>
        <family val="1"/>
      </rPr>
      <t>3</t>
    </r>
    <r>
      <rPr>
        <sz val="12"/>
        <color indexed="8"/>
        <rFont val="Times New Roman"/>
        <family val="1"/>
      </rPr>
      <t xml:space="preserve"> de apă facturată</t>
    </r>
  </si>
  <si>
    <r>
      <t>consumul specific de energie electrică / m</t>
    </r>
    <r>
      <rPr>
        <vertAlign val="superscript"/>
        <sz val="12"/>
        <color indexed="8"/>
        <rFont val="Times New Roman"/>
        <family val="1"/>
      </rPr>
      <t>3</t>
    </r>
    <r>
      <rPr>
        <sz val="12"/>
        <color indexed="8"/>
        <rFont val="Times New Roman"/>
        <family val="1"/>
      </rPr>
      <t xml:space="preserve"> de apă uzată epurată din canalizare</t>
    </r>
  </si>
  <si>
    <r>
      <t>consumul specific de energie electrică / m</t>
    </r>
    <r>
      <rPr>
        <vertAlign val="superscript"/>
        <sz val="12"/>
        <color indexed="8"/>
        <rFont val="Times New Roman"/>
        <family val="1"/>
      </rPr>
      <t>3</t>
    </r>
    <r>
      <rPr>
        <sz val="12"/>
        <color indexed="8"/>
        <rFont val="Times New Roman"/>
        <family val="1"/>
      </rPr>
      <t xml:space="preserve"> de apă uzată facturată </t>
    </r>
  </si>
  <si>
    <t xml:space="preserve">investiții unitare/apă facturată – surse proprii – activitatea de furnizare apă </t>
  </si>
  <si>
    <r>
      <t>lei/m</t>
    </r>
    <r>
      <rPr>
        <vertAlign val="superscript"/>
        <sz val="12"/>
        <color indexed="8"/>
        <rFont val="Times New Roman"/>
        <family val="1"/>
      </rPr>
      <t>3</t>
    </r>
  </si>
  <si>
    <t xml:space="preserve">investiții unitare/apă uzată facturată – surse proprii – activitatea de canalizare și epurare apă uzată </t>
  </si>
  <si>
    <t>Redeventa actuala conform A4</t>
  </si>
  <si>
    <t xml:space="preserve">Redeventa revizuita in functie de data de ajustare anuala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</si>
</sst>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0_);_(* \(#,##0\);_(* &quot;-&quot;_);_(@_)"/>
    <numFmt numFmtId="43" formatCode="_(* #,##0.00_);_(* \(#,##0.00\);_(* &quot;-&quot;??_);_(@_)"/>
    <numFmt numFmtId="168" formatCode="_-* #,##0.00\ &quot;lei&quot;_-;\-* #,##0.00\ &quot;lei&quot;_-;_-* &quot;-&quot;??\ &quot;lei&quot;_-;_-@_-"/>
    <numFmt numFmtId="171" formatCode="_-* #,##0.00\ _l_e_i_-;\-* #,##0.00\ _l_e_i_-;_-* &quot;-&quot;??\ _l_e_i_-;_-@_-"/>
    <numFmt numFmtId="172" formatCode="0.0"/>
    <numFmt numFmtId="173" formatCode="0.000"/>
    <numFmt numFmtId="174" formatCode="0.0%"/>
    <numFmt numFmtId="175" formatCode="_(* #,##0.0_);_(* \(#,##0.0\);_(* &quot;-&quot;??_);_(@_)"/>
    <numFmt numFmtId="176" formatCode="_(* #,##0.0_);_(* \(#,##0.0\);_(* &quot;-&quot;?_);_(@_)"/>
    <numFmt numFmtId="177" formatCode="_(* #,##0.0_);_(* \(#,##0.0\);_(* &quot;-&quot;_);_(@_)"/>
    <numFmt numFmtId="178" formatCode="_(* #,##0.00_);_(* \(#,##0.00\);_(* &quot;-&quot;_);_(@_)"/>
    <numFmt numFmtId="179" formatCode="0.0000"/>
    <numFmt numFmtId="180" formatCode="_(* #,##0.000_);_(* \(#,##0.000\);_(* &quot;-&quot;??_);_(@_)"/>
    <numFmt numFmtId="181" formatCode="_(* #,##0_);_(* \(#,##0\);_(* &quot;-&quot;??_);_(@_)"/>
  </numFmts>
  <fonts count="25" x14ac:knownFonts="1">
    <font>
      <sz val="11"/>
      <color theme="1"/>
      <name val="Calibri"/>
      <family val="2"/>
      <scheme val="minor"/>
    </font>
    <font>
      <sz val="10"/>
      <name val="Arial"/>
      <family val="2"/>
    </font>
    <font>
      <vertAlign val="superscript"/>
      <sz val="12"/>
      <color indexed="8"/>
      <name val="Times New Roman"/>
      <family val="1"/>
    </font>
    <font>
      <sz val="12"/>
      <color indexed="8"/>
      <name val="Times New Roman"/>
      <family val="1"/>
    </font>
    <font>
      <sz val="9"/>
      <name val="Tahoma"/>
      <family val="2"/>
    </font>
    <font>
      <b/>
      <sz val="9"/>
      <name val="Tahoma"/>
      <family val="2"/>
    </font>
    <font>
      <b/>
      <i/>
      <sz val="9"/>
      <name val="Tahoma"/>
      <family val="2"/>
    </font>
    <font>
      <sz val="11"/>
      <color theme="1"/>
      <name val="Calibri"/>
      <family val="2"/>
      <scheme val="minor"/>
    </font>
    <font>
      <sz val="11"/>
      <color rgb="FFFF0000"/>
      <name val="Calibri"/>
      <family val="2"/>
      <scheme val="minor"/>
    </font>
    <font>
      <b/>
      <sz val="11"/>
      <color theme="1"/>
      <name val="Calibri"/>
      <family val="2"/>
      <scheme val="minor"/>
    </font>
    <font>
      <sz val="12"/>
      <color theme="1"/>
      <name val="Times New Roman"/>
      <family val="1"/>
    </font>
    <font>
      <sz val="11"/>
      <color rgb="FF000000"/>
      <name val="Calibri"/>
      <family val="2"/>
    </font>
    <font>
      <sz val="11"/>
      <color rgb="FF000000"/>
      <name val="Times New Roman"/>
      <family val="1"/>
    </font>
    <font>
      <b/>
      <sz val="14"/>
      <color theme="1"/>
      <name val="Calibri"/>
      <family val="2"/>
      <scheme val="minor"/>
    </font>
    <font>
      <sz val="11"/>
      <name val="Calibri"/>
      <family val="2"/>
      <scheme val="minor"/>
    </font>
    <font>
      <b/>
      <sz val="12"/>
      <color rgb="FF00B0F0"/>
      <name val="Calibri"/>
      <family val="2"/>
      <scheme val="minor"/>
    </font>
    <font>
      <b/>
      <sz val="11"/>
      <color rgb="FFFF0000"/>
      <name val="Calibri"/>
      <family val="2"/>
      <scheme val="minor"/>
    </font>
    <font>
      <b/>
      <sz val="11"/>
      <name val="Calibri"/>
      <family val="2"/>
      <scheme val="minor"/>
    </font>
    <font>
      <sz val="9"/>
      <color rgb="FFFF0000"/>
      <name val="Calibri"/>
      <family val="2"/>
      <scheme val="minor"/>
    </font>
    <font>
      <sz val="9"/>
      <color theme="1"/>
      <name val="Calibri"/>
      <family val="2"/>
      <scheme val="minor"/>
    </font>
    <font>
      <b/>
      <sz val="7"/>
      <color theme="1"/>
      <name val="Calibri"/>
      <family val="2"/>
      <scheme val="minor"/>
    </font>
    <font>
      <sz val="7"/>
      <color theme="1"/>
      <name val="Calibri"/>
      <family val="2"/>
      <scheme val="minor"/>
    </font>
    <font>
      <b/>
      <sz val="13"/>
      <color theme="1"/>
      <name val="Calibri"/>
      <family val="2"/>
      <scheme val="minor"/>
    </font>
    <font>
      <sz val="12"/>
      <color theme="1"/>
      <name val="Calibri"/>
      <family val="2"/>
      <scheme val="minor"/>
    </font>
    <font>
      <sz val="12"/>
      <color rgb="FFFF0000"/>
      <name val="Calibri"/>
      <family val="2"/>
      <scheme val="minor"/>
    </font>
  </fonts>
  <fills count="8">
    <fill>
      <patternFill patternType="none"/>
    </fill>
    <fill>
      <patternFill patternType="gray125"/>
    </fill>
    <fill>
      <patternFill patternType="solid">
        <fgColor theme="5"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rgb="FF33CCFF"/>
        <bgColor indexed="64"/>
      </patternFill>
    </fill>
    <fill>
      <patternFill patternType="solid">
        <fgColor rgb="FFCCFFFF"/>
        <bgColor indexed="64"/>
      </patternFill>
    </fill>
    <fill>
      <patternFill patternType="solid">
        <fgColor rgb="FFFF99FF"/>
        <bgColor indexed="64"/>
      </patternFill>
    </fill>
  </fills>
  <borders count="12">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8">
    <xf numFmtId="0" fontId="0" fillId="0" borderId="0"/>
    <xf numFmtId="43" fontId="7" fillId="0" borderId="0" applyFont="0" applyFill="0" applyBorder="0" applyAlignment="0" applyProtection="0"/>
    <xf numFmtId="9" fontId="7"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0" fontId="1" fillId="0" borderId="0"/>
    <xf numFmtId="0" fontId="1" fillId="0" borderId="0"/>
    <xf numFmtId="10" fontId="1" fillId="0" borderId="0" applyFont="0" applyFill="0" applyBorder="0" applyAlignment="0" applyProtection="0"/>
  </cellStyleXfs>
  <cellXfs count="265">
    <xf numFmtId="0" fontId="0" fillId="0" borderId="0" xfId="0"/>
    <xf numFmtId="0" fontId="10" fillId="0" borderId="2" xfId="0" applyFont="1" applyBorder="1" applyAlignment="1">
      <alignment horizontal="center" vertical="center" wrapText="1"/>
    </xf>
    <xf numFmtId="0" fontId="10" fillId="0" borderId="3" xfId="0" applyFont="1" applyBorder="1" applyAlignment="1">
      <alignment horizontal="justify" vertical="center" wrapText="1"/>
    </xf>
    <xf numFmtId="0" fontId="10" fillId="0" borderId="4" xfId="0" applyFont="1" applyBorder="1" applyAlignment="1">
      <alignment horizontal="center" vertical="center" wrapText="1"/>
    </xf>
    <xf numFmtId="0" fontId="10" fillId="0" borderId="4" xfId="0" applyFont="1" applyBorder="1" applyAlignment="1">
      <alignment horizontal="justify" vertical="center" wrapText="1"/>
    </xf>
    <xf numFmtId="3" fontId="11" fillId="0" borderId="4" xfId="0" applyNumberFormat="1" applyFont="1" applyBorder="1" applyAlignment="1">
      <alignment horizontal="center" vertical="center" wrapText="1"/>
    </xf>
    <xf numFmtId="172" fontId="11" fillId="0" borderId="4" xfId="0" applyNumberFormat="1" applyFont="1" applyBorder="1" applyAlignment="1">
      <alignment horizontal="center" vertical="center" wrapText="1"/>
    </xf>
    <xf numFmtId="2" fontId="10" fillId="0" borderId="4"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37" fontId="10" fillId="0" borderId="4" xfId="0" applyNumberFormat="1" applyFont="1" applyBorder="1" applyAlignment="1">
      <alignment horizontal="center" vertical="center" wrapText="1"/>
    </xf>
    <xf numFmtId="10" fontId="10" fillId="0" borderId="4" xfId="0" applyNumberFormat="1" applyFont="1" applyBorder="1" applyAlignment="1">
      <alignment horizontal="center" vertical="center" wrapText="1"/>
    </xf>
    <xf numFmtId="0" fontId="10" fillId="0" borderId="0" xfId="0" applyFont="1" applyAlignment="1">
      <alignment horizontal="justify" vertical="center" wrapText="1"/>
    </xf>
    <xf numFmtId="0" fontId="10" fillId="0" borderId="0" xfId="0" applyFont="1" applyAlignment="1">
      <alignment horizontal="center" vertical="center" wrapText="1"/>
    </xf>
    <xf numFmtId="2" fontId="10" fillId="0" borderId="0" xfId="0" applyNumberFormat="1" applyFont="1" applyAlignment="1">
      <alignment horizontal="center" vertical="center" wrapText="1"/>
    </xf>
    <xf numFmtId="0" fontId="0" fillId="0" borderId="7" xfId="0" applyBorder="1"/>
    <xf numFmtId="0" fontId="12" fillId="0" borderId="7" xfId="0" applyFont="1" applyBorder="1" applyAlignment="1">
      <alignment vertical="center" wrapText="1"/>
    </xf>
    <xf numFmtId="0" fontId="10" fillId="0" borderId="7" xfId="0" applyFont="1" applyBorder="1" applyAlignment="1">
      <alignment horizontal="center" vertical="center" wrapText="1"/>
    </xf>
    <xf numFmtId="41" fontId="0" fillId="0" borderId="7" xfId="0" applyNumberFormat="1" applyBorder="1"/>
    <xf numFmtId="0" fontId="0" fillId="0" borderId="7" xfId="0" applyBorder="1" applyAlignment="1">
      <alignment horizontal="center"/>
    </xf>
    <xf numFmtId="3" fontId="0" fillId="0" borderId="7" xfId="0" applyNumberFormat="1" applyBorder="1"/>
    <xf numFmtId="3" fontId="0" fillId="0" borderId="0" xfId="0" applyNumberFormat="1"/>
    <xf numFmtId="41" fontId="0" fillId="0" borderId="0" xfId="0" applyNumberFormat="1"/>
    <xf numFmtId="0" fontId="0" fillId="0" borderId="0" xfId="0" applyAlignment="1">
      <alignment vertical="center" wrapText="1"/>
    </xf>
    <xf numFmtId="0" fontId="0" fillId="5" borderId="0" xfId="0" applyFill="1"/>
    <xf numFmtId="0" fontId="9" fillId="0" borderId="0" xfId="0" applyFont="1"/>
    <xf numFmtId="0" fontId="9" fillId="3" borderId="7" xfId="0" applyFont="1" applyFill="1" applyBorder="1" applyAlignment="1">
      <alignment horizontal="left" vertical="center" wrapText="1"/>
    </xf>
    <xf numFmtId="0" fontId="9" fillId="3" borderId="7" xfId="0" applyFont="1" applyFill="1" applyBorder="1" applyAlignment="1">
      <alignment horizontal="center"/>
    </xf>
    <xf numFmtId="0" fontId="0" fillId="3" borderId="7" xfId="0" applyFill="1" applyBorder="1" applyAlignment="1">
      <alignment horizontal="center"/>
    </xf>
    <xf numFmtId="0" fontId="14" fillId="0" borderId="7" xfId="0" applyFont="1" applyBorder="1" applyAlignment="1">
      <alignment vertical="center" wrapText="1"/>
    </xf>
    <xf numFmtId="2" fontId="14" fillId="0" borderId="7" xfId="0" applyNumberFormat="1" applyFont="1" applyBorder="1" applyAlignment="1">
      <alignment horizontal="center" vertical="center" wrapText="1"/>
    </xf>
    <xf numFmtId="10" fontId="14" fillId="0" borderId="7" xfId="0" applyNumberFormat="1" applyFont="1" applyBorder="1" applyAlignment="1">
      <alignment horizontal="center" vertical="center" wrapText="1"/>
    </xf>
    <xf numFmtId="173" fontId="14" fillId="0" borderId="7" xfId="0" applyNumberFormat="1" applyFont="1" applyBorder="1" applyAlignment="1">
      <alignment horizontal="center" vertical="center" wrapText="1"/>
    </xf>
    <xf numFmtId="0" fontId="14" fillId="0" borderId="0" xfId="0" applyFont="1" applyAlignment="1">
      <alignment vertical="center" wrapText="1"/>
    </xf>
    <xf numFmtId="173" fontId="14" fillId="0" borderId="0" xfId="0" applyNumberFormat="1" applyFont="1" applyAlignment="1">
      <alignment horizontal="right" vertical="center" wrapText="1"/>
    </xf>
    <xf numFmtId="3" fontId="14" fillId="0" borderId="7" xfId="0" applyNumberFormat="1" applyFont="1" applyBorder="1" applyAlignment="1">
      <alignment horizontal="right" vertical="center" wrapText="1"/>
    </xf>
    <xf numFmtId="0" fontId="0" fillId="5" borderId="0" xfId="0" applyFill="1" applyAlignment="1">
      <alignment vertical="center" wrapText="1"/>
    </xf>
    <xf numFmtId="174" fontId="7" fillId="0" borderId="7" xfId="2" applyNumberFormat="1" applyFont="1" applyBorder="1" applyAlignment="1">
      <alignment vertical="center" wrapText="1"/>
    </xf>
    <xf numFmtId="0" fontId="9" fillId="3" borderId="7" xfId="0" applyFont="1" applyFill="1" applyBorder="1" applyAlignment="1">
      <alignment horizontal="center" vertical="center" wrapText="1"/>
    </xf>
    <xf numFmtId="0" fontId="0" fillId="3" borderId="7" xfId="0" applyFill="1" applyBorder="1" applyAlignment="1">
      <alignment horizontal="center" vertical="center" wrapText="1"/>
    </xf>
    <xf numFmtId="0" fontId="15" fillId="0" borderId="7" xfId="0" applyFont="1" applyBorder="1" applyAlignment="1">
      <alignment vertical="center" wrapText="1"/>
    </xf>
    <xf numFmtId="0" fontId="0" fillId="0" borderId="7" xfId="0" applyBorder="1" applyAlignment="1">
      <alignment vertical="center" wrapText="1"/>
    </xf>
    <xf numFmtId="43" fontId="7" fillId="0" borderId="7" xfId="2" applyNumberFormat="1" applyFont="1" applyBorder="1" applyAlignment="1">
      <alignment vertical="center" wrapText="1"/>
    </xf>
    <xf numFmtId="0" fontId="9" fillId="0" borderId="7" xfId="0" applyFont="1" applyBorder="1" applyAlignment="1">
      <alignment vertical="center" wrapText="1"/>
    </xf>
    <xf numFmtId="0" fontId="0" fillId="0" borderId="7" xfId="0" applyBorder="1" applyAlignment="1">
      <alignment horizontal="center" vertical="center" wrapText="1"/>
    </xf>
    <xf numFmtId="175" fontId="7" fillId="0" borderId="7" xfId="2" applyNumberFormat="1" applyFont="1" applyBorder="1" applyAlignment="1">
      <alignment vertical="center" wrapText="1"/>
    </xf>
    <xf numFmtId="10" fontId="0" fillId="0" borderId="7" xfId="0" applyNumberFormat="1" applyBorder="1" applyAlignment="1">
      <alignment horizontal="center"/>
    </xf>
    <xf numFmtId="0" fontId="16" fillId="0" borderId="7" xfId="0" applyFont="1" applyBorder="1" applyAlignment="1">
      <alignment horizontal="center" vertical="center" wrapText="1"/>
    </xf>
    <xf numFmtId="41" fontId="0" fillId="0" borderId="7" xfId="0" applyNumberFormat="1" applyBorder="1" applyAlignment="1">
      <alignment horizontal="center"/>
    </xf>
    <xf numFmtId="0" fontId="0" fillId="0" borderId="7" xfId="0" applyBorder="1" applyAlignment="1">
      <alignment horizontal="left" vertical="center" wrapText="1" indent="2"/>
    </xf>
    <xf numFmtId="41" fontId="0" fillId="0" borderId="7" xfId="0" applyNumberFormat="1" applyBorder="1" applyAlignment="1">
      <alignment horizontal="center" vertical="center" wrapText="1"/>
    </xf>
    <xf numFmtId="0" fontId="0" fillId="0" borderId="7" xfId="0" applyBorder="1" applyAlignment="1">
      <alignment horizontal="left" vertical="center" wrapText="1"/>
    </xf>
    <xf numFmtId="0" fontId="9" fillId="0" borderId="7" xfId="0" applyFont="1" applyBorder="1" applyAlignment="1">
      <alignment horizontal="center" vertical="center" wrapText="1"/>
    </xf>
    <xf numFmtId="174" fontId="9" fillId="0" borderId="7" xfId="2" applyNumberFormat="1" applyFont="1" applyBorder="1" applyAlignment="1">
      <alignment vertical="center" wrapText="1"/>
    </xf>
    <xf numFmtId="0" fontId="9" fillId="0" borderId="0" xfId="0" applyFont="1" applyAlignment="1">
      <alignment vertical="center" wrapText="1"/>
    </xf>
    <xf numFmtId="0" fontId="17" fillId="0" borderId="7" xfId="0" applyFont="1" applyBorder="1" applyAlignment="1">
      <alignment horizontal="center" vertical="center" wrapText="1"/>
    </xf>
    <xf numFmtId="0" fontId="14" fillId="0" borderId="7" xfId="0" applyFont="1" applyBorder="1" applyAlignment="1">
      <alignment horizontal="center"/>
    </xf>
    <xf numFmtId="0" fontId="9" fillId="3" borderId="7" xfId="0" applyFont="1" applyFill="1" applyBorder="1" applyAlignment="1">
      <alignment vertical="center" wrapText="1"/>
    </xf>
    <xf numFmtId="0" fontId="16" fillId="3" borderId="7"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9" fillId="3" borderId="7" xfId="0" applyFont="1" applyFill="1" applyBorder="1"/>
    <xf numFmtId="0" fontId="14" fillId="3" borderId="7" xfId="0" applyFont="1" applyFill="1" applyBorder="1" applyAlignment="1">
      <alignment horizontal="center"/>
    </xf>
    <xf numFmtId="0" fontId="9" fillId="5" borderId="0" xfId="0" applyFont="1" applyFill="1"/>
    <xf numFmtId="41" fontId="9" fillId="0" borderId="7" xfId="0" applyNumberFormat="1" applyFont="1" applyBorder="1" applyAlignment="1">
      <alignment vertical="center" wrapText="1"/>
    </xf>
    <xf numFmtId="0" fontId="9" fillId="5" borderId="0" xfId="0" applyFont="1" applyFill="1" applyAlignment="1">
      <alignment vertical="center" wrapText="1"/>
    </xf>
    <xf numFmtId="43" fontId="0" fillId="6" borderId="7" xfId="0" applyNumberFormat="1" applyFill="1" applyBorder="1" applyAlignment="1" applyProtection="1">
      <alignment vertical="center" wrapText="1"/>
      <protection locked="0"/>
    </xf>
    <xf numFmtId="174" fontId="0" fillId="0" borderId="7" xfId="0" applyNumberFormat="1" applyBorder="1" applyAlignment="1">
      <alignment vertical="center" wrapText="1"/>
    </xf>
    <xf numFmtId="0" fontId="9" fillId="0" borderId="7" xfId="0" applyFont="1" applyBorder="1" applyAlignment="1">
      <alignment horizontal="left" vertical="center" wrapText="1"/>
    </xf>
    <xf numFmtId="39" fontId="9" fillId="0" borderId="7" xfId="0" applyNumberFormat="1" applyFont="1" applyBorder="1" applyAlignment="1">
      <alignment vertical="center" wrapText="1"/>
    </xf>
    <xf numFmtId="176" fontId="9" fillId="0" borderId="7" xfId="0" applyNumberFormat="1" applyFont="1" applyBorder="1" applyAlignment="1">
      <alignment vertical="center" wrapText="1"/>
    </xf>
    <xf numFmtId="0" fontId="0" fillId="0" borderId="7" xfId="0" applyBorder="1" applyAlignment="1">
      <alignment horizontal="left" vertical="center" wrapText="1" indent="1"/>
    </xf>
    <xf numFmtId="176" fontId="0" fillId="6" borderId="7" xfId="0" applyNumberFormat="1" applyFill="1" applyBorder="1" applyAlignment="1" applyProtection="1">
      <alignment vertical="center" wrapText="1"/>
      <protection locked="0"/>
    </xf>
    <xf numFmtId="174" fontId="9" fillId="0" borderId="7" xfId="0" applyNumberFormat="1" applyFont="1" applyBorder="1" applyAlignment="1">
      <alignment vertical="center" wrapText="1"/>
    </xf>
    <xf numFmtId="0" fontId="0" fillId="0" borderId="7" xfId="0" applyBorder="1" applyAlignment="1" applyProtection="1">
      <alignment horizontal="center" vertical="center" wrapText="1"/>
      <protection locked="0"/>
    </xf>
    <xf numFmtId="41" fontId="9" fillId="0" borderId="7" xfId="0" applyNumberFormat="1" applyFont="1" applyBorder="1" applyAlignment="1">
      <alignment horizontal="center" vertical="center" wrapText="1"/>
    </xf>
    <xf numFmtId="0" fontId="8" fillId="0" borderId="7" xfId="0" applyFont="1" applyBorder="1" applyAlignment="1">
      <alignment horizontal="left" vertical="center" wrapText="1"/>
    </xf>
    <xf numFmtId="0" fontId="8" fillId="0" borderId="7" xfId="0" applyFont="1" applyBorder="1" applyAlignment="1">
      <alignment horizontal="center" vertical="center" wrapText="1"/>
    </xf>
    <xf numFmtId="174" fontId="8" fillId="0" borderId="7" xfId="0" applyNumberFormat="1" applyFont="1" applyBorder="1" applyAlignment="1">
      <alignment horizontal="center" vertical="center" wrapText="1"/>
    </xf>
    <xf numFmtId="177" fontId="9" fillId="0" borderId="7" xfId="0" applyNumberFormat="1" applyFont="1" applyBorder="1" applyAlignment="1">
      <alignment horizontal="center" vertical="center" wrapText="1"/>
    </xf>
    <xf numFmtId="0" fontId="0" fillId="0" borderId="7" xfId="0" applyBorder="1" applyAlignment="1">
      <alignment wrapText="1"/>
    </xf>
    <xf numFmtId="43" fontId="0" fillId="0" borderId="7" xfId="0" applyNumberFormat="1" applyBorder="1"/>
    <xf numFmtId="2" fontId="0" fillId="6" borderId="7" xfId="0" applyNumberFormat="1" applyFill="1" applyBorder="1" applyProtection="1">
      <protection locked="0"/>
    </xf>
    <xf numFmtId="0" fontId="9" fillId="0" borderId="7" xfId="0" applyFont="1" applyBorder="1"/>
    <xf numFmtId="0" fontId="9" fillId="0" borderId="7" xfId="0" applyFont="1" applyBorder="1" applyAlignment="1">
      <alignment horizontal="center"/>
    </xf>
    <xf numFmtId="43" fontId="9" fillId="0" borderId="7" xfId="0" applyNumberFormat="1" applyFont="1" applyBorder="1"/>
    <xf numFmtId="10" fontId="9" fillId="0" borderId="7" xfId="2" applyNumberFormat="1" applyFont="1" applyBorder="1"/>
    <xf numFmtId="0" fontId="18" fillId="0" borderId="7" xfId="0" applyFont="1" applyBorder="1" applyAlignment="1">
      <alignment horizontal="center" vertical="center" wrapText="1"/>
    </xf>
    <xf numFmtId="0" fontId="9" fillId="4" borderId="7" xfId="0" applyFont="1" applyFill="1" applyBorder="1" applyAlignment="1">
      <alignment vertical="center" wrapText="1"/>
    </xf>
    <xf numFmtId="41" fontId="0" fillId="6" borderId="7" xfId="0" applyNumberFormat="1" applyFill="1" applyBorder="1" applyAlignment="1" applyProtection="1">
      <alignment vertical="center" wrapText="1"/>
      <protection locked="0"/>
    </xf>
    <xf numFmtId="41" fontId="0" fillId="0" borderId="7" xfId="0" applyNumberFormat="1" applyBorder="1" applyAlignment="1">
      <alignment vertical="center" wrapText="1"/>
    </xf>
    <xf numFmtId="0" fontId="9" fillId="2" borderId="7" xfId="0" applyFont="1" applyFill="1" applyBorder="1" applyAlignment="1">
      <alignment vertical="center" wrapText="1"/>
    </xf>
    <xf numFmtId="176" fontId="0" fillId="0" borderId="8" xfId="0" applyNumberFormat="1" applyBorder="1" applyAlignment="1">
      <alignment vertical="center" wrapText="1"/>
    </xf>
    <xf numFmtId="41" fontId="9" fillId="0" borderId="7" xfId="0" applyNumberFormat="1" applyFont="1" applyBorder="1"/>
    <xf numFmtId="0" fontId="0" fillId="0" borderId="7" xfId="0" applyBorder="1" applyAlignment="1">
      <alignment horizontal="right" vertical="center" wrapText="1"/>
    </xf>
    <xf numFmtId="174" fontId="7" fillId="6" borderId="7" xfId="2" applyNumberFormat="1" applyFont="1" applyFill="1" applyBorder="1" applyAlignment="1" applyProtection="1">
      <alignment vertical="center" wrapText="1"/>
      <protection locked="0"/>
    </xf>
    <xf numFmtId="0" fontId="9" fillId="4" borderId="7"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9" fillId="4" borderId="7" xfId="0" applyFont="1" applyFill="1" applyBorder="1"/>
    <xf numFmtId="0" fontId="0" fillId="4" borderId="7" xfId="0" applyFill="1" applyBorder="1" applyAlignment="1">
      <alignment horizontal="center"/>
    </xf>
    <xf numFmtId="0" fontId="14" fillId="4" borderId="7" xfId="0" applyFont="1" applyFill="1" applyBorder="1" applyAlignment="1">
      <alignment horizontal="center"/>
    </xf>
    <xf numFmtId="41" fontId="0" fillId="0" borderId="7" xfId="0" applyNumberFormat="1" applyBorder="1" applyAlignment="1" applyProtection="1">
      <alignment vertical="center" wrapText="1"/>
      <protection locked="0"/>
    </xf>
    <xf numFmtId="0" fontId="0" fillId="0" borderId="7" xfId="0" applyBorder="1" applyAlignment="1" applyProtection="1">
      <alignment vertical="center" wrapText="1"/>
      <protection locked="0"/>
    </xf>
    <xf numFmtId="41" fontId="9" fillId="0" borderId="7" xfId="0" applyNumberFormat="1" applyFont="1" applyBorder="1" applyAlignment="1" applyProtection="1">
      <alignment vertical="center" wrapText="1"/>
      <protection locked="0"/>
    </xf>
    <xf numFmtId="178" fontId="9" fillId="0" borderId="7" xfId="0" applyNumberFormat="1" applyFont="1" applyBorder="1" applyAlignment="1">
      <alignment vertical="center" wrapText="1"/>
    </xf>
    <xf numFmtId="178" fontId="9" fillId="0" borderId="7" xfId="0" applyNumberFormat="1" applyFont="1" applyBorder="1" applyAlignment="1" applyProtection="1">
      <alignment horizontal="center" vertical="center" wrapText="1"/>
      <protection locked="0"/>
    </xf>
    <xf numFmtId="178" fontId="0" fillId="0" borderId="7" xfId="0" applyNumberFormat="1" applyBorder="1" applyAlignment="1">
      <alignment vertical="center" wrapText="1"/>
    </xf>
    <xf numFmtId="10" fontId="7" fillId="0" borderId="7" xfId="2" applyNumberFormat="1" applyFont="1" applyFill="1" applyBorder="1" applyAlignment="1" applyProtection="1">
      <alignment horizontal="center" vertical="center" wrapText="1"/>
      <protection locked="0"/>
    </xf>
    <xf numFmtId="0" fontId="16" fillId="0" borderId="7" xfId="0" applyFont="1" applyBorder="1" applyAlignment="1">
      <alignment vertical="center" wrapText="1"/>
    </xf>
    <xf numFmtId="41" fontId="16" fillId="0" borderId="7" xfId="0" applyNumberFormat="1" applyFont="1" applyBorder="1" applyAlignment="1">
      <alignment vertical="center" wrapText="1"/>
    </xf>
    <xf numFmtId="178" fontId="16" fillId="0" borderId="7" xfId="0" applyNumberFormat="1" applyFont="1" applyBorder="1" applyAlignment="1">
      <alignment vertical="center" wrapText="1"/>
    </xf>
    <xf numFmtId="10" fontId="16" fillId="0" borderId="7" xfId="2" applyNumberFormat="1" applyFont="1" applyFill="1" applyBorder="1" applyAlignment="1" applyProtection="1">
      <alignment horizontal="center" vertical="center" wrapText="1"/>
      <protection locked="0"/>
    </xf>
    <xf numFmtId="0" fontId="9" fillId="2" borderId="7"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9" fillId="2" borderId="7" xfId="0" applyFont="1" applyFill="1" applyBorder="1"/>
    <xf numFmtId="0" fontId="0" fillId="2" borderId="7" xfId="0" applyFill="1" applyBorder="1" applyAlignment="1">
      <alignment horizontal="center"/>
    </xf>
    <xf numFmtId="0" fontId="14" fillId="2" borderId="7" xfId="0" applyFont="1" applyFill="1" applyBorder="1" applyAlignment="1">
      <alignment horizontal="center"/>
    </xf>
    <xf numFmtId="178" fontId="9" fillId="0" borderId="7" xfId="0" applyNumberFormat="1" applyFont="1" applyBorder="1" applyAlignment="1">
      <alignment horizontal="center" vertical="center" wrapText="1"/>
    </xf>
    <xf numFmtId="10" fontId="7" fillId="0" borderId="7" xfId="2" applyNumberFormat="1" applyFont="1" applyFill="1" applyBorder="1" applyAlignment="1">
      <alignment horizontal="center" vertical="center" wrapText="1"/>
    </xf>
    <xf numFmtId="10" fontId="16" fillId="0" borderId="7" xfId="2" applyNumberFormat="1" applyFont="1" applyFill="1" applyBorder="1" applyAlignment="1">
      <alignment horizontal="center" vertical="center" wrapText="1"/>
    </xf>
    <xf numFmtId="0" fontId="9" fillId="4" borderId="0" xfId="0" applyFont="1" applyFill="1"/>
    <xf numFmtId="0" fontId="0" fillId="4" borderId="0" xfId="0" applyFill="1"/>
    <xf numFmtId="0" fontId="0" fillId="0" borderId="0" xfId="0" applyAlignment="1">
      <alignment horizontal="left" vertical="center" wrapText="1"/>
    </xf>
    <xf numFmtId="0" fontId="0" fillId="0" borderId="0" xfId="0" applyAlignment="1">
      <alignment horizontal="center" vertical="center" wrapText="1"/>
    </xf>
    <xf numFmtId="41" fontId="0" fillId="0" borderId="0" xfId="0" applyNumberFormat="1" applyAlignment="1">
      <alignment vertical="center" wrapText="1"/>
    </xf>
    <xf numFmtId="41" fontId="0" fillId="0" borderId="7" xfId="0" applyNumberFormat="1" applyBorder="1" applyAlignment="1">
      <alignment horizontal="right" vertical="center" wrapText="1"/>
    </xf>
    <xf numFmtId="174" fontId="7" fillId="0" borderId="7" xfId="2" applyNumberFormat="1" applyFont="1" applyFill="1" applyBorder="1" applyAlignment="1">
      <alignment vertical="center" wrapText="1"/>
    </xf>
    <xf numFmtId="41" fontId="0" fillId="0" borderId="0" xfId="0" applyNumberFormat="1" applyAlignment="1">
      <alignment horizontal="right" vertical="center" wrapText="1"/>
    </xf>
    <xf numFmtId="174" fontId="7" fillId="0" borderId="0" xfId="2" applyNumberFormat="1" applyFont="1" applyFill="1" applyBorder="1" applyAlignment="1">
      <alignment vertical="center" wrapText="1"/>
    </xf>
    <xf numFmtId="0" fontId="0" fillId="0" borderId="9" xfId="0" applyBorder="1" applyAlignment="1">
      <alignment horizontal="center" vertical="center" wrapText="1"/>
    </xf>
    <xf numFmtId="0" fontId="9" fillId="0" borderId="9" xfId="0" applyFont="1" applyBorder="1" applyAlignment="1">
      <alignment horizontal="left" vertical="center" wrapText="1"/>
    </xf>
    <xf numFmtId="41" fontId="0" fillId="0" borderId="9" xfId="0" applyNumberFormat="1" applyBorder="1" applyAlignment="1">
      <alignment vertical="center" wrapText="1"/>
    </xf>
    <xf numFmtId="41" fontId="9" fillId="6" borderId="7" xfId="0" applyNumberFormat="1" applyFont="1" applyFill="1" applyBorder="1" applyAlignment="1" applyProtection="1">
      <alignment vertical="center" wrapText="1"/>
      <protection locked="0"/>
    </xf>
    <xf numFmtId="41" fontId="9" fillId="0" borderId="11" xfId="0" applyNumberFormat="1" applyFont="1" applyBorder="1" applyAlignment="1">
      <alignment vertical="center" wrapText="1"/>
    </xf>
    <xf numFmtId="10" fontId="9" fillId="0" borderId="7" xfId="2" applyNumberFormat="1" applyFont="1" applyFill="1" applyBorder="1" applyAlignment="1">
      <alignment horizontal="right" vertical="center" wrapText="1"/>
    </xf>
    <xf numFmtId="10" fontId="9" fillId="6" borderId="7" xfId="2" applyNumberFormat="1" applyFont="1" applyFill="1" applyBorder="1" applyAlignment="1" applyProtection="1">
      <alignment vertical="center" wrapText="1"/>
      <protection locked="0"/>
    </xf>
    <xf numFmtId="174" fontId="8" fillId="0" borderId="0" xfId="2" applyNumberFormat="1" applyFont="1" applyFill="1" applyBorder="1" applyAlignment="1">
      <alignment horizontal="center" vertical="top" wrapText="1"/>
    </xf>
    <xf numFmtId="0" fontId="0" fillId="4" borderId="7" xfId="0" applyFill="1" applyBorder="1"/>
    <xf numFmtId="0" fontId="0" fillId="2" borderId="7" xfId="0" applyFill="1" applyBorder="1"/>
    <xf numFmtId="0" fontId="9" fillId="0" borderId="0" xfId="0" applyFont="1" applyAlignment="1">
      <alignment horizontal="center" vertical="center" wrapText="1"/>
    </xf>
    <xf numFmtId="41" fontId="9" fillId="0" borderId="0" xfId="0" applyNumberFormat="1" applyFont="1" applyAlignment="1">
      <alignment vertical="center" wrapText="1"/>
    </xf>
    <xf numFmtId="3" fontId="14" fillId="0" borderId="7" xfId="0" applyNumberFormat="1" applyFont="1" applyBorder="1" applyAlignment="1" applyProtection="1">
      <alignment horizontal="right" vertical="center" wrapText="1"/>
      <protection locked="0"/>
    </xf>
    <xf numFmtId="0" fontId="9" fillId="0" borderId="0" xfId="0" applyFont="1" applyProtection="1">
      <protection locked="0"/>
    </xf>
    <xf numFmtId="0" fontId="9" fillId="2" borderId="0" xfId="0" applyFont="1" applyFill="1"/>
    <xf numFmtId="0" fontId="0" fillId="2" borderId="0" xfId="0" applyFill="1"/>
    <xf numFmtId="0" fontId="9" fillId="3" borderId="7" xfId="0" applyFont="1" applyFill="1" applyBorder="1" applyAlignment="1" applyProtection="1">
      <alignment vertical="center" wrapText="1"/>
      <protection locked="0"/>
    </xf>
    <xf numFmtId="0" fontId="14" fillId="0" borderId="7" xfId="0" applyFont="1" applyBorder="1" applyAlignment="1">
      <alignment horizontal="left" vertical="center" wrapText="1"/>
    </xf>
    <xf numFmtId="0" fontId="9" fillId="6" borderId="7" xfId="0" applyFont="1" applyFill="1" applyBorder="1" applyAlignment="1" applyProtection="1">
      <alignment horizontal="center" vertical="center" wrapText="1"/>
      <protection locked="0"/>
    </xf>
    <xf numFmtId="0" fontId="0" fillId="6" borderId="7" xfId="0" applyFill="1" applyBorder="1" applyAlignment="1" applyProtection="1">
      <alignment horizontal="center" vertical="center" wrapText="1"/>
      <protection locked="0"/>
    </xf>
    <xf numFmtId="174" fontId="0" fillId="6" borderId="7" xfId="0" applyNumberFormat="1" applyFill="1" applyBorder="1" applyAlignment="1" applyProtection="1">
      <alignment vertical="center" wrapText="1"/>
      <protection locked="0"/>
    </xf>
    <xf numFmtId="43" fontId="0" fillId="0" borderId="7" xfId="0" applyNumberFormat="1" applyBorder="1" applyAlignment="1">
      <alignment vertical="center" wrapText="1"/>
    </xf>
    <xf numFmtId="174" fontId="0" fillId="0" borderId="7" xfId="0" applyNumberFormat="1" applyBorder="1"/>
    <xf numFmtId="177" fontId="0" fillId="0" borderId="7" xfId="0" applyNumberFormat="1" applyBorder="1" applyAlignment="1">
      <alignment vertical="center" wrapText="1"/>
    </xf>
    <xf numFmtId="37" fontId="0" fillId="6" borderId="7" xfId="0" applyNumberFormat="1" applyFill="1" applyBorder="1" applyAlignment="1" applyProtection="1">
      <alignment vertical="center" wrapText="1"/>
      <protection locked="0"/>
    </xf>
    <xf numFmtId="37" fontId="0" fillId="0" borderId="7" xfId="0" applyNumberFormat="1" applyBorder="1" applyAlignment="1">
      <alignment vertical="center" wrapText="1"/>
    </xf>
    <xf numFmtId="0" fontId="0" fillId="0" borderId="9" xfId="0" applyBorder="1" applyAlignment="1">
      <alignment vertical="center" wrapText="1"/>
    </xf>
    <xf numFmtId="37" fontId="9" fillId="0" borderId="7" xfId="0" applyNumberFormat="1" applyFont="1" applyBorder="1" applyAlignment="1">
      <alignment vertical="center" wrapText="1"/>
    </xf>
    <xf numFmtId="2" fontId="0" fillId="0" borderId="7" xfId="0" applyNumberFormat="1" applyBorder="1" applyAlignment="1">
      <alignment vertical="center" wrapText="1"/>
    </xf>
    <xf numFmtId="43" fontId="0" fillId="0" borderId="7" xfId="0" applyNumberFormat="1" applyBorder="1" applyAlignment="1">
      <alignment horizontal="right" vertical="center" wrapText="1"/>
    </xf>
    <xf numFmtId="10" fontId="7" fillId="6" borderId="7" xfId="2" applyNumberFormat="1" applyFont="1" applyFill="1" applyBorder="1" applyAlignment="1" applyProtection="1">
      <alignment vertical="center" wrapText="1"/>
      <protection locked="0"/>
    </xf>
    <xf numFmtId="0" fontId="0" fillId="0" borderId="0" xfId="0" applyProtection="1">
      <protection locked="0"/>
    </xf>
    <xf numFmtId="179" fontId="0" fillId="0" borderId="7" xfId="0" applyNumberFormat="1" applyBorder="1" applyAlignment="1">
      <alignment vertical="center" wrapText="1"/>
    </xf>
    <xf numFmtId="10" fontId="7" fillId="0" borderId="7" xfId="2" applyNumberFormat="1" applyFont="1" applyBorder="1" applyAlignment="1">
      <alignment vertical="center"/>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9" fontId="0" fillId="0" borderId="7" xfId="0" applyNumberFormat="1" applyBorder="1" applyAlignment="1">
      <alignment vertical="center" wrapText="1"/>
    </xf>
    <xf numFmtId="10" fontId="7" fillId="7" borderId="7" xfId="2" applyNumberFormat="1" applyFont="1" applyFill="1" applyBorder="1" applyAlignment="1">
      <alignment vertical="center" wrapText="1"/>
    </xf>
    <xf numFmtId="0" fontId="0" fillId="4" borderId="7" xfId="0" applyFill="1" applyBorder="1" applyAlignment="1">
      <alignment horizontal="center" vertical="center" wrapText="1"/>
    </xf>
    <xf numFmtId="1" fontId="0" fillId="0" borderId="7" xfId="0" applyNumberFormat="1" applyBorder="1" applyAlignment="1">
      <alignment vertical="center" wrapText="1"/>
    </xf>
    <xf numFmtId="0" fontId="0" fillId="2" borderId="7" xfId="0" applyFill="1" applyBorder="1" applyAlignment="1">
      <alignment horizontal="center" vertical="center" wrapText="1"/>
    </xf>
    <xf numFmtId="180" fontId="0" fillId="0" borderId="7" xfId="0" applyNumberFormat="1" applyBorder="1" applyAlignment="1">
      <alignment vertical="center" wrapText="1"/>
    </xf>
    <xf numFmtId="174" fontId="7" fillId="0" borderId="0" xfId="2" applyNumberFormat="1" applyFont="1" applyAlignment="1">
      <alignment vertical="center" wrapText="1"/>
    </xf>
    <xf numFmtId="0" fontId="9" fillId="3" borderId="0" xfId="0" applyFont="1" applyFill="1"/>
    <xf numFmtId="0" fontId="0" fillId="3" borderId="0" xfId="0" applyFill="1"/>
    <xf numFmtId="41" fontId="9" fillId="0" borderId="5" xfId="0" applyNumberFormat="1" applyFont="1" applyBorder="1"/>
    <xf numFmtId="41" fontId="8" fillId="0" borderId="7" xfId="0" applyNumberFormat="1" applyFont="1" applyBorder="1" applyAlignment="1">
      <alignment horizontal="center" vertical="center" wrapText="1"/>
    </xf>
    <xf numFmtId="41" fontId="16" fillId="0" borderId="7" xfId="0" applyNumberFormat="1" applyFont="1" applyBorder="1" applyAlignment="1">
      <alignment horizontal="center" vertical="center" wrapText="1"/>
    </xf>
    <xf numFmtId="0" fontId="16" fillId="0" borderId="7" xfId="0" applyFont="1" applyBorder="1" applyAlignment="1">
      <alignment horizontal="center"/>
    </xf>
    <xf numFmtId="0" fontId="17" fillId="0" borderId="7" xfId="0" applyFont="1" applyBorder="1" applyAlignment="1">
      <alignment horizontal="center"/>
    </xf>
    <xf numFmtId="41" fontId="9" fillId="4" borderId="7" xfId="0" applyNumberFormat="1" applyFont="1" applyFill="1" applyBorder="1" applyAlignment="1">
      <alignment vertical="center" wrapText="1"/>
    </xf>
    <xf numFmtId="0" fontId="9" fillId="4" borderId="7" xfId="0" applyFont="1" applyFill="1" applyBorder="1" applyAlignment="1">
      <alignment horizontal="left" vertical="center" wrapText="1"/>
    </xf>
    <xf numFmtId="10" fontId="9" fillId="4" borderId="7" xfId="0" applyNumberFormat="1" applyFont="1" applyFill="1" applyBorder="1" applyAlignment="1">
      <alignment horizontal="right" vertical="center" wrapText="1"/>
    </xf>
    <xf numFmtId="10" fontId="0" fillId="0" borderId="7" xfId="0" applyNumberFormat="1" applyBorder="1" applyAlignment="1">
      <alignment horizontal="right" vertical="center" wrapText="1"/>
    </xf>
    <xf numFmtId="10" fontId="0" fillId="6" borderId="7" xfId="0" applyNumberFormat="1" applyFill="1" applyBorder="1" applyAlignment="1" applyProtection="1">
      <alignment horizontal="right" vertical="center" wrapText="1"/>
      <protection locked="0"/>
    </xf>
    <xf numFmtId="41" fontId="9" fillId="4" borderId="7" xfId="0" applyNumberFormat="1" applyFont="1" applyFill="1" applyBorder="1" applyAlignment="1">
      <alignment horizontal="right" vertical="center" wrapText="1"/>
    </xf>
    <xf numFmtId="0" fontId="20" fillId="4" borderId="7" xfId="0" applyFont="1" applyFill="1" applyBorder="1" applyAlignment="1">
      <alignment horizontal="center" vertical="center" wrapText="1"/>
    </xf>
    <xf numFmtId="41" fontId="0" fillId="4" borderId="7" xfId="0" applyNumberFormat="1" applyFill="1" applyBorder="1" applyAlignment="1">
      <alignment vertical="center" wrapText="1"/>
    </xf>
    <xf numFmtId="0" fontId="21" fillId="0" borderId="7" xfId="0" applyFont="1" applyBorder="1" applyAlignment="1">
      <alignment horizontal="center" vertical="center" wrapText="1"/>
    </xf>
    <xf numFmtId="41" fontId="9" fillId="2" borderId="7" xfId="0" applyNumberFormat="1" applyFont="1" applyFill="1" applyBorder="1" applyAlignment="1">
      <alignment vertical="center" wrapText="1"/>
    </xf>
    <xf numFmtId="0" fontId="9" fillId="2" borderId="7" xfId="0" applyFont="1" applyFill="1" applyBorder="1" applyAlignment="1">
      <alignment horizontal="left" vertical="center" wrapText="1"/>
    </xf>
    <xf numFmtId="10" fontId="9" fillId="2" borderId="7" xfId="0" applyNumberFormat="1" applyFont="1" applyFill="1" applyBorder="1" applyAlignment="1">
      <alignment horizontal="right" vertical="center" wrapText="1"/>
    </xf>
    <xf numFmtId="41" fontId="9" fillId="2" borderId="7" xfId="0" applyNumberFormat="1" applyFont="1" applyFill="1" applyBorder="1" applyAlignment="1">
      <alignment horizontal="right" vertical="center" wrapText="1"/>
    </xf>
    <xf numFmtId="0" fontId="20" fillId="2" borderId="7" xfId="0" applyFont="1" applyFill="1" applyBorder="1" applyAlignment="1">
      <alignment horizontal="center" vertical="center" wrapText="1"/>
    </xf>
    <xf numFmtId="41" fontId="0" fillId="2" borderId="7" xfId="0" applyNumberFormat="1" applyFill="1" applyBorder="1" applyAlignment="1">
      <alignment vertical="center" wrapText="1"/>
    </xf>
    <xf numFmtId="181" fontId="0" fillId="0" borderId="7" xfId="0" applyNumberFormat="1" applyBorder="1" applyAlignment="1">
      <alignment vertical="center" wrapText="1"/>
    </xf>
    <xf numFmtId="0" fontId="9" fillId="0" borderId="7" xfId="0" applyFont="1" applyBorder="1" applyAlignment="1">
      <alignment horizontal="right" vertical="center" wrapText="1"/>
    </xf>
    <xf numFmtId="10" fontId="9" fillId="0" borderId="7" xfId="2" applyNumberFormat="1" applyFont="1" applyBorder="1" applyAlignment="1" applyProtection="1">
      <alignment horizontal="right" vertical="center" wrapText="1"/>
    </xf>
    <xf numFmtId="10" fontId="7" fillId="0" borderId="7" xfId="2" applyNumberFormat="1" applyFont="1" applyBorder="1" applyAlignment="1" applyProtection="1">
      <alignment horizontal="right" vertical="center" wrapText="1"/>
    </xf>
    <xf numFmtId="10" fontId="7" fillId="6" borderId="7" xfId="2" applyNumberFormat="1" applyFont="1" applyFill="1" applyBorder="1" applyAlignment="1" applyProtection="1">
      <alignment horizontal="right" vertical="center" wrapText="1"/>
      <protection locked="0"/>
    </xf>
    <xf numFmtId="0" fontId="16" fillId="4" borderId="0" xfId="0" applyFont="1" applyFill="1" applyAlignment="1">
      <alignment vertical="center" wrapText="1"/>
    </xf>
    <xf numFmtId="0" fontId="0" fillId="4" borderId="0" xfId="0" applyFill="1" applyAlignment="1">
      <alignment vertical="center" wrapText="1"/>
    </xf>
    <xf numFmtId="0" fontId="9" fillId="0" borderId="7" xfId="0" applyFont="1" applyBorder="1" applyAlignment="1">
      <alignment wrapText="1"/>
    </xf>
    <xf numFmtId="181" fontId="9" fillId="0" borderId="7" xfId="0" applyNumberFormat="1" applyFont="1" applyBorder="1" applyAlignment="1">
      <alignment vertical="center" wrapText="1"/>
    </xf>
    <xf numFmtId="10" fontId="7" fillId="0" borderId="7" xfId="2" applyNumberFormat="1" applyFont="1" applyFill="1" applyBorder="1" applyAlignment="1" applyProtection="1">
      <alignment horizontal="right" vertical="center" wrapText="1"/>
    </xf>
    <xf numFmtId="0" fontId="16" fillId="2" borderId="0" xfId="0" applyFont="1" applyFill="1" applyAlignment="1">
      <alignment vertical="center" wrapText="1"/>
    </xf>
    <xf numFmtId="0" fontId="0" fillId="2" borderId="0" xfId="0" applyFill="1" applyAlignment="1">
      <alignment vertical="center" wrapText="1"/>
    </xf>
    <xf numFmtId="0" fontId="0" fillId="0" borderId="7" xfId="0" applyBorder="1" applyAlignment="1">
      <alignment horizontal="right"/>
    </xf>
    <xf numFmtId="3" fontId="0" fillId="0" borderId="7" xfId="0" applyNumberFormat="1" applyBorder="1" applyAlignment="1">
      <alignment vertical="center" wrapText="1"/>
    </xf>
    <xf numFmtId="0" fontId="0" fillId="6" borderId="7" xfId="0" applyFill="1" applyBorder="1" applyAlignment="1" applyProtection="1">
      <alignment vertical="center" wrapText="1"/>
      <protection locked="0"/>
    </xf>
    <xf numFmtId="10" fontId="7" fillId="0" borderId="7" xfId="2" applyNumberFormat="1" applyFont="1" applyBorder="1" applyAlignment="1" applyProtection="1">
      <alignment vertical="center" wrapText="1"/>
    </xf>
    <xf numFmtId="174" fontId="7" fillId="0" borderId="7" xfId="2" applyNumberFormat="1" applyFont="1" applyBorder="1" applyAlignment="1" applyProtection="1">
      <alignment horizontal="right" vertical="center" wrapText="1"/>
    </xf>
    <xf numFmtId="172" fontId="0" fillId="0" borderId="7" xfId="0" applyNumberFormat="1" applyBorder="1" applyAlignment="1">
      <alignment horizontal="right" vertical="center" wrapText="1"/>
    </xf>
    <xf numFmtId="174" fontId="0" fillId="6" borderId="7" xfId="0" applyNumberFormat="1" applyFill="1" applyBorder="1" applyAlignment="1">
      <alignment vertical="center" wrapText="1"/>
    </xf>
    <xf numFmtId="10" fontId="0" fillId="6" borderId="7" xfId="0" applyNumberFormat="1" applyFill="1" applyBorder="1" applyAlignment="1">
      <alignment vertical="center" wrapText="1"/>
    </xf>
    <xf numFmtId="43" fontId="0" fillId="6" borderId="7" xfId="0" applyNumberFormat="1" applyFill="1" applyBorder="1" applyAlignment="1">
      <alignment vertical="center" wrapText="1"/>
    </xf>
    <xf numFmtId="10" fontId="0" fillId="6" borderId="7" xfId="0" applyNumberFormat="1" applyFill="1" applyBorder="1" applyAlignment="1" applyProtection="1">
      <alignment vertical="center" wrapText="1"/>
      <protection locked="0"/>
    </xf>
    <xf numFmtId="177" fontId="0" fillId="6" borderId="7" xfId="0" applyNumberFormat="1" applyFill="1" applyBorder="1" applyAlignment="1" applyProtection="1">
      <alignment vertical="center" wrapText="1"/>
      <protection locked="0"/>
    </xf>
    <xf numFmtId="39" fontId="0" fillId="6" borderId="7" xfId="0" applyNumberFormat="1" applyFill="1" applyBorder="1" applyAlignment="1" applyProtection="1">
      <alignment vertical="center" wrapText="1"/>
      <protection locked="0"/>
    </xf>
    <xf numFmtId="0" fontId="0" fillId="0" borderId="7" xfId="0" applyBorder="1" applyAlignment="1">
      <alignment vertical="center"/>
    </xf>
    <xf numFmtId="41" fontId="9" fillId="0" borderId="7" xfId="0" applyNumberFormat="1" applyFont="1" applyBorder="1" applyAlignment="1">
      <alignment vertical="center"/>
    </xf>
    <xf numFmtId="41" fontId="7" fillId="6" borderId="7" xfId="1" applyNumberFormat="1" applyFont="1" applyFill="1" applyBorder="1" applyAlignment="1" applyProtection="1">
      <alignment horizontal="right" vertical="center" wrapText="1"/>
      <protection locked="0"/>
    </xf>
    <xf numFmtId="0" fontId="0" fillId="0" borderId="0" xfId="0" applyAlignment="1">
      <alignment vertical="center"/>
    </xf>
    <xf numFmtId="0" fontId="23" fillId="0" borderId="7" xfId="0" applyFont="1" applyBorder="1" applyAlignment="1">
      <alignment vertical="center" wrapText="1"/>
    </xf>
    <xf numFmtId="0" fontId="23" fillId="6" borderId="7" xfId="0" applyFont="1" applyFill="1" applyBorder="1" applyAlignment="1" applyProtection="1">
      <alignment horizontal="center" vertical="center" wrapText="1"/>
      <protection locked="0"/>
    </xf>
    <xf numFmtId="0" fontId="24" fillId="6" borderId="7" xfId="0" applyFont="1" applyFill="1" applyBorder="1" applyAlignment="1">
      <alignment horizontal="center" vertical="center" wrapText="1"/>
    </xf>
    <xf numFmtId="0" fontId="0" fillId="5" borderId="0" xfId="0" applyFill="1" applyAlignment="1">
      <alignment vertical="center"/>
    </xf>
    <xf numFmtId="0" fontId="22" fillId="0" borderId="7" xfId="0" applyFont="1" applyBorder="1" applyAlignment="1">
      <alignment horizontal="center" vertical="center" wrapText="1"/>
    </xf>
    <xf numFmtId="0" fontId="9" fillId="0" borderId="0" xfId="0" applyFont="1" applyAlignment="1">
      <alignment horizontal="left" vertical="center" wrapText="1"/>
    </xf>
    <xf numFmtId="0" fontId="0" fillId="6" borderId="7" xfId="0" applyFill="1" applyBorder="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8" xfId="0" applyFill="1" applyBorder="1" applyAlignment="1">
      <alignment horizontal="center" vertical="center" wrapText="1"/>
    </xf>
    <xf numFmtId="0" fontId="0" fillId="6" borderId="7" xfId="0" applyFill="1" applyBorder="1" applyAlignment="1">
      <alignment horizontal="center" vertical="center"/>
    </xf>
    <xf numFmtId="15" fontId="0" fillId="6" borderId="7" xfId="0" applyNumberFormat="1" applyFill="1" applyBorder="1" applyAlignment="1">
      <alignment horizontal="center" vertical="center"/>
    </xf>
    <xf numFmtId="0" fontId="9" fillId="4" borderId="7" xfId="0" applyFont="1" applyFill="1" applyBorder="1" applyAlignment="1">
      <alignment horizontal="left"/>
    </xf>
    <xf numFmtId="0" fontId="9" fillId="2" borderId="7" xfId="0" applyFont="1" applyFill="1" applyBorder="1" applyAlignment="1">
      <alignment horizontal="left"/>
    </xf>
    <xf numFmtId="0" fontId="9" fillId="4" borderId="7" xfId="0" applyFont="1" applyFill="1" applyBorder="1" applyAlignment="1">
      <alignment horizontal="left" vertical="center"/>
    </xf>
    <xf numFmtId="0" fontId="9" fillId="2" borderId="7" xfId="0" applyFont="1" applyFill="1" applyBorder="1" applyAlignment="1">
      <alignment horizontal="left" vertical="center"/>
    </xf>
    <xf numFmtId="0" fontId="0" fillId="0" borderId="7" xfId="0" applyBorder="1" applyAlignment="1" applyProtection="1">
      <alignment horizontal="left" vertical="top" wrapText="1"/>
      <protection locked="0"/>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0" borderId="7" xfId="0" applyBorder="1" applyAlignment="1" applyProtection="1">
      <alignment horizontal="center" wrapText="1"/>
      <protection locked="0"/>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9" fillId="0" borderId="7" xfId="0" applyFont="1" applyBorder="1" applyAlignment="1" applyProtection="1">
      <alignment horizontal="center" wrapText="1"/>
      <protection locked="0"/>
    </xf>
    <xf numFmtId="0" fontId="0" fillId="3" borderId="7"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0" borderId="7" xfId="0" applyBorder="1" applyAlignment="1" applyProtection="1">
      <alignment horizontal="center"/>
      <protection locked="0"/>
    </xf>
    <xf numFmtId="0" fontId="0" fillId="4" borderId="7" xfId="0" applyFill="1" applyBorder="1" applyAlignment="1">
      <alignment horizontal="left" vertical="center" wrapText="1"/>
    </xf>
    <xf numFmtId="0" fontId="0" fillId="2" borderId="7" xfId="0" applyFill="1" applyBorder="1" applyAlignment="1">
      <alignment horizontal="left" vertical="center" wrapText="1"/>
    </xf>
    <xf numFmtId="0" fontId="9" fillId="0" borderId="7" xfId="0" applyFont="1" applyBorder="1" applyAlignment="1" applyProtection="1">
      <alignment horizontal="center"/>
      <protection locked="0"/>
    </xf>
    <xf numFmtId="0" fontId="9" fillId="3" borderId="7" xfId="0" applyFont="1" applyFill="1" applyBorder="1" applyAlignment="1">
      <alignment horizontal="left" vertical="center" wrapText="1"/>
    </xf>
    <xf numFmtId="0" fontId="0" fillId="0" borderId="7" xfId="0" applyBorder="1" applyAlignment="1" applyProtection="1">
      <alignment horizontal="center" vertical="center" wrapText="1"/>
      <protection locked="0"/>
    </xf>
    <xf numFmtId="0" fontId="13"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7" xfId="0" applyBorder="1" applyAlignment="1">
      <alignment horizontal="center"/>
    </xf>
    <xf numFmtId="0" fontId="10" fillId="0" borderId="1"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cellXfs>
  <cellStyles count="8">
    <cellStyle name="Comma" xfId="1" builtinId="3"/>
    <cellStyle name="Comma 2" xfId="3"/>
    <cellStyle name="Currency 2" xfId="4"/>
    <cellStyle name="Normal" xfId="0" builtinId="0"/>
    <cellStyle name="Normal 2" xfId="5"/>
    <cellStyle name="Normal 3" xfId="6"/>
    <cellStyle name="Percent" xfId="2" builtinId="5"/>
    <cellStyle name="Percent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4"/>
  <sheetViews>
    <sheetView showGridLines="0" zoomScale="90" workbookViewId="0">
      <selection activeCell="D6" sqref="D6"/>
    </sheetView>
  </sheetViews>
  <sheetFormatPr defaultColWidth="9.109375" defaultRowHeight="14.4" x14ac:dyDescent="0.3"/>
  <cols>
    <col min="1" max="1" width="15.44140625" customWidth="1"/>
    <col min="2" max="2" width="1.5546875" customWidth="1"/>
    <col min="3" max="3" width="35.44140625" customWidth="1"/>
    <col min="4" max="4" width="60.5546875" customWidth="1"/>
    <col min="5" max="5" width="1.5546875" customWidth="1"/>
  </cols>
  <sheetData>
    <row r="1" spans="2:5" ht="9" customHeight="1" x14ac:dyDescent="0.3"/>
    <row r="2" spans="2:5" ht="7.35" customHeight="1" x14ac:dyDescent="0.3">
      <c r="B2" s="23"/>
      <c r="C2" s="23"/>
      <c r="D2" s="23"/>
      <c r="E2" s="23"/>
    </row>
    <row r="3" spans="2:5" s="22" customFormat="1" ht="47.1" customHeight="1" x14ac:dyDescent="0.3">
      <c r="B3" s="35"/>
      <c r="C3" s="226" t="s">
        <v>0</v>
      </c>
      <c r="D3" s="226"/>
      <c r="E3" s="23"/>
    </row>
    <row r="4" spans="2:5" s="22" customFormat="1" ht="55.35" customHeight="1" x14ac:dyDescent="0.3">
      <c r="B4" s="35"/>
      <c r="C4" s="222" t="s">
        <v>1</v>
      </c>
      <c r="D4" s="223" t="s">
        <v>2</v>
      </c>
      <c r="E4" s="23"/>
    </row>
    <row r="5" spans="2:5" s="22" customFormat="1" ht="55.35" customHeight="1" x14ac:dyDescent="0.3">
      <c r="B5" s="35"/>
      <c r="C5" s="222" t="s">
        <v>3</v>
      </c>
      <c r="D5" s="223" t="s">
        <v>4</v>
      </c>
      <c r="E5" s="23"/>
    </row>
    <row r="6" spans="2:5" s="22" customFormat="1" ht="55.35" customHeight="1" x14ac:dyDescent="0.3">
      <c r="B6" s="35"/>
      <c r="C6" s="222" t="s">
        <v>5</v>
      </c>
      <c r="D6" s="223" t="s">
        <v>6</v>
      </c>
      <c r="E6" s="23"/>
    </row>
    <row r="7" spans="2:5" s="22" customFormat="1" ht="55.35" customHeight="1" x14ac:dyDescent="0.3">
      <c r="B7" s="35"/>
      <c r="C7" s="222" t="s">
        <v>7</v>
      </c>
      <c r="D7" s="223" t="s">
        <v>8</v>
      </c>
      <c r="E7" s="23"/>
    </row>
    <row r="8" spans="2:5" s="22" customFormat="1" ht="48.6" customHeight="1" x14ac:dyDescent="0.3">
      <c r="B8" s="35"/>
      <c r="C8" s="222" t="s">
        <v>9</v>
      </c>
      <c r="D8" s="224">
        <v>2024</v>
      </c>
      <c r="E8" s="23"/>
    </row>
    <row r="9" spans="2:5" s="22" customFormat="1" ht="55.35" customHeight="1" x14ac:dyDescent="0.3">
      <c r="B9" s="35"/>
      <c r="C9" s="222" t="s">
        <v>10</v>
      </c>
      <c r="D9" s="223">
        <v>5</v>
      </c>
      <c r="E9" s="23"/>
    </row>
    <row r="10" spans="2:5" s="221" customFormat="1" ht="6.6" customHeight="1" x14ac:dyDescent="0.3">
      <c r="B10" s="225"/>
      <c r="C10" s="225"/>
      <c r="D10" s="225"/>
      <c r="E10" s="225"/>
    </row>
    <row r="11" spans="2:5" s="221" customFormat="1" x14ac:dyDescent="0.3"/>
    <row r="12" spans="2:5" s="221" customFormat="1" x14ac:dyDescent="0.3"/>
    <row r="13" spans="2:5" s="221" customFormat="1" x14ac:dyDescent="0.3"/>
    <row r="14" spans="2:5" s="221" customFormat="1" x14ac:dyDescent="0.3"/>
  </sheetData>
  <sheetProtection sheet="1" objects="1" scenarios="1"/>
  <mergeCells count="1">
    <mergeCell ref="C3:D3"/>
  </mergeCells>
  <pageMargins left="0.7" right="0.7" top="0.75" bottom="0.75" header="0.3" footer="0.3"/>
  <pageSetup paperSize="9" orientation="landscape"/>
  <headerFooter>
    <oddFooter>&amp;L&amp;F
Sheet: &amp;A&amp;R&amp;P din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83"/>
  <sheetViews>
    <sheetView showGridLines="0" topLeftCell="B34" zoomScale="90" workbookViewId="0">
      <selection activeCell="F11" sqref="F11"/>
    </sheetView>
  </sheetViews>
  <sheetFormatPr defaultColWidth="9.109375" defaultRowHeight="14.4" x14ac:dyDescent="0.3"/>
  <cols>
    <col min="1" max="1" width="2.5546875" customWidth="1"/>
    <col min="2" max="2" width="1.44140625" customWidth="1"/>
    <col min="3" max="3" width="38.44140625" customWidth="1"/>
    <col min="4" max="4" width="15.5546875" customWidth="1"/>
    <col min="5" max="7" width="14.5546875" customWidth="1"/>
    <col min="8" max="15" width="15.5546875" customWidth="1"/>
    <col min="16" max="16" width="3.5546875" customWidth="1"/>
    <col min="17" max="17" width="1.5546875" customWidth="1"/>
    <col min="18" max="18" width="3" customWidth="1"/>
    <col min="19" max="23" width="30.5546875" customWidth="1"/>
  </cols>
  <sheetData>
    <row r="2" spans="2:17" ht="8.1" customHeight="1" x14ac:dyDescent="0.3">
      <c r="B2" s="23"/>
      <c r="C2" s="23"/>
      <c r="D2" s="23"/>
      <c r="E2" s="23"/>
      <c r="F2" s="23"/>
      <c r="G2" s="23"/>
      <c r="H2" s="23"/>
      <c r="I2" s="23"/>
      <c r="J2" s="23"/>
      <c r="K2" s="23"/>
      <c r="L2" s="23"/>
      <c r="M2" s="23"/>
      <c r="N2" s="23"/>
      <c r="O2" s="23"/>
      <c r="P2" s="23"/>
      <c r="Q2" s="23"/>
    </row>
    <row r="3" spans="2:17" ht="14.4" customHeight="1" x14ac:dyDescent="0.3">
      <c r="B3" s="23"/>
      <c r="C3" s="227" t="str">
        <f>CONCATENATE("NIVELUL TARIFELOR PENTRU OPERATORUL"," ",'Date generale'!D4)</f>
        <v>NIVELUL TARIFELOR PENTRU OPERATORUL SEVICIUL PUBLIC DE ALIMENTARE CU APA, CANALIZARE SI SALUBRIZARE</v>
      </c>
      <c r="D3" s="227"/>
      <c r="E3" s="51">
        <f>F3-1</f>
        <v>2022</v>
      </c>
      <c r="F3" s="51">
        <f>G3-1</f>
        <v>2023</v>
      </c>
      <c r="G3" s="46">
        <f>'Date generale'!$D$8</f>
        <v>2024</v>
      </c>
      <c r="H3" s="54">
        <f t="shared" ref="H3:O4" si="0">G3+1</f>
        <v>2025</v>
      </c>
      <c r="I3" s="54">
        <f t="shared" si="0"/>
        <v>2026</v>
      </c>
      <c r="J3" s="54">
        <f t="shared" si="0"/>
        <v>2027</v>
      </c>
      <c r="K3" s="54">
        <f t="shared" si="0"/>
        <v>2028</v>
      </c>
      <c r="L3" s="54">
        <f t="shared" si="0"/>
        <v>2029</v>
      </c>
      <c r="M3" s="54">
        <f t="shared" si="0"/>
        <v>2030</v>
      </c>
      <c r="N3" s="54">
        <f t="shared" si="0"/>
        <v>2031</v>
      </c>
      <c r="O3" s="54">
        <f t="shared" si="0"/>
        <v>2032</v>
      </c>
      <c r="Q3" s="23"/>
    </row>
    <row r="4" spans="2:17" x14ac:dyDescent="0.3">
      <c r="B4" s="23"/>
      <c r="C4" s="227"/>
      <c r="D4" s="227"/>
      <c r="E4" s="18">
        <f>F4-1</f>
        <v>-3</v>
      </c>
      <c r="F4" s="18">
        <f>G4-1</f>
        <v>-2</v>
      </c>
      <c r="G4" s="55">
        <v>-1</v>
      </c>
      <c r="H4" s="55">
        <v>0</v>
      </c>
      <c r="I4" s="55">
        <f t="shared" si="0"/>
        <v>1</v>
      </c>
      <c r="J4" s="55">
        <f t="shared" si="0"/>
        <v>2</v>
      </c>
      <c r="K4" s="55">
        <f t="shared" si="0"/>
        <v>3</v>
      </c>
      <c r="L4" s="55">
        <f t="shared" si="0"/>
        <v>4</v>
      </c>
      <c r="M4" s="55">
        <f t="shared" si="0"/>
        <v>5</v>
      </c>
      <c r="N4" s="55">
        <f t="shared" si="0"/>
        <v>6</v>
      </c>
      <c r="O4" s="55">
        <f t="shared" si="0"/>
        <v>7</v>
      </c>
      <c r="Q4" s="23"/>
    </row>
    <row r="5" spans="2:17" ht="8.1" customHeight="1" x14ac:dyDescent="0.3">
      <c r="B5" s="23"/>
      <c r="C5" s="23"/>
      <c r="D5" s="23"/>
      <c r="E5" s="23"/>
      <c r="F5" s="23"/>
      <c r="G5" s="23"/>
      <c r="H5" s="23"/>
      <c r="I5" s="23"/>
      <c r="J5" s="23"/>
      <c r="K5" s="23"/>
      <c r="L5" s="23"/>
      <c r="M5" s="23"/>
      <c r="N5" s="23"/>
      <c r="O5" s="23"/>
      <c r="P5" s="23"/>
      <c r="Q5" s="23"/>
    </row>
    <row r="7" spans="2:17" ht="8.1" customHeight="1" x14ac:dyDescent="0.3">
      <c r="B7" s="23"/>
      <c r="C7" s="23"/>
      <c r="D7" s="23"/>
      <c r="E7" s="23"/>
      <c r="F7" s="23"/>
      <c r="G7" s="23"/>
      <c r="H7" s="23"/>
      <c r="I7" s="23"/>
      <c r="J7" s="23"/>
      <c r="K7" s="23"/>
      <c r="L7" s="23"/>
      <c r="M7" s="23"/>
      <c r="N7" s="23"/>
      <c r="O7" s="23"/>
      <c r="P7" s="23"/>
      <c r="Q7" s="23"/>
    </row>
    <row r="8" spans="2:17" x14ac:dyDescent="0.3">
      <c r="B8" s="23"/>
      <c r="C8" s="24"/>
      <c r="Q8" s="23"/>
    </row>
    <row r="9" spans="2:17" x14ac:dyDescent="0.3">
      <c r="B9" s="23"/>
      <c r="C9" s="252" t="s">
        <v>322</v>
      </c>
      <c r="D9" s="26" t="s">
        <v>323</v>
      </c>
      <c r="E9" s="27">
        <f t="shared" ref="E9:L9" si="1">H3</f>
        <v>2025</v>
      </c>
      <c r="F9" s="27">
        <f t="shared" si="1"/>
        <v>2026</v>
      </c>
      <c r="G9" s="27">
        <f t="shared" si="1"/>
        <v>2027</v>
      </c>
      <c r="H9" s="27">
        <f t="shared" si="1"/>
        <v>2028</v>
      </c>
      <c r="I9" s="27">
        <f t="shared" si="1"/>
        <v>2029</v>
      </c>
      <c r="J9" s="27">
        <f t="shared" si="1"/>
        <v>2030</v>
      </c>
      <c r="K9" s="27">
        <f t="shared" si="1"/>
        <v>2031</v>
      </c>
      <c r="L9" s="27">
        <f t="shared" si="1"/>
        <v>2032</v>
      </c>
      <c r="Q9" s="23"/>
    </row>
    <row r="10" spans="2:17" x14ac:dyDescent="0.3">
      <c r="B10" s="23"/>
      <c r="C10" s="252"/>
      <c r="D10" s="27" t="s">
        <v>36</v>
      </c>
      <c r="E10" s="27" t="s">
        <v>47</v>
      </c>
      <c r="F10" s="27" t="s">
        <v>47</v>
      </c>
      <c r="G10" s="27" t="s">
        <v>47</v>
      </c>
      <c r="H10" s="27" t="s">
        <v>47</v>
      </c>
      <c r="I10" s="27" t="s">
        <v>47</v>
      </c>
      <c r="J10" s="27" t="s">
        <v>47</v>
      </c>
      <c r="K10" s="27" t="s">
        <v>47</v>
      </c>
      <c r="L10" s="27" t="s">
        <v>47</v>
      </c>
      <c r="Q10" s="23"/>
    </row>
    <row r="11" spans="2:17" s="22" customFormat="1" ht="33" customHeight="1" x14ac:dyDescent="0.3">
      <c r="B11" s="23"/>
      <c r="C11" s="28" t="str">
        <f>'Date de context'!C26</f>
        <v>Apa potabilă produsă, transportată și distribuită</v>
      </c>
      <c r="D11" s="29">
        <f>'Date de context'!E26</f>
        <v>4.5999999999999996</v>
      </c>
      <c r="E11" s="30">
        <f>H37</f>
        <v>0.5454</v>
      </c>
      <c r="F11" s="30">
        <f t="shared" ref="F11:L11" si="2">I37</f>
        <v>4.1999999999999997E-3</v>
      </c>
      <c r="G11" s="30">
        <f t="shared" si="2"/>
        <v>9.7000000000000003E-3</v>
      </c>
      <c r="H11" s="30">
        <f t="shared" si="2"/>
        <v>1.7000000000000001E-2</v>
      </c>
      <c r="I11" s="30">
        <f t="shared" si="2"/>
        <v>1.9400000000000001E-2</v>
      </c>
      <c r="J11" s="30">
        <f t="shared" si="2"/>
        <v>1.7500000000000002E-2</v>
      </c>
      <c r="K11" s="30" t="str">
        <f t="shared" si="2"/>
        <v>n/a</v>
      </c>
      <c r="L11" s="30">
        <f t="shared" si="2"/>
        <v>9.1999999999999998E-3</v>
      </c>
      <c r="Q11" s="23"/>
    </row>
    <row r="12" spans="2:17" s="22" customFormat="1" ht="33" customHeight="1" x14ac:dyDescent="0.3">
      <c r="B12" s="23"/>
      <c r="C12" s="28" t="str">
        <f>'Date de context'!C27</f>
        <v>Canalizare – epurare ape uzate și meteorice procesate</v>
      </c>
      <c r="D12" s="29">
        <f>'Date de context'!E27</f>
        <v>3.52</v>
      </c>
      <c r="E12" s="30">
        <f>H55</f>
        <v>0.32229999999999998</v>
      </c>
      <c r="F12" s="30">
        <f t="shared" ref="F12:L12" si="3">I55</f>
        <v>1.26E-2</v>
      </c>
      <c r="G12" s="30">
        <f t="shared" si="3"/>
        <v>1.8100000000000002E-2</v>
      </c>
      <c r="H12" s="30">
        <f t="shared" si="3"/>
        <v>8.5000000000000006E-3</v>
      </c>
      <c r="I12" s="30">
        <f t="shared" si="3"/>
        <v>9.2999999999999992E-3</v>
      </c>
      <c r="J12" s="30">
        <f t="shared" si="3"/>
        <v>1.54E-2</v>
      </c>
      <c r="K12" s="30">
        <f t="shared" si="3"/>
        <v>7.2599999999999998E-2</v>
      </c>
      <c r="L12" s="30">
        <f t="shared" si="3"/>
        <v>-2.23E-2</v>
      </c>
      <c r="Q12" s="23"/>
    </row>
    <row r="13" spans="2:17" s="22" customFormat="1" ht="47.1" customHeight="1" x14ac:dyDescent="0.3">
      <c r="B13" s="23"/>
      <c r="C13" s="28" t="str">
        <f>'Date de context'!C28</f>
        <v>Apa potabilă produsă și transportată în vederea redistribuirii în alte sisteme de operare</v>
      </c>
      <c r="D13" s="29">
        <f>'Date de context'!E28</f>
        <v>0</v>
      </c>
      <c r="E13" s="30" t="str">
        <f>H73</f>
        <v>n/a</v>
      </c>
      <c r="F13" s="30" t="str">
        <f t="shared" ref="F13:L13" si="4">I73</f>
        <v>n/a</v>
      </c>
      <c r="G13" s="30" t="str">
        <f t="shared" si="4"/>
        <v>n/a</v>
      </c>
      <c r="H13" s="30" t="str">
        <f t="shared" si="4"/>
        <v>n/a</v>
      </c>
      <c r="I13" s="30" t="str">
        <f t="shared" si="4"/>
        <v>n/a</v>
      </c>
      <c r="J13" s="30" t="str">
        <f t="shared" si="4"/>
        <v>n/a</v>
      </c>
      <c r="K13" s="30" t="str">
        <f t="shared" si="4"/>
        <v>n/a</v>
      </c>
      <c r="L13" s="30" t="str">
        <f t="shared" si="4"/>
        <v>n/a</v>
      </c>
      <c r="Q13" s="23"/>
    </row>
    <row r="14" spans="2:17" s="22" customFormat="1" ht="33" customHeight="1" x14ac:dyDescent="0.3">
      <c r="B14" s="23"/>
      <c r="C14" s="28" t="str">
        <f>'Date de context'!C29</f>
        <v>Distribuția apei potabile</v>
      </c>
      <c r="D14" s="29">
        <f>'Date de context'!E29</f>
        <v>0</v>
      </c>
      <c r="E14" s="30" t="str">
        <f t="shared" ref="E14:L14" si="5">H91</f>
        <v>n/a</v>
      </c>
      <c r="F14" s="30" t="str">
        <f t="shared" si="5"/>
        <v>n/a</v>
      </c>
      <c r="G14" s="30" t="str">
        <f t="shared" si="5"/>
        <v>n/a</v>
      </c>
      <c r="H14" s="30" t="str">
        <f t="shared" si="5"/>
        <v>n/a</v>
      </c>
      <c r="I14" s="30" t="str">
        <f t="shared" si="5"/>
        <v>n/a</v>
      </c>
      <c r="J14" s="30" t="str">
        <f t="shared" si="5"/>
        <v>n/a</v>
      </c>
      <c r="K14" s="30" t="str">
        <f t="shared" si="5"/>
        <v>n/a</v>
      </c>
      <c r="L14" s="30" t="str">
        <f t="shared" si="5"/>
        <v>n/a</v>
      </c>
      <c r="Q14" s="23"/>
    </row>
    <row r="15" spans="2:17" s="22" customFormat="1" ht="33" customHeight="1" x14ac:dyDescent="0.3">
      <c r="B15" s="23"/>
      <c r="C15" s="28" t="str">
        <f>'Date de context'!C30</f>
        <v>Apa industriala</v>
      </c>
      <c r="D15" s="29">
        <f>'Date de context'!E30</f>
        <v>0</v>
      </c>
      <c r="E15" s="30" t="str">
        <f t="shared" ref="E15:L15" si="6">H109</f>
        <v>n/a</v>
      </c>
      <c r="F15" s="30" t="str">
        <f t="shared" si="6"/>
        <v>n/a</v>
      </c>
      <c r="G15" s="30" t="str">
        <f t="shared" si="6"/>
        <v>n/a</v>
      </c>
      <c r="H15" s="30" t="str">
        <f t="shared" si="6"/>
        <v>n/a</v>
      </c>
      <c r="I15" s="30" t="str">
        <f t="shared" si="6"/>
        <v>n/a</v>
      </c>
      <c r="J15" s="30" t="str">
        <f t="shared" si="6"/>
        <v>n/a</v>
      </c>
      <c r="K15" s="30" t="str">
        <f t="shared" si="6"/>
        <v>n/a</v>
      </c>
      <c r="L15" s="30" t="str">
        <f t="shared" si="6"/>
        <v>n/a</v>
      </c>
      <c r="Q15" s="23"/>
    </row>
    <row r="16" spans="2:17" s="22" customFormat="1" ht="33" customHeight="1" x14ac:dyDescent="0.3">
      <c r="B16" s="23"/>
      <c r="C16" s="28" t="str">
        <f>'Date de context'!C31</f>
        <v>Transportul și epurarea apelor uzate preluate din alte sisteme de operare</v>
      </c>
      <c r="D16" s="29">
        <f>'Date de context'!E31</f>
        <v>0</v>
      </c>
      <c r="E16" s="30" t="str">
        <f t="shared" ref="E16:L16" si="7">H127</f>
        <v>n/a</v>
      </c>
      <c r="F16" s="30" t="str">
        <f t="shared" si="7"/>
        <v>n/a</v>
      </c>
      <c r="G16" s="30" t="str">
        <f t="shared" si="7"/>
        <v>n/a</v>
      </c>
      <c r="H16" s="30" t="str">
        <f t="shared" si="7"/>
        <v>n/a</v>
      </c>
      <c r="I16" s="30" t="str">
        <f t="shared" si="7"/>
        <v>n/a</v>
      </c>
      <c r="J16" s="30" t="str">
        <f t="shared" si="7"/>
        <v>n/a</v>
      </c>
      <c r="K16" s="30" t="str">
        <f t="shared" si="7"/>
        <v>n/a</v>
      </c>
      <c r="L16" s="30" t="str">
        <f t="shared" si="7"/>
        <v>n/a</v>
      </c>
      <c r="Q16" s="23"/>
    </row>
    <row r="17" spans="2:17" s="22" customFormat="1" ht="33" customHeight="1" x14ac:dyDescent="0.3">
      <c r="B17" s="23"/>
      <c r="C17" s="28" t="str">
        <f>'Date de context'!C32</f>
        <v>Canalizare ape uzate menajere</v>
      </c>
      <c r="D17" s="29">
        <f>'Date de context'!E32</f>
        <v>0</v>
      </c>
      <c r="E17" s="30" t="str">
        <f t="shared" ref="E17:L17" si="8">H145</f>
        <v>n/a</v>
      </c>
      <c r="F17" s="30" t="str">
        <f t="shared" si="8"/>
        <v>n/a</v>
      </c>
      <c r="G17" s="30" t="str">
        <f t="shared" si="8"/>
        <v>n/a</v>
      </c>
      <c r="H17" s="30" t="str">
        <f t="shared" si="8"/>
        <v>n/a</v>
      </c>
      <c r="I17" s="30" t="str">
        <f t="shared" si="8"/>
        <v>n/a</v>
      </c>
      <c r="J17" s="30" t="str">
        <f t="shared" si="8"/>
        <v>n/a</v>
      </c>
      <c r="K17" s="30" t="str">
        <f t="shared" si="8"/>
        <v>n/a</v>
      </c>
      <c r="L17" s="30" t="str">
        <f t="shared" si="8"/>
        <v>n/a</v>
      </c>
      <c r="Q17" s="23"/>
    </row>
    <row r="18" spans="2:17" s="22" customFormat="1" ht="33" customHeight="1" x14ac:dyDescent="0.3">
      <c r="B18" s="23"/>
      <c r="C18" s="28" t="str">
        <f>'Date de context'!C33</f>
        <v xml:space="preserve">Serviciul public inteligent alternativ pentru procesarea apelor uzate </v>
      </c>
      <c r="D18" s="29">
        <f>'Date de context'!E33</f>
        <v>0</v>
      </c>
      <c r="E18" s="30" t="str">
        <f t="shared" ref="E18:L18" si="9">H163</f>
        <v>n/a</v>
      </c>
      <c r="F18" s="30" t="str">
        <f t="shared" si="9"/>
        <v>n/a</v>
      </c>
      <c r="G18" s="30" t="str">
        <f t="shared" si="9"/>
        <v>n/a</v>
      </c>
      <c r="H18" s="30" t="str">
        <f t="shared" si="9"/>
        <v>n/a</v>
      </c>
      <c r="I18" s="30" t="str">
        <f t="shared" si="9"/>
        <v>n/a</v>
      </c>
      <c r="J18" s="30" t="str">
        <f t="shared" si="9"/>
        <v>n/a</v>
      </c>
      <c r="K18" s="30" t="str">
        <f t="shared" si="9"/>
        <v>n/a</v>
      </c>
      <c r="L18" s="30" t="str">
        <f t="shared" si="9"/>
        <v>n/a</v>
      </c>
      <c r="Q18" s="23"/>
    </row>
    <row r="19" spans="2:17" s="22" customFormat="1" ht="33" customHeight="1" x14ac:dyDescent="0.3">
      <c r="B19" s="23"/>
      <c r="C19" s="28" t="str">
        <f>'Date de context'!C34</f>
        <v>Canalizare ape pluviale</v>
      </c>
      <c r="D19" s="29">
        <f>'Date de context'!E34</f>
        <v>0</v>
      </c>
      <c r="E19" s="30" t="str">
        <f>H181</f>
        <v>n/a</v>
      </c>
      <c r="F19" s="30" t="str">
        <f t="shared" ref="F19:L19" si="10">I181</f>
        <v>n/a</v>
      </c>
      <c r="G19" s="30" t="str">
        <f t="shared" si="10"/>
        <v>n/a</v>
      </c>
      <c r="H19" s="30" t="str">
        <f t="shared" si="10"/>
        <v>n/a</v>
      </c>
      <c r="I19" s="30" t="str">
        <f t="shared" si="10"/>
        <v>n/a</v>
      </c>
      <c r="J19" s="30" t="str">
        <f t="shared" si="10"/>
        <v>n/a</v>
      </c>
      <c r="K19" s="30" t="str">
        <f t="shared" si="10"/>
        <v>n/a</v>
      </c>
      <c r="L19" s="30" t="str">
        <f t="shared" si="10"/>
        <v>n/a</v>
      </c>
      <c r="Q19" s="23"/>
    </row>
    <row r="20" spans="2:17" x14ac:dyDescent="0.3">
      <c r="B20" s="23"/>
      <c r="Q20" s="23"/>
    </row>
    <row r="21" spans="2:17" ht="8.1" customHeight="1" x14ac:dyDescent="0.3">
      <c r="B21" s="23"/>
      <c r="C21" s="23"/>
      <c r="D21" s="23"/>
      <c r="E21" s="23"/>
      <c r="F21" s="23"/>
      <c r="G21" s="23"/>
      <c r="H21" s="23"/>
      <c r="I21" s="23"/>
      <c r="J21" s="23"/>
      <c r="K21" s="23"/>
      <c r="L21" s="23"/>
      <c r="M21" s="23"/>
      <c r="N21" s="23"/>
      <c r="O21" s="23"/>
      <c r="P21" s="23"/>
      <c r="Q21" s="23"/>
    </row>
    <row r="23" spans="2:17" ht="8.1" customHeight="1" x14ac:dyDescent="0.3">
      <c r="B23" s="23"/>
      <c r="C23" s="23"/>
      <c r="D23" s="23"/>
      <c r="E23" s="23"/>
      <c r="F23" s="23"/>
      <c r="G23" s="23"/>
      <c r="H23" s="23"/>
      <c r="I23" s="23"/>
      <c r="J23" s="23"/>
      <c r="K23" s="23"/>
      <c r="L23" s="23"/>
      <c r="M23" s="23"/>
      <c r="N23" s="23"/>
      <c r="O23" s="23"/>
      <c r="P23" s="23"/>
      <c r="Q23" s="23"/>
    </row>
    <row r="24" spans="2:17" x14ac:dyDescent="0.3">
      <c r="B24" s="23"/>
      <c r="Q24" s="23"/>
    </row>
    <row r="25" spans="2:17" s="22" customFormat="1" ht="45.75" customHeight="1" x14ac:dyDescent="0.3">
      <c r="B25" s="35"/>
      <c r="C25" s="86" t="str">
        <f>'Costuri operare'!C9</f>
        <v>ACTIVITATEA DE APA POTABILA PRODUSA, TRANSPORTATA SI DISTRIBUITA</v>
      </c>
      <c r="D25" s="86"/>
      <c r="E25" s="94">
        <f>F25-1</f>
        <v>2022</v>
      </c>
      <c r="F25" s="94">
        <f>G25-1</f>
        <v>2023</v>
      </c>
      <c r="G25" s="95">
        <f>'Date generale'!$D$8</f>
        <v>2024</v>
      </c>
      <c r="H25" s="96">
        <f t="shared" ref="H25:O26" si="11">G25+1</f>
        <v>2025</v>
      </c>
      <c r="I25" s="96">
        <f t="shared" si="11"/>
        <v>2026</v>
      </c>
      <c r="J25" s="96">
        <f t="shared" si="11"/>
        <v>2027</v>
      </c>
      <c r="K25" s="96">
        <f t="shared" si="11"/>
        <v>2028</v>
      </c>
      <c r="L25" s="96">
        <f t="shared" si="11"/>
        <v>2029</v>
      </c>
      <c r="M25" s="96">
        <f t="shared" si="11"/>
        <v>2030</v>
      </c>
      <c r="N25" s="96">
        <f t="shared" si="11"/>
        <v>2031</v>
      </c>
      <c r="O25" s="96">
        <f t="shared" si="11"/>
        <v>2032</v>
      </c>
      <c r="Q25" s="35"/>
    </row>
    <row r="26" spans="2:17" x14ac:dyDescent="0.3">
      <c r="B26" s="23"/>
      <c r="C26" s="97"/>
      <c r="D26" s="97"/>
      <c r="E26" s="98">
        <f>F26-1</f>
        <v>-3</v>
      </c>
      <c r="F26" s="98">
        <f>G26-1</f>
        <v>-2</v>
      </c>
      <c r="G26" s="99">
        <v>-1</v>
      </c>
      <c r="H26" s="99">
        <v>0</v>
      </c>
      <c r="I26" s="99">
        <f t="shared" si="11"/>
        <v>1</v>
      </c>
      <c r="J26" s="99">
        <f t="shared" si="11"/>
        <v>2</v>
      </c>
      <c r="K26" s="99">
        <f t="shared" si="11"/>
        <v>3</v>
      </c>
      <c r="L26" s="99">
        <f t="shared" si="11"/>
        <v>4</v>
      </c>
      <c r="M26" s="99">
        <f t="shared" si="11"/>
        <v>5</v>
      </c>
      <c r="N26" s="99">
        <f t="shared" si="11"/>
        <v>6</v>
      </c>
      <c r="O26" s="99">
        <f t="shared" si="11"/>
        <v>7</v>
      </c>
      <c r="Q26" s="35"/>
    </row>
    <row r="27" spans="2:17" s="24" customFormat="1" x14ac:dyDescent="0.3">
      <c r="B27" s="61"/>
      <c r="C27" s="42"/>
      <c r="D27" s="51"/>
      <c r="E27" s="62"/>
      <c r="F27" s="62"/>
      <c r="G27" s="62"/>
      <c r="H27" s="62"/>
      <c r="I27" s="62"/>
      <c r="J27" s="62"/>
      <c r="K27" s="62"/>
      <c r="L27" s="62"/>
      <c r="M27" s="62"/>
      <c r="N27" s="62"/>
      <c r="O27" s="62"/>
      <c r="Q27" s="35"/>
    </row>
    <row r="28" spans="2:17" ht="28.8" x14ac:dyDescent="0.3">
      <c r="B28" s="23"/>
      <c r="C28" s="50" t="s">
        <v>324</v>
      </c>
      <c r="D28" s="43" t="s">
        <v>141</v>
      </c>
      <c r="E28" s="88"/>
      <c r="F28" s="88"/>
      <c r="G28" s="88">
        <f>'Costuri operare'!G23-'Costuri operare'!G19-'Costuri operare'!G20</f>
        <v>2627943</v>
      </c>
      <c r="H28" s="100">
        <f>'Costuri operare'!H23-'Costuri operare'!H19-'Costuri operare'!H20</f>
        <v>2763878.6094906852</v>
      </c>
      <c r="I28" s="100">
        <f>'Costuri operare'!I23-'Costuri operare'!I19-'Costuri operare'!I20</f>
        <v>2901766.2182784583</v>
      </c>
      <c r="J28" s="88">
        <f>'Costuri operare'!J23-'Costuri operare'!J19-'Costuri operare'!J20</f>
        <v>3026052.0990240509</v>
      </c>
      <c r="K28" s="88">
        <f>'Costuri operare'!K23-'Costuri operare'!K19-'Costuri operare'!K20</f>
        <v>3162412.9303962663</v>
      </c>
      <c r="L28" s="88">
        <f>'Costuri operare'!L23-'Costuri operare'!L19-'Costuri operare'!L20</f>
        <v>3305590.0723623764</v>
      </c>
      <c r="M28" s="88">
        <f>'Costuri operare'!M23-'Costuri operare'!M19-'Costuri operare'!M20</f>
        <v>3462205.7785784816</v>
      </c>
      <c r="N28" s="88">
        <f>'Costuri operare'!N23-'Costuri operare'!N19-'Costuri operare'!N20</f>
        <v>3626574.7535961769</v>
      </c>
      <c r="O28" s="88">
        <f>'Costuri operare'!O23-'Costuri operare'!O19-'Costuri operare'!O20</f>
        <v>3799092.0343426918</v>
      </c>
      <c r="Q28" s="35"/>
    </row>
    <row r="29" spans="2:17" s="22" customFormat="1" x14ac:dyDescent="0.3">
      <c r="B29" s="35"/>
      <c r="C29" s="50" t="s">
        <v>325</v>
      </c>
      <c r="D29" s="43" t="s">
        <v>141</v>
      </c>
      <c r="E29" s="88"/>
      <c r="F29" s="88"/>
      <c r="G29" s="88">
        <f>'Costuri operare'!G19+'Costuri operare'!G20</f>
        <v>119814.1</v>
      </c>
      <c r="H29" s="100">
        <f>'Costuri operare'!H19+'Costuri operare'!H20</f>
        <v>498937.22139999998</v>
      </c>
      <c r="I29" s="100">
        <f>'Costuri operare'!I19+'Costuri operare'!I20</f>
        <v>536825.01266666665</v>
      </c>
      <c r="J29" s="88">
        <f>'Costuri operare'!J19+'Costuri operare'!J20</f>
        <v>565058.91266666667</v>
      </c>
      <c r="K29" s="88">
        <f>'Costuri operare'!K19+'Costuri operare'!K20</f>
        <v>599371.24600000004</v>
      </c>
      <c r="L29" s="88">
        <f>'Costuri operare'!L19+'Costuri operare'!L20</f>
        <v>644241.47933333344</v>
      </c>
      <c r="M29" s="88">
        <f>'Costuri operare'!M19+'Costuri operare'!M20</f>
        <v>677167.61266666674</v>
      </c>
      <c r="N29" s="88">
        <f>'Costuri operare'!N19+'Costuri operare'!N20</f>
        <v>947404.6333333333</v>
      </c>
      <c r="O29" s="88">
        <f>'Costuri operare'!O19+'Costuri operare'!O20</f>
        <v>955598.6</v>
      </c>
      <c r="Q29" s="35"/>
    </row>
    <row r="30" spans="2:17" s="53" customFormat="1" x14ac:dyDescent="0.3">
      <c r="B30" s="63"/>
      <c r="C30" s="40" t="s">
        <v>326</v>
      </c>
      <c r="D30" s="43" t="s">
        <v>141</v>
      </c>
      <c r="E30" s="88"/>
      <c r="F30" s="88"/>
      <c r="G30" s="88">
        <f>(SUM(G28:G29)+G31)*'Date macro-economice'!$F$20</f>
        <v>189045.68848000001</v>
      </c>
      <c r="H30" s="100">
        <f>(SUM(H28:H29)+H31)*'Date macro-economice'!$F$20</f>
        <v>224481.72916527916</v>
      </c>
      <c r="I30" s="100">
        <f>(SUM(I28:I29)+I31)*'Date macro-economice'!$F$20</f>
        <v>236575.0766890246</v>
      </c>
      <c r="J30" s="88">
        <f>(SUM(J28:J29)+J31)*'Date macro-economice'!$F$20</f>
        <v>247068.43760432137</v>
      </c>
      <c r="K30" s="88">
        <f>(SUM(K28:K29)+K31)*'Date macro-economice'!$F$20</f>
        <v>258810.75133606314</v>
      </c>
      <c r="L30" s="88">
        <f>(SUM(L28:L29)+L31)*'Date macro-economice'!$F$20</f>
        <v>271748.41075666487</v>
      </c>
      <c r="M30" s="88">
        <f>(SUM(M28:M29)+M31)*'Date macro-economice'!$F$20</f>
        <v>284788.88931766618</v>
      </c>
      <c r="N30" s="88">
        <f>(SUM(N28:N29)+N31)*'Date macro-economice'!$F$20</f>
        <v>314689.78182075027</v>
      </c>
      <c r="O30" s="88">
        <f>(SUM(O28:O29)+O31)*'Date macro-economice'!$F$20</f>
        <v>327122.71564277721</v>
      </c>
      <c r="Q30" s="35"/>
    </row>
    <row r="31" spans="2:17" s="53" customFormat="1" x14ac:dyDescent="0.3">
      <c r="B31" s="63"/>
      <c r="C31" s="40" t="s">
        <v>327</v>
      </c>
      <c r="D31" s="43" t="s">
        <v>141</v>
      </c>
      <c r="E31" s="88"/>
      <c r="F31" s="88"/>
      <c r="G31" s="88">
        <f>'Investitii si finantare'!G148</f>
        <v>0</v>
      </c>
      <c r="H31" s="100">
        <f>'Investitii si finantare'!H148</f>
        <v>0</v>
      </c>
      <c r="I31" s="100">
        <f>'Investitii si finantare'!I148</f>
        <v>0</v>
      </c>
      <c r="J31" s="88">
        <f>'Investitii si finantare'!J148</f>
        <v>0</v>
      </c>
      <c r="K31" s="88">
        <f>'Investitii si finantare'!K148</f>
        <v>0</v>
      </c>
      <c r="L31" s="88">
        <f>'Investitii si finantare'!L148</f>
        <v>0</v>
      </c>
      <c r="M31" s="88">
        <f>'Investitii si finantare'!M148</f>
        <v>0</v>
      </c>
      <c r="N31" s="88">
        <f>'Investitii si finantare'!N148</f>
        <v>0</v>
      </c>
      <c r="O31" s="88">
        <f>'Investitii si finantare'!O148</f>
        <v>0</v>
      </c>
      <c r="Q31" s="35"/>
    </row>
    <row r="32" spans="2:17" s="22" customFormat="1" x14ac:dyDescent="0.3">
      <c r="B32" s="35"/>
      <c r="C32" s="40" t="s">
        <v>328</v>
      </c>
      <c r="D32" s="43" t="s">
        <v>141</v>
      </c>
      <c r="E32" s="88"/>
      <c r="F32" s="88"/>
      <c r="G32" s="88">
        <f>SUM(G28:G29)*'Date macro-economice'!$F$21</f>
        <v>0</v>
      </c>
      <c r="H32" s="101">
        <f>SUM(H28:H29)*'Date macro-economice'!$F$21</f>
        <v>0</v>
      </c>
      <c r="I32" s="100">
        <f>SUM(I28:I29)*'Date macro-economice'!$F$21</f>
        <v>0</v>
      </c>
      <c r="J32" s="88">
        <f>SUM(J28:J29)*'Date macro-economice'!$F$21</f>
        <v>0</v>
      </c>
      <c r="K32" s="88">
        <f>SUM(K28:K29)*'Date macro-economice'!$F$21</f>
        <v>0</v>
      </c>
      <c r="L32" s="88">
        <f>SUM(L28:L29)*'Date macro-economice'!$F$21</f>
        <v>0</v>
      </c>
      <c r="M32" s="88">
        <f>SUM(M28:M29)*'Date macro-economice'!$F$21</f>
        <v>0</v>
      </c>
      <c r="N32" s="88">
        <f>SUM(N28:N29)*'Date macro-economice'!$F$21</f>
        <v>0</v>
      </c>
      <c r="O32" s="88">
        <f>SUM(O28:O29)*'Date macro-economice'!$F$21</f>
        <v>0</v>
      </c>
      <c r="Q32" s="35"/>
    </row>
    <row r="33" spans="2:17" s="22" customFormat="1" x14ac:dyDescent="0.3">
      <c r="B33" s="35"/>
      <c r="C33" s="42" t="s">
        <v>329</v>
      </c>
      <c r="D33" s="51" t="s">
        <v>141</v>
      </c>
      <c r="E33" s="62"/>
      <c r="F33" s="62"/>
      <c r="G33" s="62">
        <f>SUM(G28:G32)</f>
        <v>2936802.7884800001</v>
      </c>
      <c r="H33" s="102">
        <f>SUM(H28:H32)</f>
        <v>3487297.5600559646</v>
      </c>
      <c r="I33" s="102">
        <f t="shared" ref="I33:O33" si="12">SUM(I28:I32)</f>
        <v>3675166.3076341497</v>
      </c>
      <c r="J33" s="62">
        <f t="shared" si="12"/>
        <v>3838179.4492950388</v>
      </c>
      <c r="K33" s="62">
        <f t="shared" si="12"/>
        <v>4020594.9277323298</v>
      </c>
      <c r="L33" s="62">
        <f t="shared" si="12"/>
        <v>4221579.9624523753</v>
      </c>
      <c r="M33" s="62">
        <f t="shared" si="12"/>
        <v>4424162.2805628143</v>
      </c>
      <c r="N33" s="62">
        <f t="shared" si="12"/>
        <v>4888669.16875026</v>
      </c>
      <c r="O33" s="62">
        <f t="shared" si="12"/>
        <v>5081813.3499854691</v>
      </c>
      <c r="Q33" s="35"/>
    </row>
    <row r="34" spans="2:17" s="22" customFormat="1" x14ac:dyDescent="0.3">
      <c r="B34" s="35"/>
      <c r="C34" s="40" t="s">
        <v>330</v>
      </c>
      <c r="D34" s="43" t="s">
        <v>83</v>
      </c>
      <c r="E34" s="88"/>
      <c r="F34" s="88"/>
      <c r="G34" s="88">
        <f>Cererea!G23+Cererea!G46</f>
        <v>463810</v>
      </c>
      <c r="H34" s="100">
        <f>Cererea!H23+Cererea!H46</f>
        <v>469898.20760016696</v>
      </c>
      <c r="I34" s="100">
        <f>Cererea!I23+Cererea!I46</f>
        <v>477400.21260016697</v>
      </c>
      <c r="J34" s="88">
        <f>Cererea!J23+Cererea!J46</f>
        <v>479384.52494991652</v>
      </c>
      <c r="K34" s="88">
        <f>Cererea!K23+Cererea!K46</f>
        <v>479384.52494991652</v>
      </c>
      <c r="L34" s="88">
        <f>Cererea!L23+Cererea!L46</f>
        <v>479384.52494991652</v>
      </c>
      <c r="M34" s="88">
        <f>Cererea!M23+Cererea!M46</f>
        <v>479384.52494991652</v>
      </c>
      <c r="N34" s="88">
        <f>Cererea!N23+Cererea!N46</f>
        <v>479384.52494991652</v>
      </c>
      <c r="O34" s="88">
        <f>Cererea!O23+Cererea!O46</f>
        <v>479384.52494991652</v>
      </c>
      <c r="Q34" s="35"/>
    </row>
    <row r="35" spans="2:17" s="22" customFormat="1" x14ac:dyDescent="0.3">
      <c r="B35" s="35"/>
      <c r="C35" s="42" t="s">
        <v>331</v>
      </c>
      <c r="D35" s="51" t="s">
        <v>36</v>
      </c>
      <c r="E35" s="62"/>
      <c r="F35" s="62"/>
      <c r="G35" s="103">
        <f>'Date de context'!E26</f>
        <v>4.5999999999999996</v>
      </c>
      <c r="H35" s="104">
        <f>IFERROR(H33/H34,"n/a")</f>
        <v>7.4213893640200501</v>
      </c>
      <c r="I35" s="104">
        <f t="shared" ref="I35:O35" si="13">IFERROR(I33/I34,"n/a")</f>
        <v>7.698292146996133</v>
      </c>
      <c r="J35" s="117">
        <f t="shared" si="13"/>
        <v>8.006473403988231</v>
      </c>
      <c r="K35" s="117">
        <f t="shared" si="13"/>
        <v>8.3869935687898547</v>
      </c>
      <c r="L35" s="117">
        <f t="shared" si="13"/>
        <v>8.8062499783309089</v>
      </c>
      <c r="M35" s="117">
        <f t="shared" si="13"/>
        <v>9.2288383339554532</v>
      </c>
      <c r="N35" s="117">
        <f t="shared" si="13"/>
        <v>10.19780346322402</v>
      </c>
      <c r="O35" s="117">
        <f t="shared" si="13"/>
        <v>10.600703788918487</v>
      </c>
      <c r="Q35" s="35"/>
    </row>
    <row r="36" spans="2:17" s="22" customFormat="1" x14ac:dyDescent="0.3">
      <c r="B36" s="35"/>
      <c r="C36" s="42" t="s">
        <v>332</v>
      </c>
      <c r="D36" s="51" t="s">
        <v>47</v>
      </c>
      <c r="E36" s="88"/>
      <c r="F36" s="88"/>
      <c r="G36" s="105"/>
      <c r="H36" s="106">
        <f>IFERROR(H35/G35-1,"n/a")</f>
        <v>0.61334551391740222</v>
      </c>
      <c r="I36" s="106">
        <f t="shared" ref="I36:O36" si="14">IFERROR(I35/H35-1,"n/a")</f>
        <v>3.7311447950507226E-2</v>
      </c>
      <c r="J36" s="118">
        <f t="shared" si="14"/>
        <v>4.0032419023269927E-2</v>
      </c>
      <c r="K36" s="118">
        <f t="shared" si="14"/>
        <v>4.7526563269675748E-2</v>
      </c>
      <c r="L36" s="118">
        <f t="shared" si="14"/>
        <v>4.9988879340651327E-2</v>
      </c>
      <c r="M36" s="118">
        <f t="shared" si="14"/>
        <v>4.798732226139224E-2</v>
      </c>
      <c r="N36" s="118" t="str">
        <f>IFERROR(N35/#REF!-1,"n/a")</f>
        <v>n/a</v>
      </c>
      <c r="O36" s="118">
        <f t="shared" si="14"/>
        <v>3.95085399662225E-2</v>
      </c>
      <c r="Q36" s="35"/>
    </row>
    <row r="37" spans="2:17" s="22" customFormat="1" x14ac:dyDescent="0.3">
      <c r="B37" s="35"/>
      <c r="C37" s="107" t="s">
        <v>333</v>
      </c>
      <c r="D37" s="46" t="s">
        <v>47</v>
      </c>
      <c r="E37" s="108"/>
      <c r="F37" s="108"/>
      <c r="G37" s="109"/>
      <c r="H37" s="110">
        <f>IFERROR(ROUND((1+H36)/(1+'Date macro-economice'!H$9)-1,4),"n/a")</f>
        <v>0.5454</v>
      </c>
      <c r="I37" s="110">
        <f>IFERROR(ROUND((1+I36)/(1+'Date macro-economice'!I$9)-1,4),"n/a")</f>
        <v>4.1999999999999997E-3</v>
      </c>
      <c r="J37" s="119">
        <f>IFERROR(ROUND((1+J36)/(1+'Date macro-economice'!J$9)-1,4),"n/a")</f>
        <v>9.7000000000000003E-3</v>
      </c>
      <c r="K37" s="119">
        <f>IFERROR(ROUND((1+K36)/(1+'Date macro-economice'!K$9)-1,4),"n/a")</f>
        <v>1.7000000000000001E-2</v>
      </c>
      <c r="L37" s="119">
        <f>IFERROR(ROUND((1+L36)/(1+'Date macro-economice'!L$9)-1,4),"n/a")</f>
        <v>1.9400000000000001E-2</v>
      </c>
      <c r="M37" s="119">
        <f>IFERROR(ROUND((1+M36)/(1+'Date macro-economice'!M$9)-1,4),"n/a")</f>
        <v>1.7500000000000002E-2</v>
      </c>
      <c r="N37" s="119" t="str">
        <f>IFERROR(ROUND((1+N36)/(1+'Date macro-economice'!N$9)-1,4),"n/a")</f>
        <v>n/a</v>
      </c>
      <c r="O37" s="119">
        <f>IFERROR(ROUND((1+O36)/(1+'Date macro-economice'!O$9)-1,4),"n/a")</f>
        <v>9.1999999999999998E-3</v>
      </c>
      <c r="Q37" s="35"/>
    </row>
    <row r="38" spans="2:17" x14ac:dyDescent="0.3">
      <c r="B38" s="35"/>
      <c r="Q38" s="35"/>
    </row>
    <row r="39" spans="2:17" ht="8.1" customHeight="1" x14ac:dyDescent="0.3">
      <c r="B39" s="23"/>
      <c r="C39" s="23"/>
      <c r="D39" s="23"/>
      <c r="E39" s="23"/>
      <c r="F39" s="23"/>
      <c r="G39" s="23"/>
      <c r="H39" s="23"/>
      <c r="I39" s="23"/>
      <c r="J39" s="23"/>
      <c r="K39" s="23"/>
      <c r="L39" s="23"/>
      <c r="M39" s="23"/>
      <c r="N39" s="23"/>
      <c r="O39" s="23"/>
      <c r="P39" s="23"/>
      <c r="Q39" s="23"/>
    </row>
    <row r="41" spans="2:17" ht="8.1" customHeight="1" x14ac:dyDescent="0.3">
      <c r="B41" s="23"/>
      <c r="C41" s="23"/>
      <c r="D41" s="23"/>
      <c r="E41" s="23"/>
      <c r="F41" s="23"/>
      <c r="G41" s="23"/>
      <c r="H41" s="23"/>
      <c r="I41" s="23"/>
      <c r="J41" s="23"/>
      <c r="K41" s="23"/>
      <c r="L41" s="23"/>
      <c r="M41" s="23"/>
      <c r="N41" s="23"/>
      <c r="O41" s="23"/>
      <c r="P41" s="23"/>
      <c r="Q41" s="23"/>
    </row>
    <row r="42" spans="2:17" x14ac:dyDescent="0.3">
      <c r="B42" s="23"/>
      <c r="Q42" s="23"/>
    </row>
    <row r="43" spans="2:17" s="22" customFormat="1" ht="69" customHeight="1" x14ac:dyDescent="0.3">
      <c r="B43" s="35"/>
      <c r="C43" s="89" t="str">
        <f>'Costuri operare'!C71</f>
        <v>ACTIVITATEA DE CANALIZARE-EPURARE APE UZATE SI METEORICE PROCESATE</v>
      </c>
      <c r="D43" s="89"/>
      <c r="E43" s="111">
        <f>F43-1</f>
        <v>2022</v>
      </c>
      <c r="F43" s="111">
        <f>G43-1</f>
        <v>2023</v>
      </c>
      <c r="G43" s="112">
        <f>'Date generale'!$D$8</f>
        <v>2024</v>
      </c>
      <c r="H43" s="113">
        <f t="shared" ref="H43:O43" si="15">G43+1</f>
        <v>2025</v>
      </c>
      <c r="I43" s="113">
        <f t="shared" si="15"/>
        <v>2026</v>
      </c>
      <c r="J43" s="113">
        <f t="shared" si="15"/>
        <v>2027</v>
      </c>
      <c r="K43" s="113">
        <f t="shared" si="15"/>
        <v>2028</v>
      </c>
      <c r="L43" s="113">
        <f t="shared" si="15"/>
        <v>2029</v>
      </c>
      <c r="M43" s="113">
        <f t="shared" si="15"/>
        <v>2030</v>
      </c>
      <c r="N43" s="113">
        <f t="shared" si="15"/>
        <v>2031</v>
      </c>
      <c r="O43" s="113">
        <f t="shared" si="15"/>
        <v>2032</v>
      </c>
      <c r="Q43" s="35"/>
    </row>
    <row r="44" spans="2:17" x14ac:dyDescent="0.3">
      <c r="B44" s="23"/>
      <c r="C44" s="114"/>
      <c r="D44" s="114"/>
      <c r="E44" s="115">
        <f>F44-1</f>
        <v>-3</v>
      </c>
      <c r="F44" s="115">
        <f>G44-1</f>
        <v>-2</v>
      </c>
      <c r="G44" s="116">
        <v>-1</v>
      </c>
      <c r="H44" s="116">
        <v>0</v>
      </c>
      <c r="I44" s="116">
        <f t="shared" ref="I44:O44" si="16">H44+1</f>
        <v>1</v>
      </c>
      <c r="J44" s="116">
        <f t="shared" si="16"/>
        <v>2</v>
      </c>
      <c r="K44" s="116">
        <f t="shared" si="16"/>
        <v>3</v>
      </c>
      <c r="L44" s="116">
        <f t="shared" si="16"/>
        <v>4</v>
      </c>
      <c r="M44" s="116">
        <f t="shared" si="16"/>
        <v>5</v>
      </c>
      <c r="N44" s="116">
        <f t="shared" si="16"/>
        <v>6</v>
      </c>
      <c r="O44" s="116">
        <f t="shared" si="16"/>
        <v>7</v>
      </c>
      <c r="Q44" s="35"/>
    </row>
    <row r="45" spans="2:17" s="24" customFormat="1" x14ac:dyDescent="0.3">
      <c r="B45" s="61"/>
      <c r="C45" s="42"/>
      <c r="D45" s="51"/>
      <c r="E45" s="62"/>
      <c r="F45" s="62"/>
      <c r="G45" s="62"/>
      <c r="H45" s="62"/>
      <c r="I45" s="62"/>
      <c r="J45" s="62"/>
      <c r="K45" s="62"/>
      <c r="L45" s="62"/>
      <c r="M45" s="62"/>
      <c r="N45" s="62"/>
      <c r="O45" s="62"/>
      <c r="Q45" s="35"/>
    </row>
    <row r="46" spans="2:17" ht="28.8" x14ac:dyDescent="0.3">
      <c r="B46" s="23"/>
      <c r="C46" s="50" t="s">
        <v>324</v>
      </c>
      <c r="D46" s="43" t="s">
        <v>141</v>
      </c>
      <c r="E46" s="88"/>
      <c r="F46" s="88"/>
      <c r="G46" s="88">
        <f>'Costuri operare'!G84-'Costuri operare'!G80-'Costuri operare'!G79</f>
        <v>1691521</v>
      </c>
      <c r="H46" s="88">
        <f>'Costuri operare'!H84-'Costuri operare'!H80-'Costuri operare'!H79</f>
        <v>1782659.3922917543</v>
      </c>
      <c r="I46" s="88">
        <f>'Costuri operare'!I84-'Costuri operare'!I80-'Costuri operare'!I79</f>
        <v>1877497.5923685271</v>
      </c>
      <c r="J46" s="88">
        <f>'Costuri operare'!J84-'Costuri operare'!J80-'Costuri operare'!J79</f>
        <v>1971427.7936510849</v>
      </c>
      <c r="K46" s="88">
        <f>'Costuri operare'!K84-'Costuri operare'!K80-'Costuri operare'!K79</f>
        <v>2059717.6910986796</v>
      </c>
      <c r="L46" s="88">
        <f>'Costuri operare'!L84-'Costuri operare'!L80-'Costuri operare'!L79</f>
        <v>2152339.4786482253</v>
      </c>
      <c r="M46" s="88">
        <f>'Costuri operare'!M84-'Costuri operare'!M80-'Costuri operare'!M79</f>
        <v>2251040.9542457256</v>
      </c>
      <c r="N46" s="88">
        <f>'Costuri operare'!N84-'Costuri operare'!N80-'Costuri operare'!N79</f>
        <v>2354570.2306177202</v>
      </c>
      <c r="O46" s="88">
        <f>'Costuri operare'!O84-'Costuri operare'!O80-'Costuri operare'!O79</f>
        <v>2483377.1039601467</v>
      </c>
      <c r="Q46" s="35"/>
    </row>
    <row r="47" spans="2:17" s="22" customFormat="1" x14ac:dyDescent="0.3">
      <c r="B47" s="35"/>
      <c r="C47" s="50" t="s">
        <v>325</v>
      </c>
      <c r="D47" s="43" t="s">
        <v>141</v>
      </c>
      <c r="E47" s="88"/>
      <c r="F47" s="88"/>
      <c r="G47" s="88">
        <f>'Costuri operare'!G79+'Costuri operare'!G80</f>
        <v>6349</v>
      </c>
      <c r="H47" s="88">
        <f>'Costuri operare'!H79+'Costuri operare'!H80</f>
        <v>227242.57500000001</v>
      </c>
      <c r="I47" s="88">
        <f>'Costuri operare'!I79+'Costuri operare'!I80</f>
        <v>269659.26909866667</v>
      </c>
      <c r="J47" s="88">
        <f>'Costuri operare'!J79+'Costuri operare'!J80</f>
        <v>337153.39977072633</v>
      </c>
      <c r="K47" s="88">
        <f>'Costuri operare'!K79+'Costuri operare'!K80</f>
        <v>338259.27039999998</v>
      </c>
      <c r="L47" s="88">
        <f>'Costuri operare'!L79+'Costuri operare'!L80</f>
        <v>340664.42453333322</v>
      </c>
      <c r="M47" s="88">
        <f>'Costuri operare'!M79+'Costuri operare'!M80</f>
        <v>356218.50163200003</v>
      </c>
      <c r="N47" s="88">
        <f>'Costuri operare'!N79+'Costuri operare'!N80</f>
        <v>525855.80159999989</v>
      </c>
      <c r="O47" s="88">
        <f>'Costuri operare'!O79+'Costuri operare'!O80</f>
        <v>431305.49999999988</v>
      </c>
      <c r="Q47" s="35"/>
    </row>
    <row r="48" spans="2:17" s="53" customFormat="1" x14ac:dyDescent="0.3">
      <c r="B48" s="63"/>
      <c r="C48" s="40" t="s">
        <v>326</v>
      </c>
      <c r="D48" s="43" t="s">
        <v>141</v>
      </c>
      <c r="E48" s="88"/>
      <c r="F48" s="88"/>
      <c r="G48" s="88">
        <f>(SUM(G46:G47)+G49)*'Date macro-economice'!$F$20</f>
        <v>116813.45600000001</v>
      </c>
      <c r="H48" s="88">
        <f>(SUM(H46:H47)+H49)*'Date macro-economice'!$F$20</f>
        <v>138281.25534967269</v>
      </c>
      <c r="I48" s="88">
        <f>(SUM(I46:I47)+I49)*'Date macro-economice'!$F$20</f>
        <v>147724.39206894292</v>
      </c>
      <c r="J48" s="88">
        <f>(SUM(J46:J47)+J49)*'Date macro-economice'!$F$20</f>
        <v>158830.38610742061</v>
      </c>
      <c r="K48" s="88">
        <f>(SUM(K46:K47)+K49)*'Date macro-economice'!$F$20</f>
        <v>164980.81495110915</v>
      </c>
      <c r="L48" s="88">
        <f>(SUM(L46:L47)+L49)*'Date macro-economice'!$F$20</f>
        <v>171518.66853889122</v>
      </c>
      <c r="M48" s="88">
        <f>(SUM(M46:M47)+M49)*'Date macro-economice'!$F$20</f>
        <v>179379.45056438752</v>
      </c>
      <c r="N48" s="88">
        <f>(SUM(N46:N47)+N49)*'Date macro-economice'!$F$20</f>
        <v>198173.31101657913</v>
      </c>
      <c r="O48" s="88">
        <f>(SUM(O46:O47)+O49)*'Date macro-economice'!$F$20</f>
        <v>200530.16315245809</v>
      </c>
      <c r="Q48" s="35"/>
    </row>
    <row r="49" spans="2:17" s="53" customFormat="1" x14ac:dyDescent="0.3">
      <c r="B49" s="63"/>
      <c r="C49" s="40" t="s">
        <v>327</v>
      </c>
      <c r="D49" s="43" t="s">
        <v>141</v>
      </c>
      <c r="E49" s="88"/>
      <c r="F49" s="88"/>
      <c r="G49" s="88">
        <f>'Investitii si finantare'!G149</f>
        <v>0</v>
      </c>
      <c r="H49" s="88">
        <f>'Investitii si finantare'!H149</f>
        <v>0</v>
      </c>
      <c r="I49" s="88">
        <f>'Investitii si finantare'!I149</f>
        <v>0</v>
      </c>
      <c r="J49" s="88">
        <f>'Investitii si finantare'!J149</f>
        <v>0</v>
      </c>
      <c r="K49" s="88">
        <f>'Investitii si finantare'!K149</f>
        <v>0</v>
      </c>
      <c r="L49" s="88">
        <f>'Investitii si finantare'!L149</f>
        <v>0</v>
      </c>
      <c r="M49" s="88">
        <f>'Investitii si finantare'!M149</f>
        <v>0</v>
      </c>
      <c r="N49" s="88">
        <f>'Investitii si finantare'!N149</f>
        <v>0</v>
      </c>
      <c r="O49" s="88">
        <f>'Investitii si finantare'!O149</f>
        <v>0</v>
      </c>
      <c r="Q49" s="35"/>
    </row>
    <row r="50" spans="2:17" s="22" customFormat="1" x14ac:dyDescent="0.3">
      <c r="B50" s="35"/>
      <c r="C50" s="40" t="s">
        <v>328</v>
      </c>
      <c r="D50" s="43" t="s">
        <v>141</v>
      </c>
      <c r="E50" s="88"/>
      <c r="F50" s="88"/>
      <c r="G50" s="88">
        <f>SUM(G46:G47)*'Date macro-economice'!$F$21</f>
        <v>0</v>
      </c>
      <c r="H50" s="88">
        <f>SUM(H46:H47)*'Date macro-economice'!$F$21</f>
        <v>0</v>
      </c>
      <c r="I50" s="88">
        <f>SUM(I46:I47)*'Date macro-economice'!$F$21</f>
        <v>0</v>
      </c>
      <c r="J50" s="88">
        <f>SUM(J46:J47)*'Date macro-economice'!$F$21</f>
        <v>0</v>
      </c>
      <c r="K50" s="88">
        <f>SUM(K46:K47)*'Date macro-economice'!$F$21</f>
        <v>0</v>
      </c>
      <c r="L50" s="88">
        <f>SUM(L46:L47)*'Date macro-economice'!$F$21</f>
        <v>0</v>
      </c>
      <c r="M50" s="88">
        <f>SUM(M46:M47)*'Date macro-economice'!$F$21</f>
        <v>0</v>
      </c>
      <c r="N50" s="88">
        <f>SUM(N46:N47)*'Date macro-economice'!$F$21</f>
        <v>0</v>
      </c>
      <c r="O50" s="88">
        <f>SUM(O46:O47)*'Date macro-economice'!$F$21</f>
        <v>0</v>
      </c>
      <c r="Q50" s="35"/>
    </row>
    <row r="51" spans="2:17" s="22" customFormat="1" x14ac:dyDescent="0.3">
      <c r="B51" s="35"/>
      <c r="C51" s="42" t="s">
        <v>329</v>
      </c>
      <c r="D51" s="51" t="s">
        <v>141</v>
      </c>
      <c r="E51" s="62"/>
      <c r="F51" s="62"/>
      <c r="G51" s="62">
        <f t="shared" ref="G51:O51" si="17">SUM(G46:G50)</f>
        <v>1814683.456</v>
      </c>
      <c r="H51" s="62">
        <f t="shared" si="17"/>
        <v>2148183.2226414271</v>
      </c>
      <c r="I51" s="62">
        <f t="shared" si="17"/>
        <v>2294881.2535361368</v>
      </c>
      <c r="J51" s="62">
        <f t="shared" si="17"/>
        <v>2467411.5795292319</v>
      </c>
      <c r="K51" s="62">
        <f t="shared" si="17"/>
        <v>2562957.7764497888</v>
      </c>
      <c r="L51" s="62">
        <f t="shared" si="17"/>
        <v>2664522.5717204497</v>
      </c>
      <c r="M51" s="62">
        <f t="shared" si="17"/>
        <v>2786638.9064421132</v>
      </c>
      <c r="N51" s="62">
        <f t="shared" si="17"/>
        <v>3078599.3432342992</v>
      </c>
      <c r="O51" s="62">
        <f t="shared" si="17"/>
        <v>3115212.7671126048</v>
      </c>
      <c r="Q51" s="35"/>
    </row>
    <row r="52" spans="2:17" s="22" customFormat="1" x14ac:dyDescent="0.3">
      <c r="B52" s="35"/>
      <c r="C52" s="40" t="s">
        <v>330</v>
      </c>
      <c r="D52" s="43" t="s">
        <v>83</v>
      </c>
      <c r="E52" s="88"/>
      <c r="F52" s="88"/>
      <c r="G52" s="88">
        <f>Cererea!G38+Cererea!G53</f>
        <v>436902</v>
      </c>
      <c r="H52" s="88">
        <f>Cererea!H38+Cererea!H53</f>
        <v>442062.52021805028</v>
      </c>
      <c r="I52" s="88">
        <f>Cererea!I38+Cererea!I53</f>
        <v>451466.29493420594</v>
      </c>
      <c r="J52" s="88">
        <f>Cererea!J38+Cererea!J53</f>
        <v>462876.94323114021</v>
      </c>
      <c r="K52" s="88">
        <f>Cererea!K38+Cererea!K53</f>
        <v>462876.94323114021</v>
      </c>
      <c r="L52" s="88">
        <f>Cererea!L38+Cererea!L53</f>
        <v>462876.94323114021</v>
      </c>
      <c r="M52" s="88">
        <f>Cererea!M38+Cererea!M53</f>
        <v>462876.94323114021</v>
      </c>
      <c r="N52" s="88">
        <f>Cererea!N38+Cererea!N53</f>
        <v>462876.94323114021</v>
      </c>
      <c r="O52" s="88">
        <f>Cererea!O38+Cererea!O53</f>
        <v>465101.26851498452</v>
      </c>
      <c r="Q52" s="35"/>
    </row>
    <row r="53" spans="2:17" s="22" customFormat="1" x14ac:dyDescent="0.3">
      <c r="B53" s="35"/>
      <c r="C53" s="42" t="s">
        <v>331</v>
      </c>
      <c r="D53" s="51" t="s">
        <v>36</v>
      </c>
      <c r="E53" s="62"/>
      <c r="F53" s="62"/>
      <c r="G53" s="103">
        <f>'Date de context'!E27</f>
        <v>3.52</v>
      </c>
      <c r="H53" s="104">
        <f>IFERROR(H51/H52,"n/a")</f>
        <v>4.8594556751425602</v>
      </c>
      <c r="I53" s="104">
        <f t="shared" ref="I53:O53" si="18">IFERROR(I51/I52,"n/a")</f>
        <v>5.0831729395670155</v>
      </c>
      <c r="J53" s="117">
        <f t="shared" si="18"/>
        <v>5.3305994511312607</v>
      </c>
      <c r="K53" s="117">
        <f t="shared" si="18"/>
        <v>5.537017589510743</v>
      </c>
      <c r="L53" s="117">
        <f t="shared" si="18"/>
        <v>5.7564383162414412</v>
      </c>
      <c r="M53" s="117">
        <f t="shared" si="18"/>
        <v>6.0202586177436572</v>
      </c>
      <c r="N53" s="117">
        <f t="shared" si="18"/>
        <v>6.6510103565408816</v>
      </c>
      <c r="O53" s="117">
        <f t="shared" si="18"/>
        <v>6.6979236093230297</v>
      </c>
      <c r="Q53" s="35"/>
    </row>
    <row r="54" spans="2:17" s="22" customFormat="1" x14ac:dyDescent="0.3">
      <c r="B54" s="35"/>
      <c r="C54" s="42" t="s">
        <v>332</v>
      </c>
      <c r="D54" s="51" t="s">
        <v>47</v>
      </c>
      <c r="E54" s="88"/>
      <c r="F54" s="88"/>
      <c r="G54" s="105"/>
      <c r="H54" s="106">
        <f>IFERROR(H53/G53-1,"n/a")</f>
        <v>0.38052718043822731</v>
      </c>
      <c r="I54" s="106">
        <f t="shared" ref="I54:O54" si="19">IFERROR(I53/H53-1,"n/a")</f>
        <v>4.6037515182786759E-2</v>
      </c>
      <c r="J54" s="118">
        <f t="shared" si="19"/>
        <v>4.8675603703800085E-2</v>
      </c>
      <c r="K54" s="118">
        <f t="shared" si="19"/>
        <v>3.8723250597205494E-2</v>
      </c>
      <c r="L54" s="118">
        <f t="shared" si="19"/>
        <v>3.9627962740513167E-2</v>
      </c>
      <c r="M54" s="118">
        <f t="shared" si="19"/>
        <v>4.5830474854192893E-2</v>
      </c>
      <c r="N54" s="118">
        <f t="shared" si="19"/>
        <v>0.10477153538523987</v>
      </c>
      <c r="O54" s="118">
        <f t="shared" si="19"/>
        <v>7.0535528088617738E-3</v>
      </c>
      <c r="Q54" s="35"/>
    </row>
    <row r="55" spans="2:17" s="22" customFormat="1" x14ac:dyDescent="0.3">
      <c r="B55" s="35"/>
      <c r="C55" s="107" t="s">
        <v>333</v>
      </c>
      <c r="D55" s="46" t="s">
        <v>47</v>
      </c>
      <c r="E55" s="108"/>
      <c r="F55" s="108"/>
      <c r="G55" s="109"/>
      <c r="H55" s="110">
        <f>IFERROR(ROUND((1+H54)/(1+'Date macro-economice'!H$9)-1,4),"n/a")</f>
        <v>0.32229999999999998</v>
      </c>
      <c r="I55" s="110">
        <f>IFERROR(ROUND((1+I54)/(1+'Date macro-economice'!I$9)-1,4),"n/a")</f>
        <v>1.26E-2</v>
      </c>
      <c r="J55" s="119">
        <f>IFERROR(ROUND((1+J54)/(1+'Date macro-economice'!J$9)-1,4),"n/a")</f>
        <v>1.8100000000000002E-2</v>
      </c>
      <c r="K55" s="119">
        <f>IFERROR(ROUND((1+K54)/(1+'Date macro-economice'!K$9)-1,4),"n/a")</f>
        <v>8.5000000000000006E-3</v>
      </c>
      <c r="L55" s="119">
        <f>IFERROR(ROUND((1+L54)/(1+'Date macro-economice'!L$9)-1,4),"n/a")</f>
        <v>9.2999999999999992E-3</v>
      </c>
      <c r="M55" s="119">
        <f>IFERROR(ROUND((1+M54)/(1+'Date macro-economice'!M$9)-1,4),"n/a")</f>
        <v>1.54E-2</v>
      </c>
      <c r="N55" s="119">
        <f>IFERROR(ROUND((1+N54)/(1+'Date macro-economice'!N$9)-1,4),"n/a")</f>
        <v>7.2599999999999998E-2</v>
      </c>
      <c r="O55" s="119">
        <f>IFERROR(ROUND((1+O54)/(1+'Date macro-economice'!O$9)-1,4),"n/a")</f>
        <v>-2.23E-2</v>
      </c>
      <c r="Q55" s="35"/>
    </row>
    <row r="56" spans="2:17" x14ac:dyDescent="0.3">
      <c r="B56" s="35"/>
      <c r="Q56" s="35"/>
    </row>
    <row r="57" spans="2:17" ht="8.1" customHeight="1" x14ac:dyDescent="0.3">
      <c r="B57" s="23"/>
      <c r="C57" s="23"/>
      <c r="D57" s="23"/>
      <c r="E57" s="23"/>
      <c r="F57" s="23"/>
      <c r="G57" s="23"/>
      <c r="H57" s="23"/>
      <c r="I57" s="23"/>
      <c r="J57" s="23"/>
      <c r="K57" s="23"/>
      <c r="L57" s="23"/>
      <c r="M57" s="23"/>
      <c r="N57" s="23"/>
      <c r="O57" s="23"/>
      <c r="P57" s="23"/>
      <c r="Q57" s="23"/>
    </row>
    <row r="59" spans="2:17" ht="8.1" customHeight="1" x14ac:dyDescent="0.3">
      <c r="B59" s="23"/>
      <c r="C59" s="23"/>
      <c r="D59" s="23"/>
      <c r="E59" s="23"/>
      <c r="F59" s="23"/>
      <c r="G59" s="23"/>
      <c r="H59" s="23"/>
      <c r="I59" s="23"/>
      <c r="J59" s="23"/>
      <c r="K59" s="23"/>
      <c r="L59" s="23"/>
      <c r="M59" s="23"/>
      <c r="N59" s="23"/>
      <c r="O59" s="23"/>
      <c r="P59" s="23"/>
      <c r="Q59" s="23"/>
    </row>
    <row r="60" spans="2:17" x14ac:dyDescent="0.3">
      <c r="B60" s="23"/>
      <c r="Q60" s="23"/>
    </row>
    <row r="61" spans="2:17" s="22" customFormat="1" ht="90" customHeight="1" x14ac:dyDescent="0.3">
      <c r="B61" s="35"/>
      <c r="C61" s="86" t="str">
        <f>'Costuri operare'!C125</f>
        <v>ACTIVITATEA DE APA POTABILA PRODUSA SI TRANSPORTATA IN VEDEREA REDISTRIBUIRII IN ALTE SISTEME DE OPERARE</v>
      </c>
      <c r="D61" s="86"/>
      <c r="E61" s="94">
        <f>F61-1</f>
        <v>2022</v>
      </c>
      <c r="F61" s="94">
        <f>G61-1</f>
        <v>2023</v>
      </c>
      <c r="G61" s="95">
        <f>'Date generale'!$D$8</f>
        <v>2024</v>
      </c>
      <c r="H61" s="96">
        <f t="shared" ref="H61:O61" si="20">G61+1</f>
        <v>2025</v>
      </c>
      <c r="I61" s="96">
        <f t="shared" si="20"/>
        <v>2026</v>
      </c>
      <c r="J61" s="96">
        <f t="shared" si="20"/>
        <v>2027</v>
      </c>
      <c r="K61" s="96">
        <f t="shared" si="20"/>
        <v>2028</v>
      </c>
      <c r="L61" s="96">
        <f t="shared" si="20"/>
        <v>2029</v>
      </c>
      <c r="M61" s="96">
        <f t="shared" si="20"/>
        <v>2030</v>
      </c>
      <c r="N61" s="96">
        <f t="shared" si="20"/>
        <v>2031</v>
      </c>
      <c r="O61" s="96">
        <f t="shared" si="20"/>
        <v>2032</v>
      </c>
      <c r="Q61" s="35"/>
    </row>
    <row r="62" spans="2:17" x14ac:dyDescent="0.3">
      <c r="B62" s="23"/>
      <c r="C62" s="97"/>
      <c r="D62" s="97"/>
      <c r="E62" s="98">
        <f>F62-1</f>
        <v>-3</v>
      </c>
      <c r="F62" s="98">
        <f>G62-1</f>
        <v>-2</v>
      </c>
      <c r="G62" s="99">
        <v>-1</v>
      </c>
      <c r="H62" s="99">
        <v>0</v>
      </c>
      <c r="I62" s="99">
        <f t="shared" ref="I62:O62" si="21">H62+1</f>
        <v>1</v>
      </c>
      <c r="J62" s="99">
        <f t="shared" si="21"/>
        <v>2</v>
      </c>
      <c r="K62" s="99">
        <f t="shared" si="21"/>
        <v>3</v>
      </c>
      <c r="L62" s="99">
        <f t="shared" si="21"/>
        <v>4</v>
      </c>
      <c r="M62" s="99">
        <f t="shared" si="21"/>
        <v>5</v>
      </c>
      <c r="N62" s="99">
        <f t="shared" si="21"/>
        <v>6</v>
      </c>
      <c r="O62" s="99">
        <f t="shared" si="21"/>
        <v>7</v>
      </c>
      <c r="Q62" s="35"/>
    </row>
    <row r="63" spans="2:17" s="24" customFormat="1" x14ac:dyDescent="0.3">
      <c r="B63" s="61"/>
      <c r="C63" s="42"/>
      <c r="D63" s="51"/>
      <c r="E63" s="62"/>
      <c r="F63" s="62"/>
      <c r="G63" s="62"/>
      <c r="H63" s="62"/>
      <c r="I63" s="62"/>
      <c r="J63" s="62"/>
      <c r="K63" s="62"/>
      <c r="L63" s="62"/>
      <c r="M63" s="62"/>
      <c r="N63" s="62"/>
      <c r="O63" s="62"/>
      <c r="Q63" s="35"/>
    </row>
    <row r="64" spans="2:17" ht="28.8" x14ac:dyDescent="0.3">
      <c r="B64" s="23"/>
      <c r="C64" s="50" t="s">
        <v>324</v>
      </c>
      <c r="D64" s="43" t="s">
        <v>141</v>
      </c>
      <c r="E64" s="88"/>
      <c r="F64" s="88"/>
      <c r="G64" s="88">
        <f>'Costuri operare'!G139-'Costuri operare'!G135-'Costuri operare'!G136</f>
        <v>0</v>
      </c>
      <c r="H64" s="88">
        <f>'Costuri operare'!H139-'Costuri operare'!H135-'Costuri operare'!H136</f>
        <v>0</v>
      </c>
      <c r="I64" s="88">
        <f>'Costuri operare'!I139-'Costuri operare'!I135-'Costuri operare'!I136</f>
        <v>0</v>
      </c>
      <c r="J64" s="88">
        <f>'Costuri operare'!J139-'Costuri operare'!J135-'Costuri operare'!J136</f>
        <v>0</v>
      </c>
      <c r="K64" s="88">
        <f>'Costuri operare'!K139-'Costuri operare'!K135-'Costuri operare'!K136</f>
        <v>0</v>
      </c>
      <c r="L64" s="88">
        <f>'Costuri operare'!L139-'Costuri operare'!L135-'Costuri operare'!L136</f>
        <v>0</v>
      </c>
      <c r="M64" s="88">
        <f>'Costuri operare'!M139-'Costuri operare'!M135-'Costuri operare'!M136</f>
        <v>0</v>
      </c>
      <c r="N64" s="88">
        <f>'Costuri operare'!N139-'Costuri operare'!N135-'Costuri operare'!N136</f>
        <v>0</v>
      </c>
      <c r="O64" s="88">
        <f>'Costuri operare'!O139-'Costuri operare'!O135-'Costuri operare'!O136</f>
        <v>0</v>
      </c>
      <c r="Q64" s="35"/>
    </row>
    <row r="65" spans="2:17" s="22" customFormat="1" x14ac:dyDescent="0.3">
      <c r="B65" s="35"/>
      <c r="C65" s="50" t="s">
        <v>325</v>
      </c>
      <c r="D65" s="43" t="s">
        <v>141</v>
      </c>
      <c r="E65" s="88"/>
      <c r="F65" s="88"/>
      <c r="G65" s="88">
        <f>'Costuri operare'!G135+'Costuri operare'!G136</f>
        <v>0</v>
      </c>
      <c r="H65" s="88">
        <f>'Costuri operare'!H135+'Costuri operare'!H136</f>
        <v>0</v>
      </c>
      <c r="I65" s="88">
        <f>'Costuri operare'!I135+'Costuri operare'!I136</f>
        <v>0</v>
      </c>
      <c r="J65" s="88">
        <f>'Costuri operare'!J135+'Costuri operare'!J136</f>
        <v>0</v>
      </c>
      <c r="K65" s="88">
        <f>'Costuri operare'!K135+'Costuri operare'!K136</f>
        <v>0</v>
      </c>
      <c r="L65" s="88">
        <f>'Costuri operare'!L135+'Costuri operare'!L136</f>
        <v>0</v>
      </c>
      <c r="M65" s="88">
        <f>'Costuri operare'!M135+'Costuri operare'!M136</f>
        <v>0</v>
      </c>
      <c r="N65" s="88">
        <f>'Costuri operare'!N135+'Costuri operare'!N136</f>
        <v>0</v>
      </c>
      <c r="O65" s="88">
        <f>'Costuri operare'!O135+'Costuri operare'!O136</f>
        <v>0</v>
      </c>
      <c r="Q65" s="35"/>
    </row>
    <row r="66" spans="2:17" s="53" customFormat="1" x14ac:dyDescent="0.3">
      <c r="B66" s="63"/>
      <c r="C66" s="40" t="s">
        <v>326</v>
      </c>
      <c r="D66" s="43" t="s">
        <v>141</v>
      </c>
      <c r="E66" s="88"/>
      <c r="F66" s="88"/>
      <c r="G66" s="88">
        <f>(SUM(G64:G65)+G67)*'Date macro-economice'!$F$20</f>
        <v>0</v>
      </c>
      <c r="H66" s="88">
        <f>(SUM(H64:H65)+H67)*'Date macro-economice'!$F$20</f>
        <v>0</v>
      </c>
      <c r="I66" s="88">
        <f>(SUM(I64:I65)+I67)*'Date macro-economice'!$F$20</f>
        <v>0</v>
      </c>
      <c r="J66" s="88">
        <f>(SUM(J64:J65)+J67)*'Date macro-economice'!$F$20</f>
        <v>0</v>
      </c>
      <c r="K66" s="88">
        <f>(SUM(K64:K65)+K67)*'Date macro-economice'!$F$20</f>
        <v>0</v>
      </c>
      <c r="L66" s="88">
        <f>(SUM(L64:L65)+L67)*'Date macro-economice'!$F$20</f>
        <v>0</v>
      </c>
      <c r="M66" s="88">
        <f>(SUM(M64:M65)+M67)*'Date macro-economice'!$F$20</f>
        <v>0</v>
      </c>
      <c r="N66" s="88">
        <f>(SUM(N64:N65)+N67)*'Date macro-economice'!$F$20</f>
        <v>0</v>
      </c>
      <c r="O66" s="88">
        <f>(SUM(O64:O65)+O67)*'Date macro-economice'!$F$20</f>
        <v>0</v>
      </c>
      <c r="Q66" s="35"/>
    </row>
    <row r="67" spans="2:17" s="53" customFormat="1" x14ac:dyDescent="0.3">
      <c r="B67" s="63"/>
      <c r="C67" s="40" t="s">
        <v>327</v>
      </c>
      <c r="D67" s="43" t="s">
        <v>141</v>
      </c>
      <c r="E67" s="88"/>
      <c r="F67" s="88"/>
      <c r="G67" s="88">
        <f>'Investitii si finantare'!G150</f>
        <v>0</v>
      </c>
      <c r="H67" s="88">
        <f>'Investitii si finantare'!H150</f>
        <v>0</v>
      </c>
      <c r="I67" s="88">
        <f>'Investitii si finantare'!I150</f>
        <v>0</v>
      </c>
      <c r="J67" s="88">
        <f>'Investitii si finantare'!J150</f>
        <v>0</v>
      </c>
      <c r="K67" s="88">
        <f>'Investitii si finantare'!K150</f>
        <v>0</v>
      </c>
      <c r="L67" s="88">
        <f>'Investitii si finantare'!L150</f>
        <v>0</v>
      </c>
      <c r="M67" s="88">
        <f>'Investitii si finantare'!M150</f>
        <v>0</v>
      </c>
      <c r="N67" s="88">
        <f>'Investitii si finantare'!N150</f>
        <v>0</v>
      </c>
      <c r="O67" s="88">
        <f>'Investitii si finantare'!O150</f>
        <v>0</v>
      </c>
      <c r="Q67" s="35"/>
    </row>
    <row r="68" spans="2:17" s="22" customFormat="1" x14ac:dyDescent="0.3">
      <c r="B68" s="35"/>
      <c r="C68" s="40" t="s">
        <v>328</v>
      </c>
      <c r="D68" s="43" t="s">
        <v>141</v>
      </c>
      <c r="E68" s="88"/>
      <c r="F68" s="88"/>
      <c r="G68" s="88"/>
      <c r="H68" s="40">
        <f>SUM(H64:H65)*'Date macro-economice'!$F$21</f>
        <v>0</v>
      </c>
      <c r="I68" s="88">
        <f>SUM(I64:I65)*'Date macro-economice'!$F$21</f>
        <v>0</v>
      </c>
      <c r="J68" s="88">
        <f>SUM(J64:J65)*'Date macro-economice'!$F$21</f>
        <v>0</v>
      </c>
      <c r="K68" s="88">
        <f>SUM(K64:K65)*'Date macro-economice'!$F$21</f>
        <v>0</v>
      </c>
      <c r="L68" s="88">
        <f>SUM(L64:L65)*'Date macro-economice'!$F$21</f>
        <v>0</v>
      </c>
      <c r="M68" s="88">
        <f>SUM(M64:M65)*'Date macro-economice'!$F$21</f>
        <v>0</v>
      </c>
      <c r="N68" s="88">
        <f>SUM(N64:N65)*'Date macro-economice'!$F$21</f>
        <v>0</v>
      </c>
      <c r="O68" s="88">
        <f>SUM(O64:O65)*'Date macro-economice'!$F$21</f>
        <v>0</v>
      </c>
      <c r="Q68" s="35"/>
    </row>
    <row r="69" spans="2:17" s="22" customFormat="1" x14ac:dyDescent="0.3">
      <c r="B69" s="35"/>
      <c r="C69" s="42" t="s">
        <v>329</v>
      </c>
      <c r="D69" s="51" t="s">
        <v>141</v>
      </c>
      <c r="E69" s="62"/>
      <c r="F69" s="62"/>
      <c r="G69" s="62">
        <f t="shared" ref="G69:O69" si="22">SUM(G64:G68)</f>
        <v>0</v>
      </c>
      <c r="H69" s="62">
        <f t="shared" si="22"/>
        <v>0</v>
      </c>
      <c r="I69" s="62">
        <f t="shared" si="22"/>
        <v>0</v>
      </c>
      <c r="J69" s="62">
        <f t="shared" si="22"/>
        <v>0</v>
      </c>
      <c r="K69" s="62">
        <f t="shared" si="22"/>
        <v>0</v>
      </c>
      <c r="L69" s="62">
        <f t="shared" si="22"/>
        <v>0</v>
      </c>
      <c r="M69" s="62">
        <f t="shared" si="22"/>
        <v>0</v>
      </c>
      <c r="N69" s="62">
        <f t="shared" si="22"/>
        <v>0</v>
      </c>
      <c r="O69" s="62">
        <f t="shared" si="22"/>
        <v>0</v>
      </c>
      <c r="Q69" s="35"/>
    </row>
    <row r="70" spans="2:17" s="22" customFormat="1" x14ac:dyDescent="0.3">
      <c r="B70" s="35"/>
      <c r="C70" s="40" t="s">
        <v>330</v>
      </c>
      <c r="D70" s="43" t="s">
        <v>83</v>
      </c>
      <c r="E70" s="88"/>
      <c r="F70" s="88"/>
      <c r="G70" s="88">
        <f>Cererea!G62</f>
        <v>0</v>
      </c>
      <c r="H70" s="88">
        <f>Cererea!H62</f>
        <v>0</v>
      </c>
      <c r="I70" s="88">
        <f>Cererea!I62</f>
        <v>0</v>
      </c>
      <c r="J70" s="88">
        <f>Cererea!J62</f>
        <v>0</v>
      </c>
      <c r="K70" s="88">
        <f>Cererea!K62</f>
        <v>0</v>
      </c>
      <c r="L70" s="88">
        <f>Cererea!L62</f>
        <v>0</v>
      </c>
      <c r="M70" s="88">
        <f>Cererea!M62</f>
        <v>0</v>
      </c>
      <c r="N70" s="88">
        <f>Cererea!N62</f>
        <v>0</v>
      </c>
      <c r="O70" s="88">
        <f>Cererea!O62</f>
        <v>0</v>
      </c>
      <c r="Q70" s="35"/>
    </row>
    <row r="71" spans="2:17" s="22" customFormat="1" x14ac:dyDescent="0.3">
      <c r="B71" s="35"/>
      <c r="C71" s="42" t="s">
        <v>331</v>
      </c>
      <c r="D71" s="51" t="s">
        <v>36</v>
      </c>
      <c r="E71" s="62"/>
      <c r="F71" s="62"/>
      <c r="G71" s="103">
        <f>'Date de context'!E28</f>
        <v>0</v>
      </c>
      <c r="H71" s="104" t="str">
        <f>IFERROR(H69/H70,"n/a")</f>
        <v>n/a</v>
      </c>
      <c r="I71" s="104" t="str">
        <f t="shared" ref="I71:O71" si="23">IFERROR(I69/I70,"n/a")</f>
        <v>n/a</v>
      </c>
      <c r="J71" s="117" t="str">
        <f t="shared" si="23"/>
        <v>n/a</v>
      </c>
      <c r="K71" s="117" t="str">
        <f t="shared" si="23"/>
        <v>n/a</v>
      </c>
      <c r="L71" s="117" t="str">
        <f t="shared" si="23"/>
        <v>n/a</v>
      </c>
      <c r="M71" s="117" t="str">
        <f t="shared" si="23"/>
        <v>n/a</v>
      </c>
      <c r="N71" s="117" t="str">
        <f t="shared" si="23"/>
        <v>n/a</v>
      </c>
      <c r="O71" s="117" t="str">
        <f t="shared" si="23"/>
        <v>n/a</v>
      </c>
      <c r="Q71" s="35"/>
    </row>
    <row r="72" spans="2:17" s="22" customFormat="1" x14ac:dyDescent="0.3">
      <c r="B72" s="35"/>
      <c r="C72" s="42" t="s">
        <v>332</v>
      </c>
      <c r="D72" s="51" t="s">
        <v>47</v>
      </c>
      <c r="E72" s="88"/>
      <c r="F72" s="88"/>
      <c r="G72" s="105"/>
      <c r="H72" s="106" t="str">
        <f>IFERROR(H71/G71-1,"n/a")</f>
        <v>n/a</v>
      </c>
      <c r="I72" s="106" t="str">
        <f t="shared" ref="I72:O72" si="24">IFERROR(I71/H71-1,"n/a")</f>
        <v>n/a</v>
      </c>
      <c r="J72" s="118" t="str">
        <f t="shared" si="24"/>
        <v>n/a</v>
      </c>
      <c r="K72" s="118" t="str">
        <f t="shared" si="24"/>
        <v>n/a</v>
      </c>
      <c r="L72" s="118" t="str">
        <f t="shared" si="24"/>
        <v>n/a</v>
      </c>
      <c r="M72" s="118" t="str">
        <f t="shared" si="24"/>
        <v>n/a</v>
      </c>
      <c r="N72" s="118" t="str">
        <f t="shared" si="24"/>
        <v>n/a</v>
      </c>
      <c r="O72" s="118" t="str">
        <f t="shared" si="24"/>
        <v>n/a</v>
      </c>
      <c r="Q72" s="35"/>
    </row>
    <row r="73" spans="2:17" s="22" customFormat="1" x14ac:dyDescent="0.3">
      <c r="B73" s="35"/>
      <c r="C73" s="107" t="s">
        <v>333</v>
      </c>
      <c r="D73" s="46" t="s">
        <v>47</v>
      </c>
      <c r="E73" s="108"/>
      <c r="F73" s="108"/>
      <c r="G73" s="109"/>
      <c r="H73" s="110" t="str">
        <f>IFERROR(ROUND((1+H72)/(1+'Date macro-economice'!H$9)-1,4),"n/a")</f>
        <v>n/a</v>
      </c>
      <c r="I73" s="110" t="str">
        <f>IFERROR(ROUND((1+I72)/(1+'Date macro-economice'!I$9)-1,4),"n/a")</f>
        <v>n/a</v>
      </c>
      <c r="J73" s="119" t="str">
        <f>IFERROR(ROUND((1+J72)/(1+'Date macro-economice'!J$9)-1,4),"n/a")</f>
        <v>n/a</v>
      </c>
      <c r="K73" s="119" t="str">
        <f>IFERROR(ROUND((1+K72)/(1+'Date macro-economice'!K$9)-1,4),"n/a")</f>
        <v>n/a</v>
      </c>
      <c r="L73" s="119" t="str">
        <f>IFERROR(ROUND((1+L72)/(1+'Date macro-economice'!L$9)-1,4),"n/a")</f>
        <v>n/a</v>
      </c>
      <c r="M73" s="119" t="str">
        <f>IFERROR(ROUND((1+M72)/(1+'Date macro-economice'!M$9)-1,4),"n/a")</f>
        <v>n/a</v>
      </c>
      <c r="N73" s="119" t="str">
        <f>IFERROR(ROUND((1+N72)/(1+'Date macro-economice'!N$9)-1,4),"n/a")</f>
        <v>n/a</v>
      </c>
      <c r="O73" s="119" t="str">
        <f>IFERROR(ROUND((1+O72)/(1+'Date macro-economice'!O$9)-1,4),"n/a")</f>
        <v>n/a</v>
      </c>
      <c r="Q73" s="35"/>
    </row>
    <row r="74" spans="2:17" x14ac:dyDescent="0.3">
      <c r="B74" s="35"/>
      <c r="Q74" s="35"/>
    </row>
    <row r="75" spans="2:17" ht="8.1" customHeight="1" x14ac:dyDescent="0.3">
      <c r="B75" s="23"/>
      <c r="C75" s="23"/>
      <c r="D75" s="23"/>
      <c r="E75" s="23"/>
      <c r="F75" s="23"/>
      <c r="G75" s="23"/>
      <c r="H75" s="23"/>
      <c r="I75" s="23"/>
      <c r="J75" s="23"/>
      <c r="K75" s="23"/>
      <c r="L75" s="23"/>
      <c r="M75" s="23"/>
      <c r="N75" s="23"/>
      <c r="O75" s="23"/>
      <c r="P75" s="23"/>
      <c r="Q75" s="23"/>
    </row>
    <row r="77" spans="2:17" ht="8.1" customHeight="1" x14ac:dyDescent="0.3">
      <c r="B77" s="23"/>
      <c r="C77" s="23"/>
      <c r="D77" s="23"/>
      <c r="E77" s="23"/>
      <c r="F77" s="23"/>
      <c r="G77" s="23"/>
      <c r="H77" s="23"/>
      <c r="I77" s="23"/>
      <c r="J77" s="23"/>
      <c r="K77" s="23"/>
      <c r="L77" s="23"/>
      <c r="M77" s="23"/>
      <c r="N77" s="23"/>
      <c r="O77" s="23"/>
      <c r="P77" s="23"/>
      <c r="Q77" s="23"/>
    </row>
    <row r="78" spans="2:17" x14ac:dyDescent="0.3">
      <c r="B78" s="23"/>
      <c r="Q78" s="23"/>
    </row>
    <row r="79" spans="2:17" s="22" customFormat="1" ht="28.8" x14ac:dyDescent="0.3">
      <c r="B79" s="35"/>
      <c r="C79" s="86" t="str">
        <f>'Costuri operare'!C187</f>
        <v>ACTIVITATEA DE DISTRIBUTIE A APEI POTABILE</v>
      </c>
      <c r="D79" s="86"/>
      <c r="E79" s="94">
        <f>F79-1</f>
        <v>2022</v>
      </c>
      <c r="F79" s="94">
        <f>G79-1</f>
        <v>2023</v>
      </c>
      <c r="G79" s="95">
        <f>'Date generale'!$D$8</f>
        <v>2024</v>
      </c>
      <c r="H79" s="96">
        <f t="shared" ref="H79:O79" si="25">G79+1</f>
        <v>2025</v>
      </c>
      <c r="I79" s="96">
        <f t="shared" si="25"/>
        <v>2026</v>
      </c>
      <c r="J79" s="96">
        <f t="shared" si="25"/>
        <v>2027</v>
      </c>
      <c r="K79" s="96">
        <f t="shared" si="25"/>
        <v>2028</v>
      </c>
      <c r="L79" s="96">
        <f t="shared" si="25"/>
        <v>2029</v>
      </c>
      <c r="M79" s="96">
        <f t="shared" si="25"/>
        <v>2030</v>
      </c>
      <c r="N79" s="96">
        <f t="shared" si="25"/>
        <v>2031</v>
      </c>
      <c r="O79" s="96">
        <f t="shared" si="25"/>
        <v>2032</v>
      </c>
      <c r="Q79" s="35"/>
    </row>
    <row r="80" spans="2:17" x14ac:dyDescent="0.3">
      <c r="B80" s="23"/>
      <c r="C80" s="97"/>
      <c r="D80" s="97"/>
      <c r="E80" s="98">
        <f>F80-1</f>
        <v>-3</v>
      </c>
      <c r="F80" s="98">
        <f>G80-1</f>
        <v>-2</v>
      </c>
      <c r="G80" s="99">
        <v>-1</v>
      </c>
      <c r="H80" s="99">
        <v>0</v>
      </c>
      <c r="I80" s="99">
        <f t="shared" ref="I80:O80" si="26">H80+1</f>
        <v>1</v>
      </c>
      <c r="J80" s="99">
        <f t="shared" si="26"/>
        <v>2</v>
      </c>
      <c r="K80" s="99">
        <f t="shared" si="26"/>
        <v>3</v>
      </c>
      <c r="L80" s="99">
        <f t="shared" si="26"/>
        <v>4</v>
      </c>
      <c r="M80" s="99">
        <f t="shared" si="26"/>
        <v>5</v>
      </c>
      <c r="N80" s="99">
        <f t="shared" si="26"/>
        <v>6</v>
      </c>
      <c r="O80" s="99">
        <f t="shared" si="26"/>
        <v>7</v>
      </c>
      <c r="Q80" s="35"/>
    </row>
    <row r="81" spans="2:17" s="24" customFormat="1" x14ac:dyDescent="0.3">
      <c r="B81" s="61"/>
      <c r="C81" s="42"/>
      <c r="D81" s="51"/>
      <c r="E81" s="62"/>
      <c r="F81" s="62"/>
      <c r="G81" s="62"/>
      <c r="H81" s="62"/>
      <c r="I81" s="62"/>
      <c r="J81" s="62"/>
      <c r="K81" s="62"/>
      <c r="L81" s="62"/>
      <c r="M81" s="62"/>
      <c r="N81" s="62"/>
      <c r="O81" s="62"/>
      <c r="Q81" s="35"/>
    </row>
    <row r="82" spans="2:17" ht="28.8" x14ac:dyDescent="0.3">
      <c r="B82" s="23"/>
      <c r="C82" s="50" t="s">
        <v>324</v>
      </c>
      <c r="D82" s="43" t="s">
        <v>141</v>
      </c>
      <c r="E82" s="88"/>
      <c r="F82" s="88"/>
      <c r="G82" s="88">
        <f>'Costuri operare'!G201-'Costuri operare'!G197-'Costuri operare'!G198</f>
        <v>0</v>
      </c>
      <c r="H82" s="88">
        <f>'Costuri operare'!H201-'Costuri operare'!H197-'Costuri operare'!H198</f>
        <v>0</v>
      </c>
      <c r="I82" s="88">
        <f>'Costuri operare'!I201-'Costuri operare'!I197-'Costuri operare'!I198</f>
        <v>0</v>
      </c>
      <c r="J82" s="88">
        <f>'Costuri operare'!J201-'Costuri operare'!J197-'Costuri operare'!J198</f>
        <v>0</v>
      </c>
      <c r="K82" s="88">
        <f>'Costuri operare'!K201-'Costuri operare'!K197-'Costuri operare'!K198</f>
        <v>0</v>
      </c>
      <c r="L82" s="88">
        <f>'Costuri operare'!L201-'Costuri operare'!L197-'Costuri operare'!L198</f>
        <v>0</v>
      </c>
      <c r="M82" s="88">
        <f>'Costuri operare'!M201-'Costuri operare'!M197-'Costuri operare'!M198</f>
        <v>0</v>
      </c>
      <c r="N82" s="88">
        <f>'Costuri operare'!N201-'Costuri operare'!N197-'Costuri operare'!N198</f>
        <v>0</v>
      </c>
      <c r="O82" s="88">
        <f>'Costuri operare'!O201-'Costuri operare'!O197-'Costuri operare'!O198</f>
        <v>0</v>
      </c>
      <c r="Q82" s="35"/>
    </row>
    <row r="83" spans="2:17" s="22" customFormat="1" x14ac:dyDescent="0.3">
      <c r="B83" s="35"/>
      <c r="C83" s="50" t="s">
        <v>325</v>
      </c>
      <c r="D83" s="43" t="s">
        <v>141</v>
      </c>
      <c r="E83" s="88"/>
      <c r="F83" s="88"/>
      <c r="G83" s="88">
        <f>'Costuri operare'!G197+'Costuri operare'!G198</f>
        <v>0</v>
      </c>
      <c r="H83" s="88">
        <f>'Costuri operare'!H197+'Costuri operare'!H198</f>
        <v>0</v>
      </c>
      <c r="I83" s="88">
        <f>'Costuri operare'!I197+'Costuri operare'!I198</f>
        <v>0</v>
      </c>
      <c r="J83" s="88">
        <f>'Costuri operare'!J197+'Costuri operare'!J198</f>
        <v>0</v>
      </c>
      <c r="K83" s="88">
        <f>'Costuri operare'!K197+'Costuri operare'!K198</f>
        <v>0</v>
      </c>
      <c r="L83" s="88">
        <f>'Costuri operare'!L197+'Costuri operare'!L198</f>
        <v>0</v>
      </c>
      <c r="M83" s="88">
        <f>'Costuri operare'!M197+'Costuri operare'!M198</f>
        <v>0</v>
      </c>
      <c r="N83" s="88">
        <f>'Costuri operare'!N197+'Costuri operare'!N198</f>
        <v>0</v>
      </c>
      <c r="O83" s="88">
        <f>'Costuri operare'!O197+'Costuri operare'!O198</f>
        <v>0</v>
      </c>
      <c r="Q83" s="35"/>
    </row>
    <row r="84" spans="2:17" s="53" customFormat="1" x14ac:dyDescent="0.3">
      <c r="B84" s="63"/>
      <c r="C84" s="40" t="s">
        <v>326</v>
      </c>
      <c r="D84" s="43" t="s">
        <v>141</v>
      </c>
      <c r="E84" s="88"/>
      <c r="F84" s="88"/>
      <c r="G84" s="88">
        <f>(SUM(G82:G83)+G85)*'Date macro-economice'!$F$20</f>
        <v>0</v>
      </c>
      <c r="H84" s="88">
        <f>(SUM(H82:H83)+H85)*'Date macro-economice'!$F$20</f>
        <v>0</v>
      </c>
      <c r="I84" s="88">
        <f>(SUM(I82:I83)+I85)*'Date macro-economice'!$F$20</f>
        <v>0</v>
      </c>
      <c r="J84" s="88">
        <f>(SUM(J82:J83)+J85)*'Date macro-economice'!$F$20</f>
        <v>0</v>
      </c>
      <c r="K84" s="88">
        <f>(SUM(K82:K83)+K85)*'Date macro-economice'!$F$20</f>
        <v>0</v>
      </c>
      <c r="L84" s="88">
        <f>(SUM(L82:L83)+L85)*'Date macro-economice'!$F$20</f>
        <v>0</v>
      </c>
      <c r="M84" s="88">
        <f>(SUM(M82:M83)+M85)*'Date macro-economice'!$F$20</f>
        <v>0</v>
      </c>
      <c r="N84" s="88">
        <f>(SUM(N82:N83)+N85)*'Date macro-economice'!$F$20</f>
        <v>0</v>
      </c>
      <c r="O84" s="88">
        <f>(SUM(O82:O83)+O85)*'Date macro-economice'!$F$20</f>
        <v>0</v>
      </c>
      <c r="Q84" s="35"/>
    </row>
    <row r="85" spans="2:17" s="53" customFormat="1" x14ac:dyDescent="0.3">
      <c r="B85" s="63"/>
      <c r="C85" s="40" t="s">
        <v>327</v>
      </c>
      <c r="D85" s="43" t="s">
        <v>141</v>
      </c>
      <c r="E85" s="88"/>
      <c r="F85" s="88"/>
      <c r="G85" s="88">
        <f>'Investitii si finantare'!G151</f>
        <v>0</v>
      </c>
      <c r="H85" s="88">
        <f>'Investitii si finantare'!H151</f>
        <v>0</v>
      </c>
      <c r="I85" s="88">
        <f>'Investitii si finantare'!I151</f>
        <v>0</v>
      </c>
      <c r="J85" s="88">
        <f>'Investitii si finantare'!J151</f>
        <v>0</v>
      </c>
      <c r="K85" s="88">
        <f>'Investitii si finantare'!K151</f>
        <v>0</v>
      </c>
      <c r="L85" s="88">
        <f>'Investitii si finantare'!L151</f>
        <v>0</v>
      </c>
      <c r="M85" s="88">
        <f>'Investitii si finantare'!M151</f>
        <v>0</v>
      </c>
      <c r="N85" s="88">
        <f>'Investitii si finantare'!N151</f>
        <v>0</v>
      </c>
      <c r="O85" s="88">
        <f>'Investitii si finantare'!O151</f>
        <v>0</v>
      </c>
      <c r="Q85" s="35"/>
    </row>
    <row r="86" spans="2:17" s="22" customFormat="1" x14ac:dyDescent="0.3">
      <c r="B86" s="35"/>
      <c r="C86" s="40" t="s">
        <v>328</v>
      </c>
      <c r="D86" s="43" t="s">
        <v>141</v>
      </c>
      <c r="E86" s="88"/>
      <c r="F86" s="88"/>
      <c r="G86" s="88"/>
      <c r="H86" s="40">
        <f>SUM(H82:H83)*'Date macro-economice'!$F$21</f>
        <v>0</v>
      </c>
      <c r="I86" s="88">
        <f>SUM(I82:I83)*'Date macro-economice'!$F$21</f>
        <v>0</v>
      </c>
      <c r="J86" s="88">
        <f>SUM(J82:J83)*'Date macro-economice'!$F$21</f>
        <v>0</v>
      </c>
      <c r="K86" s="88">
        <f>SUM(K82:K83)*'Date macro-economice'!$F$21</f>
        <v>0</v>
      </c>
      <c r="L86" s="88">
        <f>SUM(L82:L83)*'Date macro-economice'!$F$21</f>
        <v>0</v>
      </c>
      <c r="M86" s="88">
        <f>SUM(M82:M83)*'Date macro-economice'!$F$21</f>
        <v>0</v>
      </c>
      <c r="N86" s="88">
        <f>SUM(N82:N83)*'Date macro-economice'!$F$21</f>
        <v>0</v>
      </c>
      <c r="O86" s="88">
        <f>SUM(O82:O83)*'Date macro-economice'!$F$21</f>
        <v>0</v>
      </c>
      <c r="Q86" s="35"/>
    </row>
    <row r="87" spans="2:17" s="22" customFormat="1" x14ac:dyDescent="0.3">
      <c r="B87" s="35"/>
      <c r="C87" s="42" t="s">
        <v>329</v>
      </c>
      <c r="D87" s="51" t="s">
        <v>141</v>
      </c>
      <c r="E87" s="62"/>
      <c r="F87" s="62"/>
      <c r="G87" s="62">
        <f t="shared" ref="G87:O87" si="27">SUM(G82:G86)</f>
        <v>0</v>
      </c>
      <c r="H87" s="62">
        <f t="shared" si="27"/>
        <v>0</v>
      </c>
      <c r="I87" s="62">
        <f t="shared" si="27"/>
        <v>0</v>
      </c>
      <c r="J87" s="62">
        <f t="shared" si="27"/>
        <v>0</v>
      </c>
      <c r="K87" s="62">
        <f t="shared" si="27"/>
        <v>0</v>
      </c>
      <c r="L87" s="62">
        <f t="shared" si="27"/>
        <v>0</v>
      </c>
      <c r="M87" s="62">
        <f t="shared" si="27"/>
        <v>0</v>
      </c>
      <c r="N87" s="62">
        <f t="shared" si="27"/>
        <v>0</v>
      </c>
      <c r="O87" s="62">
        <f t="shared" si="27"/>
        <v>0</v>
      </c>
      <c r="Q87" s="35"/>
    </row>
    <row r="88" spans="2:17" s="22" customFormat="1" x14ac:dyDescent="0.3">
      <c r="B88" s="35"/>
      <c r="C88" s="40" t="s">
        <v>330</v>
      </c>
      <c r="D88" s="43" t="s">
        <v>83</v>
      </c>
      <c r="E88" s="88"/>
      <c r="F88" s="88"/>
      <c r="G88" s="88">
        <f>Cererea!G64</f>
        <v>0</v>
      </c>
      <c r="H88" s="88">
        <f>Cererea!H64</f>
        <v>0</v>
      </c>
      <c r="I88" s="88">
        <f>Cererea!I64</f>
        <v>0</v>
      </c>
      <c r="J88" s="88">
        <f>Cererea!J64</f>
        <v>0</v>
      </c>
      <c r="K88" s="88">
        <f>Cererea!K64</f>
        <v>0</v>
      </c>
      <c r="L88" s="88">
        <f>Cererea!L64</f>
        <v>0</v>
      </c>
      <c r="M88" s="88">
        <f>Cererea!M64</f>
        <v>0</v>
      </c>
      <c r="N88" s="88">
        <f>Cererea!N64</f>
        <v>0</v>
      </c>
      <c r="O88" s="88">
        <f>Cererea!O64</f>
        <v>0</v>
      </c>
      <c r="Q88" s="35"/>
    </row>
    <row r="89" spans="2:17" s="22" customFormat="1" x14ac:dyDescent="0.3">
      <c r="B89" s="35"/>
      <c r="C89" s="42" t="s">
        <v>331</v>
      </c>
      <c r="D89" s="51" t="s">
        <v>36</v>
      </c>
      <c r="E89" s="62"/>
      <c r="F89" s="62"/>
      <c r="G89" s="103">
        <f>'Date de context'!E29</f>
        <v>0</v>
      </c>
      <c r="H89" s="104" t="str">
        <f>IFERROR(H87/H88,"n/a")</f>
        <v>n/a</v>
      </c>
      <c r="I89" s="104" t="str">
        <f t="shared" ref="I89:O89" si="28">IFERROR(I87/I88,"n/a")</f>
        <v>n/a</v>
      </c>
      <c r="J89" s="117" t="str">
        <f t="shared" si="28"/>
        <v>n/a</v>
      </c>
      <c r="K89" s="117" t="str">
        <f t="shared" si="28"/>
        <v>n/a</v>
      </c>
      <c r="L89" s="117" t="str">
        <f t="shared" si="28"/>
        <v>n/a</v>
      </c>
      <c r="M89" s="117" t="str">
        <f t="shared" si="28"/>
        <v>n/a</v>
      </c>
      <c r="N89" s="117" t="str">
        <f t="shared" si="28"/>
        <v>n/a</v>
      </c>
      <c r="O89" s="117" t="str">
        <f t="shared" si="28"/>
        <v>n/a</v>
      </c>
      <c r="Q89" s="35"/>
    </row>
    <row r="90" spans="2:17" s="22" customFormat="1" x14ac:dyDescent="0.3">
      <c r="B90" s="35"/>
      <c r="C90" s="42" t="s">
        <v>332</v>
      </c>
      <c r="D90" s="51" t="s">
        <v>47</v>
      </c>
      <c r="E90" s="88"/>
      <c r="F90" s="88"/>
      <c r="G90" s="105"/>
      <c r="H90" s="106" t="str">
        <f>IFERROR(H89/G89-1,"n/a")</f>
        <v>n/a</v>
      </c>
      <c r="I90" s="106" t="str">
        <f t="shared" ref="I90:O90" si="29">IFERROR(I89/H89-1,"n/a")</f>
        <v>n/a</v>
      </c>
      <c r="J90" s="118" t="str">
        <f t="shared" si="29"/>
        <v>n/a</v>
      </c>
      <c r="K90" s="118" t="str">
        <f t="shared" si="29"/>
        <v>n/a</v>
      </c>
      <c r="L90" s="118" t="str">
        <f t="shared" si="29"/>
        <v>n/a</v>
      </c>
      <c r="M90" s="118" t="str">
        <f t="shared" si="29"/>
        <v>n/a</v>
      </c>
      <c r="N90" s="118" t="str">
        <f t="shared" si="29"/>
        <v>n/a</v>
      </c>
      <c r="O90" s="118" t="str">
        <f t="shared" si="29"/>
        <v>n/a</v>
      </c>
      <c r="Q90" s="35"/>
    </row>
    <row r="91" spans="2:17" s="22" customFormat="1" x14ac:dyDescent="0.3">
      <c r="B91" s="35"/>
      <c r="C91" s="107" t="s">
        <v>333</v>
      </c>
      <c r="D91" s="46" t="s">
        <v>47</v>
      </c>
      <c r="E91" s="108"/>
      <c r="F91" s="108"/>
      <c r="G91" s="109"/>
      <c r="H91" s="110" t="str">
        <f>IFERROR(ROUND((1+H90)/(1+'Date macro-economice'!H$9)-1,4),"n/a")</f>
        <v>n/a</v>
      </c>
      <c r="I91" s="110" t="str">
        <f>IFERROR(ROUND((1+I90)/(1+'Date macro-economice'!I$9)-1,4),"n/a")</f>
        <v>n/a</v>
      </c>
      <c r="J91" s="119" t="str">
        <f>IFERROR(ROUND((1+J90)/(1+'Date macro-economice'!J$9)-1,4),"n/a")</f>
        <v>n/a</v>
      </c>
      <c r="K91" s="119" t="str">
        <f>IFERROR(ROUND((1+K90)/(1+'Date macro-economice'!K$9)-1,4),"n/a")</f>
        <v>n/a</v>
      </c>
      <c r="L91" s="119" t="str">
        <f>IFERROR(ROUND((1+L90)/(1+'Date macro-economice'!L$9)-1,4),"n/a")</f>
        <v>n/a</v>
      </c>
      <c r="M91" s="119" t="str">
        <f>IFERROR(ROUND((1+M90)/(1+'Date macro-economice'!M$9)-1,4),"n/a")</f>
        <v>n/a</v>
      </c>
      <c r="N91" s="119" t="str">
        <f>IFERROR(ROUND((1+N90)/(1+'Date macro-economice'!N$9)-1,4),"n/a")</f>
        <v>n/a</v>
      </c>
      <c r="O91" s="119" t="str">
        <f>IFERROR(ROUND((1+O90)/(1+'Date macro-economice'!O$9)-1,4),"n/a")</f>
        <v>n/a</v>
      </c>
      <c r="Q91" s="35"/>
    </row>
    <row r="92" spans="2:17" x14ac:dyDescent="0.3">
      <c r="B92" s="35"/>
      <c r="Q92" s="35"/>
    </row>
    <row r="93" spans="2:17" ht="8.1" customHeight="1" x14ac:dyDescent="0.3">
      <c r="B93" s="23"/>
      <c r="C93" s="23"/>
      <c r="D93" s="23"/>
      <c r="E93" s="23"/>
      <c r="F93" s="23"/>
      <c r="G93" s="23"/>
      <c r="H93" s="23"/>
      <c r="I93" s="23"/>
      <c r="J93" s="23"/>
      <c r="K93" s="23"/>
      <c r="L93" s="23"/>
      <c r="M93" s="23"/>
      <c r="N93" s="23"/>
      <c r="O93" s="23"/>
      <c r="P93" s="23"/>
      <c r="Q93" s="23"/>
    </row>
    <row r="95" spans="2:17" ht="8.1" customHeight="1" x14ac:dyDescent="0.3">
      <c r="B95" s="23"/>
      <c r="C95" s="23"/>
      <c r="D95" s="23"/>
      <c r="E95" s="23"/>
      <c r="F95" s="23"/>
      <c r="G95" s="23"/>
      <c r="H95" s="23"/>
      <c r="I95" s="23"/>
      <c r="J95" s="23"/>
      <c r="K95" s="23"/>
      <c r="L95" s="23"/>
      <c r="M95" s="23"/>
      <c r="N95" s="23"/>
      <c r="O95" s="23"/>
      <c r="P95" s="23"/>
      <c r="Q95" s="23"/>
    </row>
    <row r="96" spans="2:17" x14ac:dyDescent="0.3">
      <c r="B96" s="23"/>
      <c r="Q96" s="23"/>
    </row>
    <row r="97" spans="2:17" s="22" customFormat="1" x14ac:dyDescent="0.3">
      <c r="B97" s="35"/>
      <c r="C97" s="86" t="str">
        <f>'Costuri operare'!C249</f>
        <v>ACTIVITATEA DE APA INDUSTRIALA</v>
      </c>
      <c r="D97" s="86"/>
      <c r="E97" s="94">
        <f>F97-1</f>
        <v>2022</v>
      </c>
      <c r="F97" s="94">
        <f>G97-1</f>
        <v>2023</v>
      </c>
      <c r="G97" s="95">
        <f>'Date generale'!$D$8</f>
        <v>2024</v>
      </c>
      <c r="H97" s="96">
        <f t="shared" ref="H97:O97" si="30">G97+1</f>
        <v>2025</v>
      </c>
      <c r="I97" s="96">
        <f t="shared" si="30"/>
        <v>2026</v>
      </c>
      <c r="J97" s="96">
        <f t="shared" si="30"/>
        <v>2027</v>
      </c>
      <c r="K97" s="96">
        <f t="shared" si="30"/>
        <v>2028</v>
      </c>
      <c r="L97" s="96">
        <f t="shared" si="30"/>
        <v>2029</v>
      </c>
      <c r="M97" s="96">
        <f t="shared" si="30"/>
        <v>2030</v>
      </c>
      <c r="N97" s="96">
        <f t="shared" si="30"/>
        <v>2031</v>
      </c>
      <c r="O97" s="96">
        <f t="shared" si="30"/>
        <v>2032</v>
      </c>
      <c r="Q97" s="35"/>
    </row>
    <row r="98" spans="2:17" x14ac:dyDescent="0.3">
      <c r="B98" s="23"/>
      <c r="C98" s="97"/>
      <c r="D98" s="97"/>
      <c r="E98" s="98">
        <f>F98-1</f>
        <v>-3</v>
      </c>
      <c r="F98" s="98">
        <f>G98-1</f>
        <v>-2</v>
      </c>
      <c r="G98" s="99">
        <v>-1</v>
      </c>
      <c r="H98" s="99">
        <v>0</v>
      </c>
      <c r="I98" s="99">
        <f t="shared" ref="I98:O98" si="31">H98+1</f>
        <v>1</v>
      </c>
      <c r="J98" s="99">
        <f t="shared" si="31"/>
        <v>2</v>
      </c>
      <c r="K98" s="99">
        <f t="shared" si="31"/>
        <v>3</v>
      </c>
      <c r="L98" s="99">
        <f t="shared" si="31"/>
        <v>4</v>
      </c>
      <c r="M98" s="99">
        <f t="shared" si="31"/>
        <v>5</v>
      </c>
      <c r="N98" s="99">
        <f t="shared" si="31"/>
        <v>6</v>
      </c>
      <c r="O98" s="99">
        <f t="shared" si="31"/>
        <v>7</v>
      </c>
      <c r="Q98" s="35"/>
    </row>
    <row r="99" spans="2:17" s="24" customFormat="1" x14ac:dyDescent="0.3">
      <c r="B99" s="61"/>
      <c r="C99" s="42"/>
      <c r="D99" s="51"/>
      <c r="E99" s="62"/>
      <c r="F99" s="62"/>
      <c r="G99" s="62"/>
      <c r="H99" s="62"/>
      <c r="I99" s="62"/>
      <c r="J99" s="62"/>
      <c r="K99" s="62"/>
      <c r="L99" s="62"/>
      <c r="M99" s="62"/>
      <c r="N99" s="62"/>
      <c r="O99" s="62"/>
      <c r="Q99" s="35"/>
    </row>
    <row r="100" spans="2:17" ht="28.8" x14ac:dyDescent="0.3">
      <c r="B100" s="23"/>
      <c r="C100" s="50" t="s">
        <v>324</v>
      </c>
      <c r="D100" s="43" t="s">
        <v>141</v>
      </c>
      <c r="E100" s="88"/>
      <c r="F100" s="88"/>
      <c r="G100" s="88">
        <f>'Costuri operare'!G263-'Costuri operare'!G259-'Costuri operare'!G260</f>
        <v>0</v>
      </c>
      <c r="H100" s="88">
        <f>'Costuri operare'!H263-'Costuri operare'!H259-'Costuri operare'!H260</f>
        <v>0</v>
      </c>
      <c r="I100" s="88">
        <f>'Costuri operare'!I263-'Costuri operare'!I259-'Costuri operare'!I260</f>
        <v>0</v>
      </c>
      <c r="J100" s="88">
        <f>'Costuri operare'!J263-'Costuri operare'!J259-'Costuri operare'!J260</f>
        <v>0</v>
      </c>
      <c r="K100" s="88">
        <f>'Costuri operare'!K263-'Costuri operare'!K259-'Costuri operare'!K260</f>
        <v>0</v>
      </c>
      <c r="L100" s="88">
        <f>'Costuri operare'!L263-'Costuri operare'!L259-'Costuri operare'!L260</f>
        <v>0</v>
      </c>
      <c r="M100" s="88">
        <f>'Costuri operare'!M263-'Costuri operare'!M259-'Costuri operare'!M260</f>
        <v>0</v>
      </c>
      <c r="N100" s="88">
        <f>'Costuri operare'!N263-'Costuri operare'!N259-'Costuri operare'!N260</f>
        <v>0</v>
      </c>
      <c r="O100" s="88">
        <f>'Costuri operare'!O263-'Costuri operare'!O259-'Costuri operare'!O260</f>
        <v>0</v>
      </c>
      <c r="Q100" s="35"/>
    </row>
    <row r="101" spans="2:17" s="22" customFormat="1" x14ac:dyDescent="0.3">
      <c r="B101" s="35"/>
      <c r="C101" s="50" t="s">
        <v>325</v>
      </c>
      <c r="D101" s="43" t="s">
        <v>141</v>
      </c>
      <c r="E101" s="88"/>
      <c r="F101" s="88"/>
      <c r="G101" s="88">
        <f>'Costuri operare'!G259+'Costuri operare'!G260</f>
        <v>0</v>
      </c>
      <c r="H101" s="88">
        <f>'Costuri operare'!H259+'Costuri operare'!H260</f>
        <v>0</v>
      </c>
      <c r="I101" s="88">
        <f>'Costuri operare'!I259+'Costuri operare'!I260</f>
        <v>0</v>
      </c>
      <c r="J101" s="88">
        <f>'Costuri operare'!J259+'Costuri operare'!J260</f>
        <v>0</v>
      </c>
      <c r="K101" s="88">
        <f>'Costuri operare'!K259+'Costuri operare'!K260</f>
        <v>0</v>
      </c>
      <c r="L101" s="88">
        <f>'Costuri operare'!L259+'Costuri operare'!L260</f>
        <v>0</v>
      </c>
      <c r="M101" s="88">
        <f>'Costuri operare'!M259+'Costuri operare'!M260</f>
        <v>0</v>
      </c>
      <c r="N101" s="88">
        <f>'Costuri operare'!N259+'Costuri operare'!N260</f>
        <v>0</v>
      </c>
      <c r="O101" s="88">
        <f>'Costuri operare'!O259+'Costuri operare'!O260</f>
        <v>0</v>
      </c>
      <c r="Q101" s="35"/>
    </row>
    <row r="102" spans="2:17" s="53" customFormat="1" x14ac:dyDescent="0.3">
      <c r="B102" s="63"/>
      <c r="C102" s="40" t="s">
        <v>326</v>
      </c>
      <c r="D102" s="43" t="s">
        <v>141</v>
      </c>
      <c r="E102" s="88"/>
      <c r="F102" s="88"/>
      <c r="G102" s="88">
        <f>(SUM(G100:G101)+G103)*'Date macro-economice'!$F$20</f>
        <v>0</v>
      </c>
      <c r="H102" s="88">
        <f>(SUM(H100:H101)+H103)*'Date macro-economice'!$F$20</f>
        <v>0</v>
      </c>
      <c r="I102" s="88">
        <f>(SUM(I100:I101)+I103)*'Date macro-economice'!$F$20</f>
        <v>0</v>
      </c>
      <c r="J102" s="88">
        <f>(SUM(J100:J101)+J103)*'Date macro-economice'!$F$20</f>
        <v>0</v>
      </c>
      <c r="K102" s="88">
        <f>(SUM(K100:K101)+K103)*'Date macro-economice'!$F$20</f>
        <v>0</v>
      </c>
      <c r="L102" s="88">
        <f>(SUM(L100:L101)+L103)*'Date macro-economice'!$F$20</f>
        <v>0</v>
      </c>
      <c r="M102" s="88">
        <f>(SUM(M100:M101)+M103)*'Date macro-economice'!$F$20</f>
        <v>0</v>
      </c>
      <c r="N102" s="88">
        <f>(SUM(N100:N101)+N103)*'Date macro-economice'!$F$20</f>
        <v>0</v>
      </c>
      <c r="O102" s="88">
        <f>(SUM(O100:O101)+O103)*'Date macro-economice'!$F$20</f>
        <v>0</v>
      </c>
      <c r="Q102" s="35"/>
    </row>
    <row r="103" spans="2:17" s="53" customFormat="1" x14ac:dyDescent="0.3">
      <c r="B103" s="63"/>
      <c r="C103" s="40" t="s">
        <v>327</v>
      </c>
      <c r="D103" s="43" t="s">
        <v>141</v>
      </c>
      <c r="E103" s="88"/>
      <c r="F103" s="88"/>
      <c r="G103" s="88">
        <f>'Investitii si finantare'!G152</f>
        <v>0</v>
      </c>
      <c r="H103" s="88">
        <f>'Investitii si finantare'!H152</f>
        <v>0</v>
      </c>
      <c r="I103" s="88">
        <f>'Investitii si finantare'!I152</f>
        <v>0</v>
      </c>
      <c r="J103" s="88">
        <f>'Investitii si finantare'!J152</f>
        <v>0</v>
      </c>
      <c r="K103" s="88">
        <f>'Investitii si finantare'!K152</f>
        <v>0</v>
      </c>
      <c r="L103" s="88">
        <f>'Investitii si finantare'!L152</f>
        <v>0</v>
      </c>
      <c r="M103" s="88">
        <f>'Investitii si finantare'!M152</f>
        <v>0</v>
      </c>
      <c r="N103" s="88">
        <f>'Investitii si finantare'!N152</f>
        <v>0</v>
      </c>
      <c r="O103" s="88">
        <f>'Investitii si finantare'!O152</f>
        <v>0</v>
      </c>
      <c r="Q103" s="35"/>
    </row>
    <row r="104" spans="2:17" s="22" customFormat="1" x14ac:dyDescent="0.3">
      <c r="B104" s="35"/>
      <c r="C104" s="40" t="s">
        <v>328</v>
      </c>
      <c r="D104" s="43" t="s">
        <v>141</v>
      </c>
      <c r="E104" s="88"/>
      <c r="F104" s="88"/>
      <c r="G104" s="88"/>
      <c r="H104" s="40">
        <f>SUM(H100:H101)*'Date macro-economice'!$F$21</f>
        <v>0</v>
      </c>
      <c r="I104" s="88">
        <f>SUM(I100:I101)*'Date macro-economice'!$F$21</f>
        <v>0</v>
      </c>
      <c r="J104" s="88">
        <f>SUM(J100:J101)*'Date macro-economice'!$F$21</f>
        <v>0</v>
      </c>
      <c r="K104" s="88">
        <f>SUM(K100:K101)*'Date macro-economice'!$F$21</f>
        <v>0</v>
      </c>
      <c r="L104" s="88">
        <f>SUM(L100:L101)*'Date macro-economice'!$F$21</f>
        <v>0</v>
      </c>
      <c r="M104" s="88">
        <f>SUM(M100:M101)*'Date macro-economice'!$F$21</f>
        <v>0</v>
      </c>
      <c r="N104" s="88">
        <f>SUM(N100:N101)*'Date macro-economice'!$F$21</f>
        <v>0</v>
      </c>
      <c r="O104" s="88">
        <f>SUM(O100:O101)*'Date macro-economice'!$F$21</f>
        <v>0</v>
      </c>
      <c r="Q104" s="35"/>
    </row>
    <row r="105" spans="2:17" s="22" customFormat="1" x14ac:dyDescent="0.3">
      <c r="B105" s="35"/>
      <c r="C105" s="42" t="s">
        <v>329</v>
      </c>
      <c r="D105" s="51" t="s">
        <v>141</v>
      </c>
      <c r="E105" s="62"/>
      <c r="F105" s="62"/>
      <c r="G105" s="62">
        <f t="shared" ref="G105:O105" si="32">SUM(G100:G104)</f>
        <v>0</v>
      </c>
      <c r="H105" s="62">
        <f t="shared" si="32"/>
        <v>0</v>
      </c>
      <c r="I105" s="62">
        <f t="shared" si="32"/>
        <v>0</v>
      </c>
      <c r="J105" s="62">
        <f t="shared" si="32"/>
        <v>0</v>
      </c>
      <c r="K105" s="62">
        <f t="shared" si="32"/>
        <v>0</v>
      </c>
      <c r="L105" s="62">
        <f t="shared" si="32"/>
        <v>0</v>
      </c>
      <c r="M105" s="62">
        <f t="shared" si="32"/>
        <v>0</v>
      </c>
      <c r="N105" s="62">
        <f t="shared" si="32"/>
        <v>0</v>
      </c>
      <c r="O105" s="62">
        <f t="shared" si="32"/>
        <v>0</v>
      </c>
      <c r="Q105" s="35"/>
    </row>
    <row r="106" spans="2:17" s="22" customFormat="1" x14ac:dyDescent="0.3">
      <c r="B106" s="35"/>
      <c r="C106" s="40" t="s">
        <v>330</v>
      </c>
      <c r="D106" s="43" t="s">
        <v>83</v>
      </c>
      <c r="E106" s="88"/>
      <c r="F106" s="88"/>
      <c r="G106" s="88">
        <f>Cererea!G66</f>
        <v>0</v>
      </c>
      <c r="H106" s="88">
        <f>Cererea!H66</f>
        <v>0</v>
      </c>
      <c r="I106" s="88">
        <f>Cererea!I66</f>
        <v>0</v>
      </c>
      <c r="J106" s="88">
        <f>Cererea!J66</f>
        <v>0</v>
      </c>
      <c r="K106" s="88">
        <f>Cererea!K66</f>
        <v>0</v>
      </c>
      <c r="L106" s="88">
        <f>Cererea!L66</f>
        <v>0</v>
      </c>
      <c r="M106" s="88">
        <f>Cererea!M66</f>
        <v>0</v>
      </c>
      <c r="N106" s="88">
        <f>Cererea!N66</f>
        <v>0</v>
      </c>
      <c r="O106" s="88">
        <f>Cererea!O66</f>
        <v>0</v>
      </c>
      <c r="Q106" s="35"/>
    </row>
    <row r="107" spans="2:17" s="22" customFormat="1" x14ac:dyDescent="0.3">
      <c r="B107" s="35"/>
      <c r="C107" s="42" t="s">
        <v>331</v>
      </c>
      <c r="D107" s="51" t="s">
        <v>36</v>
      </c>
      <c r="E107" s="62"/>
      <c r="F107" s="62"/>
      <c r="G107" s="103">
        <f>'Date de context'!E30</f>
        <v>0</v>
      </c>
      <c r="H107" s="104" t="str">
        <f>IFERROR(H105/H106,"n/a")</f>
        <v>n/a</v>
      </c>
      <c r="I107" s="104" t="str">
        <f t="shared" ref="I107:O107" si="33">IFERROR(I105/I106,"n/a")</f>
        <v>n/a</v>
      </c>
      <c r="J107" s="117" t="str">
        <f t="shared" si="33"/>
        <v>n/a</v>
      </c>
      <c r="K107" s="117" t="str">
        <f t="shared" si="33"/>
        <v>n/a</v>
      </c>
      <c r="L107" s="117" t="str">
        <f t="shared" si="33"/>
        <v>n/a</v>
      </c>
      <c r="M107" s="117" t="str">
        <f t="shared" si="33"/>
        <v>n/a</v>
      </c>
      <c r="N107" s="117" t="str">
        <f t="shared" si="33"/>
        <v>n/a</v>
      </c>
      <c r="O107" s="117" t="str">
        <f t="shared" si="33"/>
        <v>n/a</v>
      </c>
      <c r="Q107" s="35"/>
    </row>
    <row r="108" spans="2:17" s="22" customFormat="1" x14ac:dyDescent="0.3">
      <c r="B108" s="35"/>
      <c r="C108" s="42" t="s">
        <v>332</v>
      </c>
      <c r="D108" s="51" t="s">
        <v>47</v>
      </c>
      <c r="E108" s="88"/>
      <c r="F108" s="88"/>
      <c r="G108" s="105"/>
      <c r="H108" s="106" t="str">
        <f>IFERROR(H107/G107-1,"n/a")</f>
        <v>n/a</v>
      </c>
      <c r="I108" s="106" t="str">
        <f t="shared" ref="I108:O108" si="34">IFERROR(I107/H107-1,"n/a")</f>
        <v>n/a</v>
      </c>
      <c r="J108" s="118" t="str">
        <f t="shared" si="34"/>
        <v>n/a</v>
      </c>
      <c r="K108" s="118" t="str">
        <f t="shared" si="34"/>
        <v>n/a</v>
      </c>
      <c r="L108" s="118" t="str">
        <f t="shared" si="34"/>
        <v>n/a</v>
      </c>
      <c r="M108" s="118" t="str">
        <f t="shared" si="34"/>
        <v>n/a</v>
      </c>
      <c r="N108" s="118" t="str">
        <f t="shared" si="34"/>
        <v>n/a</v>
      </c>
      <c r="O108" s="118" t="str">
        <f t="shared" si="34"/>
        <v>n/a</v>
      </c>
      <c r="Q108" s="35"/>
    </row>
    <row r="109" spans="2:17" s="22" customFormat="1" x14ac:dyDescent="0.3">
      <c r="B109" s="35"/>
      <c r="C109" s="107" t="s">
        <v>333</v>
      </c>
      <c r="D109" s="46" t="s">
        <v>47</v>
      </c>
      <c r="E109" s="108"/>
      <c r="F109" s="108"/>
      <c r="G109" s="109"/>
      <c r="H109" s="110" t="str">
        <f>IFERROR(ROUND((1+H108)/(1+'Date macro-economice'!H$9)-1,4),"n/a")</f>
        <v>n/a</v>
      </c>
      <c r="I109" s="110" t="str">
        <f>IFERROR(ROUND((1+I108)/(1+'Date macro-economice'!I$9)-1,4),"n/a")</f>
        <v>n/a</v>
      </c>
      <c r="J109" s="119" t="str">
        <f>IFERROR(ROUND((1+J108)/(1+'Date macro-economice'!J$9)-1,4),"n/a")</f>
        <v>n/a</v>
      </c>
      <c r="K109" s="119" t="str">
        <f>IFERROR(ROUND((1+K108)/(1+'Date macro-economice'!K$9)-1,4),"n/a")</f>
        <v>n/a</v>
      </c>
      <c r="L109" s="119" t="str">
        <f>IFERROR(ROUND((1+L108)/(1+'Date macro-economice'!L$9)-1,4),"n/a")</f>
        <v>n/a</v>
      </c>
      <c r="M109" s="119" t="str">
        <f>IFERROR(ROUND((1+M108)/(1+'Date macro-economice'!M$9)-1,4),"n/a")</f>
        <v>n/a</v>
      </c>
      <c r="N109" s="119" t="str">
        <f>IFERROR(ROUND((1+N108)/(1+'Date macro-economice'!N$9)-1,4),"n/a")</f>
        <v>n/a</v>
      </c>
      <c r="O109" s="119" t="str">
        <f>IFERROR(ROUND((1+O108)/(1+'Date macro-economice'!O$9)-1,4),"n/a")</f>
        <v>n/a</v>
      </c>
      <c r="Q109" s="35"/>
    </row>
    <row r="110" spans="2:17" x14ac:dyDescent="0.3">
      <c r="B110" s="35"/>
      <c r="Q110" s="35"/>
    </row>
    <row r="111" spans="2:17" ht="8.1" customHeight="1" x14ac:dyDescent="0.3">
      <c r="B111" s="23"/>
      <c r="C111" s="23"/>
      <c r="D111" s="23"/>
      <c r="E111" s="23"/>
      <c r="F111" s="23"/>
      <c r="G111" s="23"/>
      <c r="H111" s="23"/>
      <c r="I111" s="23"/>
      <c r="J111" s="23"/>
      <c r="K111" s="23"/>
      <c r="L111" s="23"/>
      <c r="M111" s="23"/>
      <c r="N111" s="23"/>
      <c r="O111" s="23"/>
      <c r="P111" s="23"/>
      <c r="Q111" s="23"/>
    </row>
    <row r="113" spans="2:17" ht="8.1" customHeight="1" x14ac:dyDescent="0.3">
      <c r="B113" s="23"/>
      <c r="C113" s="23"/>
      <c r="D113" s="23"/>
      <c r="E113" s="23"/>
      <c r="F113" s="23"/>
      <c r="G113" s="23"/>
      <c r="H113" s="23"/>
      <c r="I113" s="23"/>
      <c r="J113" s="23"/>
      <c r="K113" s="23"/>
      <c r="L113" s="23"/>
      <c r="M113" s="23"/>
      <c r="N113" s="23"/>
      <c r="O113" s="23"/>
      <c r="P113" s="23"/>
      <c r="Q113" s="23"/>
    </row>
    <row r="114" spans="2:17" x14ac:dyDescent="0.3">
      <c r="B114" s="23"/>
      <c r="Q114" s="23"/>
    </row>
    <row r="115" spans="2:17" s="22" customFormat="1" ht="89.25" customHeight="1" x14ac:dyDescent="0.3">
      <c r="B115" s="35"/>
      <c r="C115" s="89" t="str">
        <f>'Costuri operare'!C311</f>
        <v>ACTIVITATEA DE TRANSPORT SI EPURARE A APELOR UZATE PRELUATE DIN ALTE SISTEME DE OPERARE</v>
      </c>
      <c r="D115" s="89"/>
      <c r="E115" s="111">
        <f>F115-1</f>
        <v>2022</v>
      </c>
      <c r="F115" s="111">
        <f>G115-1</f>
        <v>2023</v>
      </c>
      <c r="G115" s="112">
        <f>'Date generale'!$D$8</f>
        <v>2024</v>
      </c>
      <c r="H115" s="113">
        <f t="shared" ref="H115:O115" si="35">G115+1</f>
        <v>2025</v>
      </c>
      <c r="I115" s="113">
        <f t="shared" si="35"/>
        <v>2026</v>
      </c>
      <c r="J115" s="113">
        <f t="shared" si="35"/>
        <v>2027</v>
      </c>
      <c r="K115" s="113">
        <f t="shared" si="35"/>
        <v>2028</v>
      </c>
      <c r="L115" s="113">
        <f t="shared" si="35"/>
        <v>2029</v>
      </c>
      <c r="M115" s="113">
        <f t="shared" si="35"/>
        <v>2030</v>
      </c>
      <c r="N115" s="113">
        <f t="shared" si="35"/>
        <v>2031</v>
      </c>
      <c r="O115" s="113">
        <f t="shared" si="35"/>
        <v>2032</v>
      </c>
      <c r="Q115" s="35"/>
    </row>
    <row r="116" spans="2:17" x14ac:dyDescent="0.3">
      <c r="B116" s="23"/>
      <c r="C116" s="114"/>
      <c r="D116" s="114"/>
      <c r="E116" s="115">
        <f>F116-1</f>
        <v>-3</v>
      </c>
      <c r="F116" s="115">
        <f>G116-1</f>
        <v>-2</v>
      </c>
      <c r="G116" s="116">
        <v>-1</v>
      </c>
      <c r="H116" s="116">
        <v>0</v>
      </c>
      <c r="I116" s="116">
        <f t="shared" ref="I116:O116" si="36">H116+1</f>
        <v>1</v>
      </c>
      <c r="J116" s="116">
        <f t="shared" si="36"/>
        <v>2</v>
      </c>
      <c r="K116" s="116">
        <f t="shared" si="36"/>
        <v>3</v>
      </c>
      <c r="L116" s="116">
        <f t="shared" si="36"/>
        <v>4</v>
      </c>
      <c r="M116" s="116">
        <f t="shared" si="36"/>
        <v>5</v>
      </c>
      <c r="N116" s="116">
        <f t="shared" si="36"/>
        <v>6</v>
      </c>
      <c r="O116" s="116">
        <f t="shared" si="36"/>
        <v>7</v>
      </c>
      <c r="Q116" s="35"/>
    </row>
    <row r="117" spans="2:17" s="24" customFormat="1" x14ac:dyDescent="0.3">
      <c r="B117" s="61"/>
      <c r="C117" s="42"/>
      <c r="D117" s="51"/>
      <c r="E117" s="62"/>
      <c r="F117" s="62"/>
      <c r="G117" s="62"/>
      <c r="H117" s="62"/>
      <c r="I117" s="62"/>
      <c r="J117" s="62"/>
      <c r="K117" s="62"/>
      <c r="L117" s="62"/>
      <c r="M117" s="62"/>
      <c r="N117" s="62"/>
      <c r="O117" s="62"/>
      <c r="Q117" s="35"/>
    </row>
    <row r="118" spans="2:17" ht="28.8" x14ac:dyDescent="0.3">
      <c r="B118" s="23"/>
      <c r="C118" s="50" t="s">
        <v>324</v>
      </c>
      <c r="D118" s="43" t="s">
        <v>141</v>
      </c>
      <c r="E118" s="88"/>
      <c r="F118" s="88"/>
      <c r="G118" s="88">
        <f>'Costuri operare'!G324-'Costuri operare'!G320-'Costuri operare'!G319</f>
        <v>0</v>
      </c>
      <c r="H118" s="88">
        <f>'Costuri operare'!H324-'Costuri operare'!H320-'Costuri operare'!H319</f>
        <v>0</v>
      </c>
      <c r="I118" s="88">
        <f>'Costuri operare'!I324-'Costuri operare'!I320-'Costuri operare'!I319</f>
        <v>0</v>
      </c>
      <c r="J118" s="88">
        <f>'Costuri operare'!J324-'Costuri operare'!J320-'Costuri operare'!J319</f>
        <v>0</v>
      </c>
      <c r="K118" s="88">
        <f>'Costuri operare'!K324-'Costuri operare'!K320-'Costuri operare'!K319</f>
        <v>0</v>
      </c>
      <c r="L118" s="88">
        <f>'Costuri operare'!L324-'Costuri operare'!L320-'Costuri operare'!L319</f>
        <v>0</v>
      </c>
      <c r="M118" s="88">
        <f>'Costuri operare'!M324-'Costuri operare'!M320-'Costuri operare'!M319</f>
        <v>0</v>
      </c>
      <c r="N118" s="88">
        <f>'Costuri operare'!N324-'Costuri operare'!N320-'Costuri operare'!N319</f>
        <v>0</v>
      </c>
      <c r="O118" s="88">
        <f>'Costuri operare'!O324-'Costuri operare'!O320-'Costuri operare'!O319</f>
        <v>0</v>
      </c>
      <c r="Q118" s="35"/>
    </row>
    <row r="119" spans="2:17" s="22" customFormat="1" x14ac:dyDescent="0.3">
      <c r="B119" s="35"/>
      <c r="C119" s="50" t="s">
        <v>325</v>
      </c>
      <c r="D119" s="43" t="s">
        <v>141</v>
      </c>
      <c r="E119" s="88"/>
      <c r="F119" s="88"/>
      <c r="G119" s="88">
        <f>'Costuri operare'!G319+'Costuri operare'!G320</f>
        <v>0</v>
      </c>
      <c r="H119" s="88">
        <f>'Costuri operare'!H319+'Costuri operare'!H320</f>
        <v>0</v>
      </c>
      <c r="I119" s="88">
        <f>'Costuri operare'!I319+'Costuri operare'!I320</f>
        <v>0</v>
      </c>
      <c r="J119" s="88">
        <f>'Costuri operare'!J319+'Costuri operare'!J320</f>
        <v>0</v>
      </c>
      <c r="K119" s="88">
        <f>'Costuri operare'!K319+'Costuri operare'!K320</f>
        <v>0</v>
      </c>
      <c r="L119" s="88">
        <f>'Costuri operare'!L319+'Costuri operare'!L320</f>
        <v>0</v>
      </c>
      <c r="M119" s="88">
        <f>'Costuri operare'!M319+'Costuri operare'!M320</f>
        <v>0</v>
      </c>
      <c r="N119" s="88">
        <f>'Costuri operare'!N319+'Costuri operare'!N320</f>
        <v>0</v>
      </c>
      <c r="O119" s="88">
        <f>'Costuri operare'!O319+'Costuri operare'!O320</f>
        <v>0</v>
      </c>
      <c r="Q119" s="35"/>
    </row>
    <row r="120" spans="2:17" s="53" customFormat="1" x14ac:dyDescent="0.3">
      <c r="B120" s="63"/>
      <c r="C120" s="40" t="s">
        <v>326</v>
      </c>
      <c r="D120" s="43" t="s">
        <v>141</v>
      </c>
      <c r="E120" s="88"/>
      <c r="F120" s="88"/>
      <c r="G120" s="88">
        <f>(SUM(G118:G119)+G121)*'Date macro-economice'!$F$20</f>
        <v>0</v>
      </c>
      <c r="H120" s="88">
        <f>(SUM(H118:H119)+H121)*'Date macro-economice'!$F$20</f>
        <v>0</v>
      </c>
      <c r="I120" s="88">
        <f>(SUM(I118:I119)+I121)*'Date macro-economice'!$F$20</f>
        <v>0</v>
      </c>
      <c r="J120" s="88">
        <f>(SUM(J118:J119)+J121)*'Date macro-economice'!$F$20</f>
        <v>0</v>
      </c>
      <c r="K120" s="88">
        <f>(SUM(K118:K119)+K121)*'Date macro-economice'!$F$20</f>
        <v>0</v>
      </c>
      <c r="L120" s="88">
        <f>(SUM(L118:L119)+L121)*'Date macro-economice'!$F$20</f>
        <v>0</v>
      </c>
      <c r="M120" s="88">
        <f>(SUM(M118:M119)+M121)*'Date macro-economice'!$F$20</f>
        <v>0</v>
      </c>
      <c r="N120" s="88">
        <f>(SUM(N118:N119)+N121)*'Date macro-economice'!$F$20</f>
        <v>0</v>
      </c>
      <c r="O120" s="88">
        <f>(SUM(O118:O119)+O121)*'Date macro-economice'!$F$20</f>
        <v>0</v>
      </c>
      <c r="Q120" s="35"/>
    </row>
    <row r="121" spans="2:17" s="53" customFormat="1" x14ac:dyDescent="0.3">
      <c r="B121" s="63"/>
      <c r="C121" s="40" t="s">
        <v>327</v>
      </c>
      <c r="D121" s="43" t="s">
        <v>141</v>
      </c>
      <c r="E121" s="88"/>
      <c r="F121" s="88"/>
      <c r="G121" s="88">
        <f>'Investitii si finantare'!G153</f>
        <v>0</v>
      </c>
      <c r="H121" s="88">
        <f>'Investitii si finantare'!H153</f>
        <v>0</v>
      </c>
      <c r="I121" s="88">
        <f>'Investitii si finantare'!I153</f>
        <v>0</v>
      </c>
      <c r="J121" s="88">
        <f>'Investitii si finantare'!J153</f>
        <v>0</v>
      </c>
      <c r="K121" s="88">
        <f>'Investitii si finantare'!K153</f>
        <v>0</v>
      </c>
      <c r="L121" s="88">
        <f>'Investitii si finantare'!L153</f>
        <v>0</v>
      </c>
      <c r="M121" s="88">
        <f>'Investitii si finantare'!M153</f>
        <v>0</v>
      </c>
      <c r="N121" s="88">
        <f>'Investitii si finantare'!N153</f>
        <v>0</v>
      </c>
      <c r="O121" s="88">
        <f>'Investitii si finantare'!O153</f>
        <v>0</v>
      </c>
      <c r="Q121" s="35"/>
    </row>
    <row r="122" spans="2:17" s="22" customFormat="1" x14ac:dyDescent="0.3">
      <c r="B122" s="35"/>
      <c r="C122" s="40" t="s">
        <v>328</v>
      </c>
      <c r="D122" s="43" t="s">
        <v>141</v>
      </c>
      <c r="E122" s="88"/>
      <c r="F122" s="88"/>
      <c r="G122" s="88"/>
      <c r="H122" s="40">
        <f>SUM(H118:H119)*'Date macro-economice'!$F$21</f>
        <v>0</v>
      </c>
      <c r="I122" s="88">
        <f>SUM(I118:I119)*'Date macro-economice'!$F$21</f>
        <v>0</v>
      </c>
      <c r="J122" s="88">
        <f>SUM(J118:J119)*'Date macro-economice'!$F$21</f>
        <v>0</v>
      </c>
      <c r="K122" s="88">
        <f>SUM(K118:K119)*'Date macro-economice'!$F$21</f>
        <v>0</v>
      </c>
      <c r="L122" s="88">
        <f>SUM(L118:L119)*'Date macro-economice'!$F$21</f>
        <v>0</v>
      </c>
      <c r="M122" s="88">
        <f>SUM(M118:M119)*'Date macro-economice'!$F$21</f>
        <v>0</v>
      </c>
      <c r="N122" s="88">
        <f>SUM(N118:N119)*'Date macro-economice'!$F$21</f>
        <v>0</v>
      </c>
      <c r="O122" s="88">
        <f>SUM(O118:O119)*'Date macro-economice'!$F$21</f>
        <v>0</v>
      </c>
      <c r="Q122" s="35"/>
    </row>
    <row r="123" spans="2:17" s="22" customFormat="1" x14ac:dyDescent="0.3">
      <c r="B123" s="35"/>
      <c r="C123" s="42" t="s">
        <v>329</v>
      </c>
      <c r="D123" s="51" t="s">
        <v>141</v>
      </c>
      <c r="E123" s="62"/>
      <c r="F123" s="62"/>
      <c r="G123" s="62">
        <f t="shared" ref="G123:O123" si="37">SUM(G118:G122)</f>
        <v>0</v>
      </c>
      <c r="H123" s="62">
        <f t="shared" si="37"/>
        <v>0</v>
      </c>
      <c r="I123" s="62">
        <f t="shared" si="37"/>
        <v>0</v>
      </c>
      <c r="J123" s="62">
        <f t="shared" si="37"/>
        <v>0</v>
      </c>
      <c r="K123" s="62">
        <f t="shared" si="37"/>
        <v>0</v>
      </c>
      <c r="L123" s="62">
        <f t="shared" si="37"/>
        <v>0</v>
      </c>
      <c r="M123" s="62">
        <f t="shared" si="37"/>
        <v>0</v>
      </c>
      <c r="N123" s="62">
        <f t="shared" si="37"/>
        <v>0</v>
      </c>
      <c r="O123" s="62">
        <f t="shared" si="37"/>
        <v>0</v>
      </c>
      <c r="Q123" s="35"/>
    </row>
    <row r="124" spans="2:17" s="22" customFormat="1" x14ac:dyDescent="0.3">
      <c r="B124" s="35"/>
      <c r="C124" s="40" t="s">
        <v>330</v>
      </c>
      <c r="D124" s="43" t="s">
        <v>83</v>
      </c>
      <c r="E124" s="88"/>
      <c r="F124" s="88"/>
      <c r="G124" s="88">
        <f>Cererea!G70</f>
        <v>0</v>
      </c>
      <c r="H124" s="88">
        <f>Cererea!H70</f>
        <v>0</v>
      </c>
      <c r="I124" s="88">
        <f>Cererea!I70</f>
        <v>0</v>
      </c>
      <c r="J124" s="88">
        <f>Cererea!J70</f>
        <v>0</v>
      </c>
      <c r="K124" s="88">
        <f>Cererea!K70</f>
        <v>0</v>
      </c>
      <c r="L124" s="88">
        <f>Cererea!L70</f>
        <v>0</v>
      </c>
      <c r="M124" s="88">
        <f>Cererea!M70</f>
        <v>0</v>
      </c>
      <c r="N124" s="88">
        <f>Cererea!N70</f>
        <v>0</v>
      </c>
      <c r="O124" s="88">
        <f>Cererea!O70</f>
        <v>0</v>
      </c>
      <c r="Q124" s="35"/>
    </row>
    <row r="125" spans="2:17" s="22" customFormat="1" x14ac:dyDescent="0.3">
      <c r="B125" s="35"/>
      <c r="C125" s="42" t="s">
        <v>331</v>
      </c>
      <c r="D125" s="51" t="s">
        <v>36</v>
      </c>
      <c r="E125" s="62"/>
      <c r="F125" s="62"/>
      <c r="G125" s="103">
        <f>'Date de context'!E31</f>
        <v>0</v>
      </c>
      <c r="H125" s="104" t="str">
        <f>IFERROR(H123/H124,"n/a")</f>
        <v>n/a</v>
      </c>
      <c r="I125" s="104" t="str">
        <f t="shared" ref="I125:O125" si="38">IFERROR(I123/I124,"n/a")</f>
        <v>n/a</v>
      </c>
      <c r="J125" s="117" t="str">
        <f t="shared" si="38"/>
        <v>n/a</v>
      </c>
      <c r="K125" s="117" t="str">
        <f t="shared" si="38"/>
        <v>n/a</v>
      </c>
      <c r="L125" s="117" t="str">
        <f t="shared" si="38"/>
        <v>n/a</v>
      </c>
      <c r="M125" s="117" t="str">
        <f t="shared" si="38"/>
        <v>n/a</v>
      </c>
      <c r="N125" s="117" t="str">
        <f t="shared" si="38"/>
        <v>n/a</v>
      </c>
      <c r="O125" s="117" t="str">
        <f t="shared" si="38"/>
        <v>n/a</v>
      </c>
      <c r="Q125" s="35"/>
    </row>
    <row r="126" spans="2:17" s="22" customFormat="1" x14ac:dyDescent="0.3">
      <c r="B126" s="35"/>
      <c r="C126" s="42" t="s">
        <v>332</v>
      </c>
      <c r="D126" s="51" t="s">
        <v>47</v>
      </c>
      <c r="E126" s="88"/>
      <c r="F126" s="88"/>
      <c r="G126" s="105"/>
      <c r="H126" s="106" t="str">
        <f>IFERROR(H125/G125-1,"n/a")</f>
        <v>n/a</v>
      </c>
      <c r="I126" s="106" t="str">
        <f t="shared" ref="I126:O126" si="39">IFERROR(I125/H125-1,"n/a")</f>
        <v>n/a</v>
      </c>
      <c r="J126" s="118" t="str">
        <f t="shared" si="39"/>
        <v>n/a</v>
      </c>
      <c r="K126" s="118" t="str">
        <f t="shared" si="39"/>
        <v>n/a</v>
      </c>
      <c r="L126" s="118" t="str">
        <f t="shared" si="39"/>
        <v>n/a</v>
      </c>
      <c r="M126" s="118" t="str">
        <f t="shared" si="39"/>
        <v>n/a</v>
      </c>
      <c r="N126" s="118" t="str">
        <f t="shared" si="39"/>
        <v>n/a</v>
      </c>
      <c r="O126" s="118" t="str">
        <f t="shared" si="39"/>
        <v>n/a</v>
      </c>
      <c r="Q126" s="35"/>
    </row>
    <row r="127" spans="2:17" s="22" customFormat="1" x14ac:dyDescent="0.3">
      <c r="B127" s="35"/>
      <c r="C127" s="107" t="s">
        <v>333</v>
      </c>
      <c r="D127" s="46" t="s">
        <v>47</v>
      </c>
      <c r="E127" s="108"/>
      <c r="F127" s="108"/>
      <c r="G127" s="109"/>
      <c r="H127" s="110" t="str">
        <f>IFERROR(ROUND((1+H126)/(1+'Date macro-economice'!H$9)-1,4),"n/a")</f>
        <v>n/a</v>
      </c>
      <c r="I127" s="110" t="str">
        <f>IFERROR(ROUND((1+I126)/(1+'Date macro-economice'!I$9)-1,4),"n/a")</f>
        <v>n/a</v>
      </c>
      <c r="J127" s="119" t="str">
        <f>IFERROR(ROUND((1+J126)/(1+'Date macro-economice'!J$9)-1,4),"n/a")</f>
        <v>n/a</v>
      </c>
      <c r="K127" s="119" t="str">
        <f>IFERROR(ROUND((1+K126)/(1+'Date macro-economice'!K$9)-1,4),"n/a")</f>
        <v>n/a</v>
      </c>
      <c r="L127" s="119" t="str">
        <f>IFERROR(ROUND((1+L126)/(1+'Date macro-economice'!L$9)-1,4),"n/a")</f>
        <v>n/a</v>
      </c>
      <c r="M127" s="119" t="str">
        <f>IFERROR(ROUND((1+M126)/(1+'Date macro-economice'!M$9)-1,4),"n/a")</f>
        <v>n/a</v>
      </c>
      <c r="N127" s="119" t="str">
        <f>IFERROR(ROUND((1+N126)/(1+'Date macro-economice'!N$9)-1,4),"n/a")</f>
        <v>n/a</v>
      </c>
      <c r="O127" s="119" t="str">
        <f>IFERROR(ROUND((1+O126)/(1+'Date macro-economice'!O$9)-1,4),"n/a")</f>
        <v>n/a</v>
      </c>
      <c r="Q127" s="35"/>
    </row>
    <row r="128" spans="2:17" x14ac:dyDescent="0.3">
      <c r="B128" s="35"/>
      <c r="Q128" s="35"/>
    </row>
    <row r="129" spans="2:17" ht="8.1" customHeight="1" x14ac:dyDescent="0.3">
      <c r="B129" s="23"/>
      <c r="C129" s="23"/>
      <c r="D129" s="23"/>
      <c r="E129" s="23"/>
      <c r="F129" s="23"/>
      <c r="G129" s="23"/>
      <c r="H129" s="23"/>
      <c r="I129" s="23"/>
      <c r="J129" s="23"/>
      <c r="K129" s="23"/>
      <c r="L129" s="23"/>
      <c r="M129" s="23"/>
      <c r="N129" s="23"/>
      <c r="O129" s="23"/>
      <c r="P129" s="23"/>
      <c r="Q129" s="23"/>
    </row>
    <row r="131" spans="2:17" ht="8.1" customHeight="1" x14ac:dyDescent="0.3">
      <c r="B131" s="23"/>
      <c r="C131" s="23"/>
      <c r="D131" s="23"/>
      <c r="E131" s="23"/>
      <c r="F131" s="23"/>
      <c r="G131" s="23"/>
      <c r="H131" s="23"/>
      <c r="I131" s="23"/>
      <c r="J131" s="23"/>
      <c r="K131" s="23"/>
      <c r="L131" s="23"/>
      <c r="M131" s="23"/>
      <c r="N131" s="23"/>
      <c r="O131" s="23"/>
      <c r="P131" s="23"/>
      <c r="Q131" s="23"/>
    </row>
    <row r="132" spans="2:17" x14ac:dyDescent="0.3">
      <c r="B132" s="23"/>
      <c r="Q132" s="23"/>
    </row>
    <row r="133" spans="2:17" s="22" customFormat="1" ht="65.25" customHeight="1" x14ac:dyDescent="0.3">
      <c r="B133" s="35"/>
      <c r="C133" s="89" t="str">
        <f>'Costuri operare'!C365</f>
        <v>ACTIVITATEA DE CANALIZARE - CANALIZAREA APELOR UZATE MENAJERE</v>
      </c>
      <c r="D133" s="89"/>
      <c r="E133" s="111">
        <f>F133-1</f>
        <v>2022</v>
      </c>
      <c r="F133" s="111">
        <f>G133-1</f>
        <v>2023</v>
      </c>
      <c r="G133" s="112">
        <f>'Date generale'!$D$8</f>
        <v>2024</v>
      </c>
      <c r="H133" s="113">
        <f t="shared" ref="H133:O133" si="40">G133+1</f>
        <v>2025</v>
      </c>
      <c r="I133" s="113">
        <f t="shared" si="40"/>
        <v>2026</v>
      </c>
      <c r="J133" s="113">
        <f t="shared" si="40"/>
        <v>2027</v>
      </c>
      <c r="K133" s="113">
        <f t="shared" si="40"/>
        <v>2028</v>
      </c>
      <c r="L133" s="113">
        <f t="shared" si="40"/>
        <v>2029</v>
      </c>
      <c r="M133" s="113">
        <f t="shared" si="40"/>
        <v>2030</v>
      </c>
      <c r="N133" s="113">
        <f t="shared" si="40"/>
        <v>2031</v>
      </c>
      <c r="O133" s="113">
        <f t="shared" si="40"/>
        <v>2032</v>
      </c>
      <c r="Q133" s="35"/>
    </row>
    <row r="134" spans="2:17" x14ac:dyDescent="0.3">
      <c r="B134" s="23"/>
      <c r="C134" s="114"/>
      <c r="D134" s="114"/>
      <c r="E134" s="115">
        <f>F134-1</f>
        <v>-3</v>
      </c>
      <c r="F134" s="115">
        <f>G134-1</f>
        <v>-2</v>
      </c>
      <c r="G134" s="116">
        <v>-1</v>
      </c>
      <c r="H134" s="116">
        <v>0</v>
      </c>
      <c r="I134" s="116">
        <f t="shared" ref="I134:O134" si="41">H134+1</f>
        <v>1</v>
      </c>
      <c r="J134" s="116">
        <f t="shared" si="41"/>
        <v>2</v>
      </c>
      <c r="K134" s="116">
        <f t="shared" si="41"/>
        <v>3</v>
      </c>
      <c r="L134" s="116">
        <f t="shared" si="41"/>
        <v>4</v>
      </c>
      <c r="M134" s="116">
        <f t="shared" si="41"/>
        <v>5</v>
      </c>
      <c r="N134" s="116">
        <f t="shared" si="41"/>
        <v>6</v>
      </c>
      <c r="O134" s="116">
        <f t="shared" si="41"/>
        <v>7</v>
      </c>
      <c r="Q134" s="35"/>
    </row>
    <row r="135" spans="2:17" s="24" customFormat="1" x14ac:dyDescent="0.3">
      <c r="B135" s="61"/>
      <c r="C135" s="42"/>
      <c r="D135" s="51"/>
      <c r="E135" s="62"/>
      <c r="F135" s="62"/>
      <c r="G135" s="62"/>
      <c r="H135" s="62"/>
      <c r="I135" s="62"/>
      <c r="J135" s="62"/>
      <c r="K135" s="62"/>
      <c r="L135" s="62"/>
      <c r="M135" s="62"/>
      <c r="N135" s="62"/>
      <c r="O135" s="62"/>
      <c r="Q135" s="35"/>
    </row>
    <row r="136" spans="2:17" ht="28.8" x14ac:dyDescent="0.3">
      <c r="B136" s="23"/>
      <c r="C136" s="50" t="s">
        <v>324</v>
      </c>
      <c r="D136" s="43" t="s">
        <v>141</v>
      </c>
      <c r="E136" s="88"/>
      <c r="F136" s="88"/>
      <c r="G136" s="88">
        <f>'Costuri operare'!G378-'Costuri operare'!G374-'Costuri operare'!G373</f>
        <v>0</v>
      </c>
      <c r="H136" s="88">
        <f>'Costuri operare'!H378-'Costuri operare'!H374-'Costuri operare'!H373</f>
        <v>0</v>
      </c>
      <c r="I136" s="88">
        <f>'Costuri operare'!I378-'Costuri operare'!I374-'Costuri operare'!I373</f>
        <v>0</v>
      </c>
      <c r="J136" s="88">
        <f>'Costuri operare'!J378-'Costuri operare'!J374-'Costuri operare'!J373</f>
        <v>0</v>
      </c>
      <c r="K136" s="88">
        <f>'Costuri operare'!K378-'Costuri operare'!K374-'Costuri operare'!K373</f>
        <v>0</v>
      </c>
      <c r="L136" s="88">
        <f>'Costuri operare'!L378-'Costuri operare'!L374-'Costuri operare'!L373</f>
        <v>0</v>
      </c>
      <c r="M136" s="88">
        <f>'Costuri operare'!M378-'Costuri operare'!M374-'Costuri operare'!M373</f>
        <v>0</v>
      </c>
      <c r="N136" s="88">
        <f>'Costuri operare'!N378-'Costuri operare'!N374-'Costuri operare'!N373</f>
        <v>0</v>
      </c>
      <c r="O136" s="88">
        <f>'Costuri operare'!O378-'Costuri operare'!O374-'Costuri operare'!O373</f>
        <v>0</v>
      </c>
      <c r="Q136" s="35"/>
    </row>
    <row r="137" spans="2:17" s="22" customFormat="1" x14ac:dyDescent="0.3">
      <c r="B137" s="35"/>
      <c r="C137" s="50" t="s">
        <v>325</v>
      </c>
      <c r="D137" s="43" t="s">
        <v>141</v>
      </c>
      <c r="E137" s="88"/>
      <c r="F137" s="88"/>
      <c r="G137" s="88">
        <f>'Costuri operare'!G373+'Costuri operare'!G374</f>
        <v>0</v>
      </c>
      <c r="H137" s="88">
        <f>'Costuri operare'!H373+'Costuri operare'!H374</f>
        <v>0</v>
      </c>
      <c r="I137" s="88">
        <f>'Costuri operare'!I373+'Costuri operare'!I374</f>
        <v>0</v>
      </c>
      <c r="J137" s="88">
        <f>'Costuri operare'!J373+'Costuri operare'!J374</f>
        <v>0</v>
      </c>
      <c r="K137" s="88">
        <f>'Costuri operare'!K373+'Costuri operare'!K374</f>
        <v>0</v>
      </c>
      <c r="L137" s="88">
        <f>'Costuri operare'!L373+'Costuri operare'!L374</f>
        <v>0</v>
      </c>
      <c r="M137" s="88">
        <f>'Costuri operare'!M373+'Costuri operare'!M374</f>
        <v>0</v>
      </c>
      <c r="N137" s="88">
        <f>'Costuri operare'!N373+'Costuri operare'!N374</f>
        <v>0</v>
      </c>
      <c r="O137" s="88">
        <f>'Costuri operare'!O373+'Costuri operare'!O374</f>
        <v>0</v>
      </c>
      <c r="Q137" s="35"/>
    </row>
    <row r="138" spans="2:17" s="53" customFormat="1" x14ac:dyDescent="0.3">
      <c r="B138" s="63"/>
      <c r="C138" s="40" t="s">
        <v>326</v>
      </c>
      <c r="D138" s="43" t="s">
        <v>141</v>
      </c>
      <c r="E138" s="88"/>
      <c r="F138" s="88"/>
      <c r="G138" s="88">
        <f>(SUM(G136:G137)+G139)*'Date macro-economice'!$F$20</f>
        <v>0</v>
      </c>
      <c r="H138" s="88">
        <f>(SUM(H136:H137)+H139)*'Date macro-economice'!$F$20</f>
        <v>0</v>
      </c>
      <c r="I138" s="88">
        <f>(SUM(I136:I137)+I139)*'Date macro-economice'!$F$20</f>
        <v>0</v>
      </c>
      <c r="J138" s="88">
        <f>(SUM(J136:J137)+J139)*'Date macro-economice'!$F$20</f>
        <v>0</v>
      </c>
      <c r="K138" s="88">
        <f>(SUM(K136:K137)+K139)*'Date macro-economice'!$F$20</f>
        <v>0</v>
      </c>
      <c r="L138" s="88">
        <f>(SUM(L136:L137)+L139)*'Date macro-economice'!$F$20</f>
        <v>0</v>
      </c>
      <c r="M138" s="88">
        <f>(SUM(M136:M137)+M139)*'Date macro-economice'!$F$20</f>
        <v>0</v>
      </c>
      <c r="N138" s="88">
        <f>(SUM(N136:N137)+N139)*'Date macro-economice'!$F$20</f>
        <v>0</v>
      </c>
      <c r="O138" s="88">
        <f>(SUM(O136:O137)+O139)*'Date macro-economice'!$F$20</f>
        <v>0</v>
      </c>
      <c r="Q138" s="35"/>
    </row>
    <row r="139" spans="2:17" s="53" customFormat="1" x14ac:dyDescent="0.3">
      <c r="B139" s="63"/>
      <c r="C139" s="40" t="s">
        <v>327</v>
      </c>
      <c r="D139" s="43" t="s">
        <v>141</v>
      </c>
      <c r="E139" s="88"/>
      <c r="F139" s="88"/>
      <c r="G139" s="88">
        <f>'Investitii si finantare'!G154</f>
        <v>0</v>
      </c>
      <c r="H139" s="88">
        <f>'Investitii si finantare'!H154</f>
        <v>0</v>
      </c>
      <c r="I139" s="88">
        <f>'Investitii si finantare'!I154</f>
        <v>0</v>
      </c>
      <c r="J139" s="88">
        <f>'Investitii si finantare'!J154</f>
        <v>0</v>
      </c>
      <c r="K139" s="88">
        <f>'Investitii si finantare'!K154</f>
        <v>0</v>
      </c>
      <c r="L139" s="88">
        <f>'Investitii si finantare'!L154</f>
        <v>0</v>
      </c>
      <c r="M139" s="88">
        <f>'Investitii si finantare'!M154</f>
        <v>0</v>
      </c>
      <c r="N139" s="88">
        <f>'Investitii si finantare'!N154</f>
        <v>0</v>
      </c>
      <c r="O139" s="88">
        <f>'Investitii si finantare'!O154</f>
        <v>0</v>
      </c>
      <c r="Q139" s="35"/>
    </row>
    <row r="140" spans="2:17" s="22" customFormat="1" x14ac:dyDescent="0.3">
      <c r="B140" s="35"/>
      <c r="C140" s="40" t="s">
        <v>328</v>
      </c>
      <c r="D140" s="43" t="s">
        <v>141</v>
      </c>
      <c r="E140" s="88"/>
      <c r="F140" s="88"/>
      <c r="G140" s="88"/>
      <c r="H140" s="40">
        <f>SUM(H136:H137)*'Date macro-economice'!$F$21</f>
        <v>0</v>
      </c>
      <c r="I140" s="88">
        <f>SUM(I136:I137)*'Date macro-economice'!$F$21</f>
        <v>0</v>
      </c>
      <c r="J140" s="88">
        <f>SUM(J136:J137)*'Date macro-economice'!$F$21</f>
        <v>0</v>
      </c>
      <c r="K140" s="88">
        <f>SUM(K136:K137)*'Date macro-economice'!$F$21</f>
        <v>0</v>
      </c>
      <c r="L140" s="88">
        <f>SUM(L136:L137)*'Date macro-economice'!$F$21</f>
        <v>0</v>
      </c>
      <c r="M140" s="88">
        <f>SUM(M136:M137)*'Date macro-economice'!$F$21</f>
        <v>0</v>
      </c>
      <c r="N140" s="88">
        <f>SUM(N136:N137)*'Date macro-economice'!$F$21</f>
        <v>0</v>
      </c>
      <c r="O140" s="88">
        <f>SUM(O136:O137)*'Date macro-economice'!$F$21</f>
        <v>0</v>
      </c>
      <c r="Q140" s="35"/>
    </row>
    <row r="141" spans="2:17" s="22" customFormat="1" x14ac:dyDescent="0.3">
      <c r="B141" s="35"/>
      <c r="C141" s="42" t="s">
        <v>329</v>
      </c>
      <c r="D141" s="51" t="s">
        <v>141</v>
      </c>
      <c r="E141" s="62"/>
      <c r="F141" s="62"/>
      <c r="G141" s="62">
        <f t="shared" ref="G141:O141" si="42">SUM(G136:G140)</f>
        <v>0</v>
      </c>
      <c r="H141" s="62">
        <f t="shared" si="42"/>
        <v>0</v>
      </c>
      <c r="I141" s="62">
        <f t="shared" si="42"/>
        <v>0</v>
      </c>
      <c r="J141" s="62">
        <f t="shared" si="42"/>
        <v>0</v>
      </c>
      <c r="K141" s="62">
        <f t="shared" si="42"/>
        <v>0</v>
      </c>
      <c r="L141" s="62">
        <f t="shared" si="42"/>
        <v>0</v>
      </c>
      <c r="M141" s="62">
        <f t="shared" si="42"/>
        <v>0</v>
      </c>
      <c r="N141" s="62">
        <f t="shared" si="42"/>
        <v>0</v>
      </c>
      <c r="O141" s="62">
        <f t="shared" si="42"/>
        <v>0</v>
      </c>
      <c r="Q141" s="35"/>
    </row>
    <row r="142" spans="2:17" s="22" customFormat="1" x14ac:dyDescent="0.3">
      <c r="B142" s="35"/>
      <c r="C142" s="40" t="s">
        <v>330</v>
      </c>
      <c r="D142" s="43" t="s">
        <v>83</v>
      </c>
      <c r="E142" s="88"/>
      <c r="F142" s="88"/>
      <c r="G142" s="88">
        <f>Cererea!G72</f>
        <v>0</v>
      </c>
      <c r="H142" s="88">
        <f>Cererea!H72</f>
        <v>0</v>
      </c>
      <c r="I142" s="88">
        <f>Cererea!I72</f>
        <v>0</v>
      </c>
      <c r="J142" s="88">
        <f>Cererea!J72</f>
        <v>0</v>
      </c>
      <c r="K142" s="88">
        <f>Cererea!K72</f>
        <v>0</v>
      </c>
      <c r="L142" s="88">
        <f>Cererea!L72</f>
        <v>0</v>
      </c>
      <c r="M142" s="88">
        <f>Cererea!M72</f>
        <v>0</v>
      </c>
      <c r="N142" s="88">
        <f>Cererea!N72</f>
        <v>0</v>
      </c>
      <c r="O142" s="88">
        <f>Cererea!O72</f>
        <v>0</v>
      </c>
      <c r="Q142" s="35"/>
    </row>
    <row r="143" spans="2:17" s="22" customFormat="1" x14ac:dyDescent="0.3">
      <c r="B143" s="35"/>
      <c r="C143" s="42" t="s">
        <v>331</v>
      </c>
      <c r="D143" s="51" t="s">
        <v>36</v>
      </c>
      <c r="E143" s="62"/>
      <c r="F143" s="62"/>
      <c r="G143" s="103">
        <f>'Date de context'!E32</f>
        <v>0</v>
      </c>
      <c r="H143" s="104" t="str">
        <f>IFERROR(H141/H142,"n/a")</f>
        <v>n/a</v>
      </c>
      <c r="I143" s="104" t="str">
        <f t="shared" ref="I143:O143" si="43">IFERROR(I141/I142,"n/a")</f>
        <v>n/a</v>
      </c>
      <c r="J143" s="117" t="str">
        <f t="shared" si="43"/>
        <v>n/a</v>
      </c>
      <c r="K143" s="117" t="str">
        <f t="shared" si="43"/>
        <v>n/a</v>
      </c>
      <c r="L143" s="117" t="str">
        <f t="shared" si="43"/>
        <v>n/a</v>
      </c>
      <c r="M143" s="117" t="str">
        <f t="shared" si="43"/>
        <v>n/a</v>
      </c>
      <c r="N143" s="117" t="str">
        <f t="shared" si="43"/>
        <v>n/a</v>
      </c>
      <c r="O143" s="117" t="str">
        <f t="shared" si="43"/>
        <v>n/a</v>
      </c>
      <c r="Q143" s="35"/>
    </row>
    <row r="144" spans="2:17" s="22" customFormat="1" x14ac:dyDescent="0.3">
      <c r="B144" s="35"/>
      <c r="C144" s="42" t="s">
        <v>332</v>
      </c>
      <c r="D144" s="51" t="s">
        <v>47</v>
      </c>
      <c r="E144" s="88"/>
      <c r="F144" s="88"/>
      <c r="G144" s="105"/>
      <c r="H144" s="106" t="str">
        <f>IFERROR(H143/G143-1,"n/a")</f>
        <v>n/a</v>
      </c>
      <c r="I144" s="106" t="str">
        <f t="shared" ref="I144:O144" si="44">IFERROR(I143/H143-1,"n/a")</f>
        <v>n/a</v>
      </c>
      <c r="J144" s="118" t="str">
        <f t="shared" si="44"/>
        <v>n/a</v>
      </c>
      <c r="K144" s="118" t="str">
        <f t="shared" si="44"/>
        <v>n/a</v>
      </c>
      <c r="L144" s="118" t="str">
        <f t="shared" si="44"/>
        <v>n/a</v>
      </c>
      <c r="M144" s="118" t="str">
        <f t="shared" si="44"/>
        <v>n/a</v>
      </c>
      <c r="N144" s="118" t="str">
        <f t="shared" si="44"/>
        <v>n/a</v>
      </c>
      <c r="O144" s="118" t="str">
        <f t="shared" si="44"/>
        <v>n/a</v>
      </c>
      <c r="Q144" s="35"/>
    </row>
    <row r="145" spans="2:17" s="22" customFormat="1" x14ac:dyDescent="0.3">
      <c r="B145" s="35"/>
      <c r="C145" s="107" t="s">
        <v>333</v>
      </c>
      <c r="D145" s="46" t="s">
        <v>47</v>
      </c>
      <c r="E145" s="108"/>
      <c r="F145" s="108"/>
      <c r="G145" s="109"/>
      <c r="H145" s="110" t="str">
        <f>IFERROR(ROUND((1+H144)/(1+'Date macro-economice'!H$9)-1,4),"n/a")</f>
        <v>n/a</v>
      </c>
      <c r="I145" s="110" t="str">
        <f>IFERROR(ROUND((1+I144)/(1+'Date macro-economice'!I$9)-1,4),"n/a")</f>
        <v>n/a</v>
      </c>
      <c r="J145" s="119" t="str">
        <f>IFERROR(ROUND((1+J144)/(1+'Date macro-economice'!J$9)-1,4),"n/a")</f>
        <v>n/a</v>
      </c>
      <c r="K145" s="119" t="str">
        <f>IFERROR(ROUND((1+K144)/(1+'Date macro-economice'!K$9)-1,4),"n/a")</f>
        <v>n/a</v>
      </c>
      <c r="L145" s="119" t="str">
        <f>IFERROR(ROUND((1+L144)/(1+'Date macro-economice'!L$9)-1,4),"n/a")</f>
        <v>n/a</v>
      </c>
      <c r="M145" s="119" t="str">
        <f>IFERROR(ROUND((1+M144)/(1+'Date macro-economice'!M$9)-1,4),"n/a")</f>
        <v>n/a</v>
      </c>
      <c r="N145" s="119" t="str">
        <f>IFERROR(ROUND((1+N144)/(1+'Date macro-economice'!N$9)-1,4),"n/a")</f>
        <v>n/a</v>
      </c>
      <c r="O145" s="119" t="str">
        <f>IFERROR(ROUND((1+O144)/(1+'Date macro-economice'!O$9)-1,4),"n/a")</f>
        <v>n/a</v>
      </c>
      <c r="Q145" s="35"/>
    </row>
    <row r="146" spans="2:17" x14ac:dyDescent="0.3">
      <c r="B146" s="35"/>
      <c r="Q146" s="35"/>
    </row>
    <row r="147" spans="2:17" ht="8.1" customHeight="1" x14ac:dyDescent="0.3">
      <c r="B147" s="23"/>
      <c r="C147" s="23"/>
      <c r="D147" s="23"/>
      <c r="E147" s="23"/>
      <c r="F147" s="23"/>
      <c r="G147" s="23"/>
      <c r="H147" s="23"/>
      <c r="I147" s="23"/>
      <c r="J147" s="23"/>
      <c r="K147" s="23"/>
      <c r="L147" s="23"/>
      <c r="M147" s="23"/>
      <c r="N147" s="23"/>
      <c r="O147" s="23"/>
      <c r="P147" s="23"/>
      <c r="Q147" s="23"/>
    </row>
    <row r="149" spans="2:17" ht="8.1" customHeight="1" x14ac:dyDescent="0.3">
      <c r="B149" s="23"/>
      <c r="C149" s="23"/>
      <c r="D149" s="23"/>
      <c r="E149" s="23"/>
      <c r="F149" s="23"/>
      <c r="G149" s="23"/>
      <c r="H149" s="23"/>
      <c r="I149" s="23"/>
      <c r="J149" s="23"/>
      <c r="K149" s="23"/>
      <c r="L149" s="23"/>
      <c r="M149" s="23"/>
      <c r="N149" s="23"/>
      <c r="O149" s="23"/>
      <c r="P149" s="23"/>
      <c r="Q149" s="23"/>
    </row>
    <row r="150" spans="2:17" x14ac:dyDescent="0.3">
      <c r="B150" s="23"/>
      <c r="Q150" s="23"/>
    </row>
    <row r="151" spans="2:17" s="22" customFormat="1" ht="102" customHeight="1" x14ac:dyDescent="0.3">
      <c r="B151" s="35"/>
      <c r="C151" s="89" t="str">
        <f>'Costuri operare'!C419</f>
        <v>ACTIVITATEA DE CANALIZARE - SERVICIUL PUBLIC INTELIGENT ALTERNATIV PENTRU PROCESAREA APELOR UZATE</v>
      </c>
      <c r="D151" s="89"/>
      <c r="E151" s="111">
        <f>F151-1</f>
        <v>2022</v>
      </c>
      <c r="F151" s="111">
        <f>G151-1</f>
        <v>2023</v>
      </c>
      <c r="G151" s="112">
        <f>'Date generale'!$D$8</f>
        <v>2024</v>
      </c>
      <c r="H151" s="113">
        <f t="shared" ref="H151:O151" si="45">G151+1</f>
        <v>2025</v>
      </c>
      <c r="I151" s="113">
        <f t="shared" si="45"/>
        <v>2026</v>
      </c>
      <c r="J151" s="113">
        <f t="shared" si="45"/>
        <v>2027</v>
      </c>
      <c r="K151" s="113">
        <f t="shared" si="45"/>
        <v>2028</v>
      </c>
      <c r="L151" s="113">
        <f t="shared" si="45"/>
        <v>2029</v>
      </c>
      <c r="M151" s="113">
        <f t="shared" si="45"/>
        <v>2030</v>
      </c>
      <c r="N151" s="113">
        <f t="shared" si="45"/>
        <v>2031</v>
      </c>
      <c r="O151" s="113">
        <f t="shared" si="45"/>
        <v>2032</v>
      </c>
      <c r="Q151" s="35"/>
    </row>
    <row r="152" spans="2:17" x14ac:dyDescent="0.3">
      <c r="B152" s="23"/>
      <c r="C152" s="114"/>
      <c r="D152" s="114"/>
      <c r="E152" s="115">
        <f>F152-1</f>
        <v>-3</v>
      </c>
      <c r="F152" s="115">
        <f>G152-1</f>
        <v>-2</v>
      </c>
      <c r="G152" s="116">
        <v>-1</v>
      </c>
      <c r="H152" s="116">
        <v>0</v>
      </c>
      <c r="I152" s="116">
        <f t="shared" ref="I152:O152" si="46">H152+1</f>
        <v>1</v>
      </c>
      <c r="J152" s="116">
        <f t="shared" si="46"/>
        <v>2</v>
      </c>
      <c r="K152" s="116">
        <f t="shared" si="46"/>
        <v>3</v>
      </c>
      <c r="L152" s="116">
        <f t="shared" si="46"/>
        <v>4</v>
      </c>
      <c r="M152" s="116">
        <f t="shared" si="46"/>
        <v>5</v>
      </c>
      <c r="N152" s="116">
        <f t="shared" si="46"/>
        <v>6</v>
      </c>
      <c r="O152" s="116">
        <f t="shared" si="46"/>
        <v>7</v>
      </c>
      <c r="Q152" s="35"/>
    </row>
    <row r="153" spans="2:17" s="24" customFormat="1" x14ac:dyDescent="0.3">
      <c r="B153" s="61"/>
      <c r="C153" s="42"/>
      <c r="D153" s="51"/>
      <c r="E153" s="62"/>
      <c r="F153" s="62"/>
      <c r="G153" s="62"/>
      <c r="H153" s="62"/>
      <c r="I153" s="62"/>
      <c r="J153" s="62"/>
      <c r="K153" s="62"/>
      <c r="L153" s="62"/>
      <c r="M153" s="62"/>
      <c r="N153" s="62"/>
      <c r="O153" s="62"/>
      <c r="Q153" s="35"/>
    </row>
    <row r="154" spans="2:17" ht="28.8" x14ac:dyDescent="0.3">
      <c r="B154" s="23"/>
      <c r="C154" s="50" t="s">
        <v>324</v>
      </c>
      <c r="D154" s="43" t="s">
        <v>141</v>
      </c>
      <c r="E154" s="88"/>
      <c r="F154" s="88"/>
      <c r="G154" s="88">
        <f>'Costuri operare'!G432-'Costuri operare'!G427-'Costuri operare'!G428</f>
        <v>0</v>
      </c>
      <c r="H154" s="88">
        <f>'Costuri operare'!H432-'Costuri operare'!H427-'Costuri operare'!H428</f>
        <v>0</v>
      </c>
      <c r="I154" s="88">
        <f>'Costuri operare'!I432-'Costuri operare'!I427-'Costuri operare'!I428</f>
        <v>0</v>
      </c>
      <c r="J154" s="88">
        <f>'Costuri operare'!J432-'Costuri operare'!J427-'Costuri operare'!J428</f>
        <v>0</v>
      </c>
      <c r="K154" s="88">
        <f>'Costuri operare'!K432-'Costuri operare'!K427-'Costuri operare'!K428</f>
        <v>0</v>
      </c>
      <c r="L154" s="88">
        <f>'Costuri operare'!L432-'Costuri operare'!L427-'Costuri operare'!L428</f>
        <v>0</v>
      </c>
      <c r="M154" s="88">
        <f>'Costuri operare'!M432-'Costuri operare'!M427-'Costuri operare'!M428</f>
        <v>0</v>
      </c>
      <c r="N154" s="88">
        <f>'Costuri operare'!N432-'Costuri operare'!N427-'Costuri operare'!N428</f>
        <v>0</v>
      </c>
      <c r="O154" s="88">
        <f>'Costuri operare'!O432-'Costuri operare'!O427-'Costuri operare'!O428</f>
        <v>0</v>
      </c>
      <c r="Q154" s="35"/>
    </row>
    <row r="155" spans="2:17" s="22" customFormat="1" x14ac:dyDescent="0.3">
      <c r="B155" s="35"/>
      <c r="C155" s="50" t="s">
        <v>325</v>
      </c>
      <c r="D155" s="43" t="s">
        <v>141</v>
      </c>
      <c r="E155" s="88"/>
      <c r="F155" s="88"/>
      <c r="G155" s="88">
        <f>'Costuri operare'!G427+'Costuri operare'!G428</f>
        <v>0</v>
      </c>
      <c r="H155" s="88">
        <f>'Costuri operare'!H427+'Costuri operare'!H428</f>
        <v>0</v>
      </c>
      <c r="I155" s="88">
        <f>'Costuri operare'!I427+'Costuri operare'!I428</f>
        <v>0</v>
      </c>
      <c r="J155" s="88">
        <f>'Costuri operare'!J427+'Costuri operare'!J428</f>
        <v>0</v>
      </c>
      <c r="K155" s="88">
        <f>'Costuri operare'!K427+'Costuri operare'!K428</f>
        <v>0</v>
      </c>
      <c r="L155" s="88">
        <f>'Costuri operare'!L427+'Costuri operare'!L428</f>
        <v>0</v>
      </c>
      <c r="M155" s="88">
        <f>'Costuri operare'!M427+'Costuri operare'!M428</f>
        <v>0</v>
      </c>
      <c r="N155" s="88">
        <f>'Costuri operare'!N427+'Costuri operare'!N428</f>
        <v>0</v>
      </c>
      <c r="O155" s="88">
        <f>'Costuri operare'!O427+'Costuri operare'!O428</f>
        <v>0</v>
      </c>
      <c r="Q155" s="35"/>
    </row>
    <row r="156" spans="2:17" s="53" customFormat="1" x14ac:dyDescent="0.3">
      <c r="B156" s="63"/>
      <c r="C156" s="40" t="s">
        <v>326</v>
      </c>
      <c r="D156" s="43" t="s">
        <v>141</v>
      </c>
      <c r="E156" s="88"/>
      <c r="F156" s="88"/>
      <c r="G156" s="88">
        <f>(SUM(G154:G155)+G157)*'Date macro-economice'!$F$20</f>
        <v>0</v>
      </c>
      <c r="H156" s="88">
        <f>(SUM(H154:H155)+H157)*'Date macro-economice'!$F$20</f>
        <v>0</v>
      </c>
      <c r="I156" s="88">
        <f>(SUM(I154:I155)+I157)*'Date macro-economice'!$F$20</f>
        <v>0</v>
      </c>
      <c r="J156" s="88">
        <f>(SUM(J154:J155)+J157)*'Date macro-economice'!$F$20</f>
        <v>0</v>
      </c>
      <c r="K156" s="88">
        <f>(SUM(K154:K155)+K157)*'Date macro-economice'!$F$20</f>
        <v>0</v>
      </c>
      <c r="L156" s="88">
        <f>(SUM(L154:L155)+L157)*'Date macro-economice'!$F$20</f>
        <v>0</v>
      </c>
      <c r="M156" s="88">
        <f>(SUM(M154:M155)+M157)*'Date macro-economice'!$F$20</f>
        <v>0</v>
      </c>
      <c r="N156" s="88">
        <f>(SUM(N154:N155)+N157)*'Date macro-economice'!$F$20</f>
        <v>0</v>
      </c>
      <c r="O156" s="88">
        <f>(SUM(O154:O155)+O157)*'Date macro-economice'!$F$20</f>
        <v>0</v>
      </c>
      <c r="Q156" s="35"/>
    </row>
    <row r="157" spans="2:17" s="53" customFormat="1" x14ac:dyDescent="0.3">
      <c r="B157" s="63"/>
      <c r="C157" s="40" t="s">
        <v>327</v>
      </c>
      <c r="D157" s="43" t="s">
        <v>141</v>
      </c>
      <c r="E157" s="88"/>
      <c r="F157" s="88"/>
      <c r="G157" s="88">
        <f>'Investitii si finantare'!G155</f>
        <v>0</v>
      </c>
      <c r="H157" s="88">
        <f>'Investitii si finantare'!H155</f>
        <v>0</v>
      </c>
      <c r="I157" s="88">
        <f>'Investitii si finantare'!I155</f>
        <v>0</v>
      </c>
      <c r="J157" s="88">
        <f>'Investitii si finantare'!J155</f>
        <v>0</v>
      </c>
      <c r="K157" s="88">
        <f>'Investitii si finantare'!K155</f>
        <v>0</v>
      </c>
      <c r="L157" s="88">
        <f>'Investitii si finantare'!L155</f>
        <v>0</v>
      </c>
      <c r="M157" s="88">
        <f>'Investitii si finantare'!M155</f>
        <v>0</v>
      </c>
      <c r="N157" s="88">
        <f>'Investitii si finantare'!N155</f>
        <v>0</v>
      </c>
      <c r="O157" s="88">
        <f>'Investitii si finantare'!O155</f>
        <v>0</v>
      </c>
      <c r="Q157" s="35"/>
    </row>
    <row r="158" spans="2:17" s="22" customFormat="1" x14ac:dyDescent="0.3">
      <c r="B158" s="35"/>
      <c r="C158" s="40" t="s">
        <v>328</v>
      </c>
      <c r="D158" s="43" t="s">
        <v>141</v>
      </c>
      <c r="E158" s="88"/>
      <c r="F158" s="88"/>
      <c r="G158" s="88"/>
      <c r="H158" s="40">
        <f>SUM(H154:H155)*'Date macro-economice'!$F$21</f>
        <v>0</v>
      </c>
      <c r="I158" s="88">
        <f>SUM(I154:I155)*'Date macro-economice'!$F$21</f>
        <v>0</v>
      </c>
      <c r="J158" s="88">
        <f>SUM(J154:J155)*'Date macro-economice'!$F$21</f>
        <v>0</v>
      </c>
      <c r="K158" s="88">
        <f>SUM(K154:K155)*'Date macro-economice'!$F$21</f>
        <v>0</v>
      </c>
      <c r="L158" s="88">
        <f>SUM(L154:L155)*'Date macro-economice'!$F$21</f>
        <v>0</v>
      </c>
      <c r="M158" s="88">
        <f>SUM(M154:M155)*'Date macro-economice'!$F$21</f>
        <v>0</v>
      </c>
      <c r="N158" s="88">
        <f>SUM(N154:N155)*'Date macro-economice'!$F$21</f>
        <v>0</v>
      </c>
      <c r="O158" s="88">
        <f>SUM(O154:O155)*'Date macro-economice'!$F$21</f>
        <v>0</v>
      </c>
      <c r="Q158" s="35"/>
    </row>
    <row r="159" spans="2:17" s="22" customFormat="1" x14ac:dyDescent="0.3">
      <c r="B159" s="35"/>
      <c r="C159" s="42" t="s">
        <v>329</v>
      </c>
      <c r="D159" s="51" t="s">
        <v>141</v>
      </c>
      <c r="E159" s="62"/>
      <c r="F159" s="62"/>
      <c r="G159" s="62">
        <f t="shared" ref="G159:O159" si="47">SUM(G154:G158)</f>
        <v>0</v>
      </c>
      <c r="H159" s="62">
        <f t="shared" si="47"/>
        <v>0</v>
      </c>
      <c r="I159" s="62">
        <f t="shared" si="47"/>
        <v>0</v>
      </c>
      <c r="J159" s="62">
        <f t="shared" si="47"/>
        <v>0</v>
      </c>
      <c r="K159" s="62">
        <f t="shared" si="47"/>
        <v>0</v>
      </c>
      <c r="L159" s="62">
        <f t="shared" si="47"/>
        <v>0</v>
      </c>
      <c r="M159" s="62">
        <f t="shared" si="47"/>
        <v>0</v>
      </c>
      <c r="N159" s="62">
        <f t="shared" si="47"/>
        <v>0</v>
      </c>
      <c r="O159" s="62">
        <f t="shared" si="47"/>
        <v>0</v>
      </c>
      <c r="Q159" s="35"/>
    </row>
    <row r="160" spans="2:17" s="22" customFormat="1" x14ac:dyDescent="0.3">
      <c r="B160" s="35"/>
      <c r="C160" s="40" t="s">
        <v>330</v>
      </c>
      <c r="D160" s="43" t="s">
        <v>83</v>
      </c>
      <c r="E160" s="88"/>
      <c r="F160" s="88"/>
      <c r="G160" s="88">
        <f>Cererea!G74</f>
        <v>0</v>
      </c>
      <c r="H160" s="88">
        <f>Cererea!H74</f>
        <v>0</v>
      </c>
      <c r="I160" s="88">
        <f>Cererea!I74</f>
        <v>0</v>
      </c>
      <c r="J160" s="88">
        <f>Cererea!J74</f>
        <v>0</v>
      </c>
      <c r="K160" s="88">
        <f>Cererea!K74</f>
        <v>0</v>
      </c>
      <c r="L160" s="88">
        <f>Cererea!L74</f>
        <v>0</v>
      </c>
      <c r="M160" s="88">
        <f>Cererea!M74</f>
        <v>0</v>
      </c>
      <c r="N160" s="88">
        <f>Cererea!N74</f>
        <v>0</v>
      </c>
      <c r="O160" s="88">
        <f>Cererea!O74</f>
        <v>0</v>
      </c>
      <c r="Q160" s="35"/>
    </row>
    <row r="161" spans="2:17" s="22" customFormat="1" x14ac:dyDescent="0.3">
      <c r="B161" s="35"/>
      <c r="C161" s="42" t="s">
        <v>331</v>
      </c>
      <c r="D161" s="51" t="s">
        <v>36</v>
      </c>
      <c r="E161" s="62"/>
      <c r="F161" s="62"/>
      <c r="G161" s="103">
        <f>'Date de context'!E33</f>
        <v>0</v>
      </c>
      <c r="H161" s="104" t="str">
        <f>IFERROR(H159/H160,"n/a")</f>
        <v>n/a</v>
      </c>
      <c r="I161" s="104" t="str">
        <f t="shared" ref="I161:O161" si="48">IFERROR(I159/I160,"n/a")</f>
        <v>n/a</v>
      </c>
      <c r="J161" s="117" t="str">
        <f t="shared" si="48"/>
        <v>n/a</v>
      </c>
      <c r="K161" s="117" t="str">
        <f t="shared" si="48"/>
        <v>n/a</v>
      </c>
      <c r="L161" s="117" t="str">
        <f t="shared" si="48"/>
        <v>n/a</v>
      </c>
      <c r="M161" s="117" t="str">
        <f t="shared" si="48"/>
        <v>n/a</v>
      </c>
      <c r="N161" s="117" t="str">
        <f t="shared" si="48"/>
        <v>n/a</v>
      </c>
      <c r="O161" s="117" t="str">
        <f t="shared" si="48"/>
        <v>n/a</v>
      </c>
      <c r="Q161" s="35"/>
    </row>
    <row r="162" spans="2:17" s="22" customFormat="1" x14ac:dyDescent="0.3">
      <c r="B162" s="35"/>
      <c r="C162" s="42" t="s">
        <v>332</v>
      </c>
      <c r="D162" s="51" t="s">
        <v>47</v>
      </c>
      <c r="E162" s="88"/>
      <c r="F162" s="88"/>
      <c r="G162" s="105"/>
      <c r="H162" s="106" t="str">
        <f>IFERROR(H161/G161-1,"n/a")</f>
        <v>n/a</v>
      </c>
      <c r="I162" s="106" t="str">
        <f t="shared" ref="I162:O162" si="49">IFERROR(I161/H161-1,"n/a")</f>
        <v>n/a</v>
      </c>
      <c r="J162" s="118" t="str">
        <f t="shared" si="49"/>
        <v>n/a</v>
      </c>
      <c r="K162" s="118" t="str">
        <f t="shared" si="49"/>
        <v>n/a</v>
      </c>
      <c r="L162" s="118" t="str">
        <f t="shared" si="49"/>
        <v>n/a</v>
      </c>
      <c r="M162" s="118" t="str">
        <f t="shared" si="49"/>
        <v>n/a</v>
      </c>
      <c r="N162" s="118" t="str">
        <f t="shared" si="49"/>
        <v>n/a</v>
      </c>
      <c r="O162" s="118" t="str">
        <f t="shared" si="49"/>
        <v>n/a</v>
      </c>
      <c r="Q162" s="35"/>
    </row>
    <row r="163" spans="2:17" s="22" customFormat="1" x14ac:dyDescent="0.3">
      <c r="B163" s="35"/>
      <c r="C163" s="107" t="s">
        <v>333</v>
      </c>
      <c r="D163" s="46" t="s">
        <v>47</v>
      </c>
      <c r="E163" s="108"/>
      <c r="F163" s="108"/>
      <c r="G163" s="109"/>
      <c r="H163" s="110" t="str">
        <f>IFERROR(ROUND((1+H162)/(1+'Date macro-economice'!H$9)-1,4),"n/a")</f>
        <v>n/a</v>
      </c>
      <c r="I163" s="110" t="str">
        <f>IFERROR(ROUND((1+I162)/(1+'Date macro-economice'!I$9)-1,4),"n/a")</f>
        <v>n/a</v>
      </c>
      <c r="J163" s="119" t="str">
        <f>IFERROR(ROUND((1+J162)/(1+'Date macro-economice'!J$9)-1,4),"n/a")</f>
        <v>n/a</v>
      </c>
      <c r="K163" s="119" t="str">
        <f>IFERROR(ROUND((1+K162)/(1+'Date macro-economice'!K$9)-1,4),"n/a")</f>
        <v>n/a</v>
      </c>
      <c r="L163" s="119" t="str">
        <f>IFERROR(ROUND((1+L162)/(1+'Date macro-economice'!L$9)-1,4),"n/a")</f>
        <v>n/a</v>
      </c>
      <c r="M163" s="119" t="str">
        <f>IFERROR(ROUND((1+M162)/(1+'Date macro-economice'!M$9)-1,4),"n/a")</f>
        <v>n/a</v>
      </c>
      <c r="N163" s="119" t="str">
        <f>IFERROR(ROUND((1+N162)/(1+'Date macro-economice'!N$9)-1,4),"n/a")</f>
        <v>n/a</v>
      </c>
      <c r="O163" s="119" t="str">
        <f>IFERROR(ROUND((1+O162)/(1+'Date macro-economice'!O$9)-1,4),"n/a")</f>
        <v>n/a</v>
      </c>
      <c r="Q163" s="35"/>
    </row>
    <row r="164" spans="2:17" x14ac:dyDescent="0.3">
      <c r="B164" s="35"/>
      <c r="Q164" s="35"/>
    </row>
    <row r="165" spans="2:17" ht="8.1" customHeight="1" x14ac:dyDescent="0.3">
      <c r="B165" s="23"/>
      <c r="C165" s="23"/>
      <c r="D165" s="23"/>
      <c r="E165" s="23"/>
      <c r="F165" s="23"/>
      <c r="G165" s="23"/>
      <c r="H165" s="23"/>
      <c r="I165" s="23"/>
      <c r="J165" s="23"/>
      <c r="K165" s="23"/>
      <c r="L165" s="23"/>
      <c r="M165" s="23"/>
      <c r="N165" s="23"/>
      <c r="O165" s="23"/>
      <c r="P165" s="23"/>
      <c r="Q165" s="23"/>
    </row>
    <row r="167" spans="2:17" ht="8.1" customHeight="1" x14ac:dyDescent="0.3">
      <c r="B167" s="23"/>
      <c r="C167" s="23"/>
      <c r="D167" s="23"/>
      <c r="E167" s="23"/>
      <c r="F167" s="23"/>
      <c r="G167" s="23"/>
      <c r="H167" s="23"/>
      <c r="I167" s="23"/>
      <c r="J167" s="23"/>
      <c r="K167" s="23"/>
      <c r="L167" s="23"/>
      <c r="M167" s="23"/>
      <c r="N167" s="23"/>
      <c r="O167" s="23"/>
      <c r="P167" s="23"/>
      <c r="Q167" s="23"/>
    </row>
    <row r="168" spans="2:17" x14ac:dyDescent="0.3">
      <c r="B168" s="23"/>
      <c r="Q168" s="23"/>
    </row>
    <row r="169" spans="2:17" s="22" customFormat="1" ht="52.35" customHeight="1" x14ac:dyDescent="0.3">
      <c r="B169" s="35"/>
      <c r="C169" s="89" t="str">
        <f>'Costuri operare'!C473</f>
        <v>ACTIVITATEA DE CANALIZARE - CANALIZARE APE PLUVIALE</v>
      </c>
      <c r="D169" s="89"/>
      <c r="E169" s="111">
        <f>F169-1</f>
        <v>2022</v>
      </c>
      <c r="F169" s="111">
        <f>G169-1</f>
        <v>2023</v>
      </c>
      <c r="G169" s="112">
        <f>'Date generale'!$D$8</f>
        <v>2024</v>
      </c>
      <c r="H169" s="113">
        <f t="shared" ref="H169:O169" si="50">G169+1</f>
        <v>2025</v>
      </c>
      <c r="I169" s="113">
        <f t="shared" si="50"/>
        <v>2026</v>
      </c>
      <c r="J169" s="113">
        <f t="shared" si="50"/>
        <v>2027</v>
      </c>
      <c r="K169" s="113">
        <f t="shared" si="50"/>
        <v>2028</v>
      </c>
      <c r="L169" s="113">
        <f t="shared" si="50"/>
        <v>2029</v>
      </c>
      <c r="M169" s="113">
        <f t="shared" si="50"/>
        <v>2030</v>
      </c>
      <c r="N169" s="113">
        <f t="shared" si="50"/>
        <v>2031</v>
      </c>
      <c r="O169" s="113">
        <f t="shared" si="50"/>
        <v>2032</v>
      </c>
      <c r="Q169" s="35"/>
    </row>
    <row r="170" spans="2:17" x14ac:dyDescent="0.3">
      <c r="B170" s="23"/>
      <c r="C170" s="114"/>
      <c r="D170" s="114"/>
      <c r="E170" s="115">
        <f>F170-1</f>
        <v>-3</v>
      </c>
      <c r="F170" s="115">
        <f>G170-1</f>
        <v>-2</v>
      </c>
      <c r="G170" s="116">
        <v>-1</v>
      </c>
      <c r="H170" s="116">
        <v>0</v>
      </c>
      <c r="I170" s="116">
        <f t="shared" ref="I170:O170" si="51">H170+1</f>
        <v>1</v>
      </c>
      <c r="J170" s="116">
        <f t="shared" si="51"/>
        <v>2</v>
      </c>
      <c r="K170" s="116">
        <f t="shared" si="51"/>
        <v>3</v>
      </c>
      <c r="L170" s="116">
        <f t="shared" si="51"/>
        <v>4</v>
      </c>
      <c r="M170" s="116">
        <f t="shared" si="51"/>
        <v>5</v>
      </c>
      <c r="N170" s="116">
        <f t="shared" si="51"/>
        <v>6</v>
      </c>
      <c r="O170" s="116">
        <f t="shared" si="51"/>
        <v>7</v>
      </c>
      <c r="Q170" s="35"/>
    </row>
    <row r="171" spans="2:17" s="24" customFormat="1" x14ac:dyDescent="0.3">
      <c r="B171" s="61"/>
      <c r="C171" s="42"/>
      <c r="D171" s="51"/>
      <c r="E171" s="62"/>
      <c r="F171" s="62"/>
      <c r="G171" s="62"/>
      <c r="H171" s="62"/>
      <c r="I171" s="62"/>
      <c r="J171" s="62"/>
      <c r="K171" s="62"/>
      <c r="L171" s="62"/>
      <c r="M171" s="62"/>
      <c r="N171" s="62"/>
      <c r="O171" s="62"/>
      <c r="Q171" s="35"/>
    </row>
    <row r="172" spans="2:17" ht="28.8" x14ac:dyDescent="0.3">
      <c r="B172" s="23"/>
      <c r="C172" s="50" t="s">
        <v>324</v>
      </c>
      <c r="D172" s="43" t="s">
        <v>141</v>
      </c>
      <c r="E172" s="88"/>
      <c r="F172" s="88"/>
      <c r="G172" s="88">
        <f>'Costuri operare'!G486-'Costuri operare'!G482-'Costuri operare'!G481</f>
        <v>0</v>
      </c>
      <c r="H172" s="88">
        <f>'Costuri operare'!H486-'Costuri operare'!H482-'Costuri operare'!H481</f>
        <v>0</v>
      </c>
      <c r="I172" s="88">
        <f>'Costuri operare'!I486-'Costuri operare'!I482-'Costuri operare'!I481</f>
        <v>0</v>
      </c>
      <c r="J172" s="88">
        <f>'Costuri operare'!J486-'Costuri operare'!J482-'Costuri operare'!J481</f>
        <v>0</v>
      </c>
      <c r="K172" s="88">
        <f>'Costuri operare'!K486-'Costuri operare'!K482-'Costuri operare'!K481</f>
        <v>0</v>
      </c>
      <c r="L172" s="88">
        <f>'Costuri operare'!L486-'Costuri operare'!L482-'Costuri operare'!L481</f>
        <v>0</v>
      </c>
      <c r="M172" s="88">
        <f>'Costuri operare'!M486-'Costuri operare'!M482-'Costuri operare'!M481</f>
        <v>0</v>
      </c>
      <c r="N172" s="88">
        <f>'Costuri operare'!N486-'Costuri operare'!N482-'Costuri operare'!N481</f>
        <v>0</v>
      </c>
      <c r="O172" s="88">
        <f>'Costuri operare'!O486-'Costuri operare'!O482-'Costuri operare'!O481</f>
        <v>0</v>
      </c>
      <c r="Q172" s="35"/>
    </row>
    <row r="173" spans="2:17" s="22" customFormat="1" x14ac:dyDescent="0.3">
      <c r="B173" s="35"/>
      <c r="C173" s="50" t="s">
        <v>325</v>
      </c>
      <c r="D173" s="43" t="s">
        <v>141</v>
      </c>
      <c r="E173" s="88"/>
      <c r="F173" s="88"/>
      <c r="G173" s="88">
        <f>'Costuri operare'!G481+'Costuri operare'!G482</f>
        <v>0</v>
      </c>
      <c r="H173" s="88">
        <f>'Costuri operare'!H481+'Costuri operare'!H482</f>
        <v>0</v>
      </c>
      <c r="I173" s="88">
        <f>'Costuri operare'!I481+'Costuri operare'!I482</f>
        <v>0</v>
      </c>
      <c r="J173" s="88">
        <f>'Costuri operare'!J481+'Costuri operare'!J482</f>
        <v>0</v>
      </c>
      <c r="K173" s="88">
        <f>'Costuri operare'!K481+'Costuri operare'!K482</f>
        <v>0</v>
      </c>
      <c r="L173" s="88">
        <f>'Costuri operare'!L481+'Costuri operare'!L482</f>
        <v>0</v>
      </c>
      <c r="M173" s="88">
        <f>'Costuri operare'!M481+'Costuri operare'!M482</f>
        <v>0</v>
      </c>
      <c r="N173" s="88">
        <f>'Costuri operare'!N481+'Costuri operare'!N482</f>
        <v>0</v>
      </c>
      <c r="O173" s="88">
        <f>'Costuri operare'!O481+'Costuri operare'!O482</f>
        <v>0</v>
      </c>
      <c r="Q173" s="35"/>
    </row>
    <row r="174" spans="2:17" s="53" customFormat="1" x14ac:dyDescent="0.3">
      <c r="B174" s="63"/>
      <c r="C174" s="40" t="s">
        <v>326</v>
      </c>
      <c r="D174" s="43" t="s">
        <v>141</v>
      </c>
      <c r="E174" s="88"/>
      <c r="F174" s="88"/>
      <c r="G174" s="88">
        <f>(SUM(G172:G173)+G175)*'Date macro-economice'!$F$20</f>
        <v>0</v>
      </c>
      <c r="H174" s="88">
        <f>(SUM(H172:H173)+H175)*'Date macro-economice'!$F$20</f>
        <v>0</v>
      </c>
      <c r="I174" s="88">
        <f>(SUM(I172:I173)+I175)*'Date macro-economice'!$F$20</f>
        <v>0</v>
      </c>
      <c r="J174" s="88">
        <f>(SUM(J172:J173)+J175)*'Date macro-economice'!$F$20</f>
        <v>0</v>
      </c>
      <c r="K174" s="88">
        <f>(SUM(K172:K173)+K175)*'Date macro-economice'!$F$20</f>
        <v>0</v>
      </c>
      <c r="L174" s="88">
        <f>(SUM(L172:L173)+L175)*'Date macro-economice'!$F$20</f>
        <v>0</v>
      </c>
      <c r="M174" s="88">
        <f>(SUM(M172:M173)+M175)*'Date macro-economice'!$F$20</f>
        <v>0</v>
      </c>
      <c r="N174" s="88">
        <f>(SUM(N172:N173)+N175)*'Date macro-economice'!$F$20</f>
        <v>0</v>
      </c>
      <c r="O174" s="88">
        <f>(SUM(O172:O173)+O175)*'Date macro-economice'!$F$20</f>
        <v>0</v>
      </c>
      <c r="Q174" s="35"/>
    </row>
    <row r="175" spans="2:17" s="53" customFormat="1" x14ac:dyDescent="0.3">
      <c r="B175" s="63"/>
      <c r="C175" s="40" t="s">
        <v>327</v>
      </c>
      <c r="D175" s="43" t="s">
        <v>141</v>
      </c>
      <c r="E175" s="88"/>
      <c r="F175" s="88"/>
      <c r="G175" s="88">
        <f>'Investitii si finantare'!G156</f>
        <v>0</v>
      </c>
      <c r="H175" s="88">
        <f>'Investitii si finantare'!H156</f>
        <v>0</v>
      </c>
      <c r="I175" s="88">
        <f>'Investitii si finantare'!I156</f>
        <v>0</v>
      </c>
      <c r="J175" s="88">
        <f>'Investitii si finantare'!J156</f>
        <v>0</v>
      </c>
      <c r="K175" s="88">
        <f>'Investitii si finantare'!K156</f>
        <v>0</v>
      </c>
      <c r="L175" s="88">
        <f>'Investitii si finantare'!L156</f>
        <v>0</v>
      </c>
      <c r="M175" s="88">
        <f>'Investitii si finantare'!M156</f>
        <v>0</v>
      </c>
      <c r="N175" s="88">
        <f>'Investitii si finantare'!N156</f>
        <v>0</v>
      </c>
      <c r="O175" s="88">
        <f>'Investitii si finantare'!O156</f>
        <v>0</v>
      </c>
      <c r="Q175" s="35"/>
    </row>
    <row r="176" spans="2:17" s="22" customFormat="1" x14ac:dyDescent="0.3">
      <c r="B176" s="35"/>
      <c r="C176" s="40" t="s">
        <v>328</v>
      </c>
      <c r="D176" s="43" t="s">
        <v>141</v>
      </c>
      <c r="E176" s="88"/>
      <c r="F176" s="88"/>
      <c r="G176" s="88"/>
      <c r="H176" s="40">
        <f>SUM(H172:H173)*'Date macro-economice'!$F$21</f>
        <v>0</v>
      </c>
      <c r="I176" s="88">
        <f>SUM(I172:I173)*'Date macro-economice'!$F$21</f>
        <v>0</v>
      </c>
      <c r="J176" s="88">
        <f>SUM(J172:J173)*'Date macro-economice'!$F$21</f>
        <v>0</v>
      </c>
      <c r="K176" s="88">
        <f>SUM(K172:K173)*'Date macro-economice'!$F$21</f>
        <v>0</v>
      </c>
      <c r="L176" s="88">
        <f>SUM(L172:L173)*'Date macro-economice'!$F$21</f>
        <v>0</v>
      </c>
      <c r="M176" s="88">
        <f>SUM(M172:M173)*'Date macro-economice'!$F$21</f>
        <v>0</v>
      </c>
      <c r="N176" s="88">
        <f>SUM(N172:N173)*'Date macro-economice'!$F$21</f>
        <v>0</v>
      </c>
      <c r="O176" s="88">
        <f>SUM(O172:O173)*'Date macro-economice'!$F$21</f>
        <v>0</v>
      </c>
      <c r="Q176" s="35"/>
    </row>
    <row r="177" spans="2:17" s="22" customFormat="1" x14ac:dyDescent="0.3">
      <c r="B177" s="35"/>
      <c r="C177" s="42" t="s">
        <v>329</v>
      </c>
      <c r="D177" s="51" t="s">
        <v>141</v>
      </c>
      <c r="E177" s="62"/>
      <c r="F177" s="62"/>
      <c r="G177" s="62">
        <f t="shared" ref="G177:O177" si="52">SUM(G172:G176)</f>
        <v>0</v>
      </c>
      <c r="H177" s="62">
        <f t="shared" si="52"/>
        <v>0</v>
      </c>
      <c r="I177" s="62">
        <f t="shared" si="52"/>
        <v>0</v>
      </c>
      <c r="J177" s="62">
        <f t="shared" si="52"/>
        <v>0</v>
      </c>
      <c r="K177" s="62">
        <f t="shared" si="52"/>
        <v>0</v>
      </c>
      <c r="L177" s="62">
        <f t="shared" si="52"/>
        <v>0</v>
      </c>
      <c r="M177" s="62">
        <f t="shared" si="52"/>
        <v>0</v>
      </c>
      <c r="N177" s="62">
        <f t="shared" si="52"/>
        <v>0</v>
      </c>
      <c r="O177" s="62">
        <f t="shared" si="52"/>
        <v>0</v>
      </c>
      <c r="Q177" s="35"/>
    </row>
    <row r="178" spans="2:17" s="22" customFormat="1" x14ac:dyDescent="0.3">
      <c r="B178" s="35"/>
      <c r="C178" s="40" t="s">
        <v>330</v>
      </c>
      <c r="D178" s="43" t="s">
        <v>83</v>
      </c>
      <c r="E178" s="88"/>
      <c r="F178" s="88"/>
      <c r="G178" s="88">
        <f>Cererea!G76</f>
        <v>0</v>
      </c>
      <c r="H178" s="88">
        <f>Cererea!H76</f>
        <v>0</v>
      </c>
      <c r="I178" s="88">
        <f>Cererea!I76</f>
        <v>0</v>
      </c>
      <c r="J178" s="88">
        <f>Cererea!J76</f>
        <v>0</v>
      </c>
      <c r="K178" s="88">
        <f>Cererea!K76</f>
        <v>0</v>
      </c>
      <c r="L178" s="88">
        <f>Cererea!L76</f>
        <v>0</v>
      </c>
      <c r="M178" s="88">
        <f>Cererea!M76</f>
        <v>0</v>
      </c>
      <c r="N178" s="88">
        <f>Cererea!N76</f>
        <v>0</v>
      </c>
      <c r="O178" s="88">
        <f>Cererea!O76</f>
        <v>0</v>
      </c>
      <c r="Q178" s="35"/>
    </row>
    <row r="179" spans="2:17" s="22" customFormat="1" x14ac:dyDescent="0.3">
      <c r="B179" s="35"/>
      <c r="C179" s="42" t="s">
        <v>331</v>
      </c>
      <c r="D179" s="51" t="s">
        <v>36</v>
      </c>
      <c r="E179" s="62"/>
      <c r="F179" s="62"/>
      <c r="G179" s="103">
        <f>'Date de context'!E34</f>
        <v>0</v>
      </c>
      <c r="H179" s="104" t="str">
        <f>IFERROR(H177/H178,"n/a")</f>
        <v>n/a</v>
      </c>
      <c r="I179" s="104" t="str">
        <f t="shared" ref="I179:O179" si="53">IFERROR(I177/I178,"n/a")</f>
        <v>n/a</v>
      </c>
      <c r="J179" s="117" t="str">
        <f t="shared" si="53"/>
        <v>n/a</v>
      </c>
      <c r="K179" s="117" t="str">
        <f t="shared" si="53"/>
        <v>n/a</v>
      </c>
      <c r="L179" s="117" t="str">
        <f t="shared" si="53"/>
        <v>n/a</v>
      </c>
      <c r="M179" s="117" t="str">
        <f t="shared" si="53"/>
        <v>n/a</v>
      </c>
      <c r="N179" s="117" t="str">
        <f t="shared" si="53"/>
        <v>n/a</v>
      </c>
      <c r="O179" s="117" t="str">
        <f t="shared" si="53"/>
        <v>n/a</v>
      </c>
      <c r="Q179" s="35"/>
    </row>
    <row r="180" spans="2:17" s="22" customFormat="1" x14ac:dyDescent="0.3">
      <c r="B180" s="35"/>
      <c r="C180" s="42" t="s">
        <v>332</v>
      </c>
      <c r="D180" s="51" t="s">
        <v>47</v>
      </c>
      <c r="E180" s="88"/>
      <c r="F180" s="88"/>
      <c r="G180" s="105"/>
      <c r="H180" s="106" t="str">
        <f>IFERROR(H179/G179-1,"n/a")</f>
        <v>n/a</v>
      </c>
      <c r="I180" s="106" t="str">
        <f t="shared" ref="I180:O180" si="54">IFERROR(I179/H179-1,"n/a")</f>
        <v>n/a</v>
      </c>
      <c r="J180" s="118" t="str">
        <f t="shared" si="54"/>
        <v>n/a</v>
      </c>
      <c r="K180" s="118" t="str">
        <f t="shared" si="54"/>
        <v>n/a</v>
      </c>
      <c r="L180" s="118" t="str">
        <f t="shared" si="54"/>
        <v>n/a</v>
      </c>
      <c r="M180" s="118" t="str">
        <f t="shared" si="54"/>
        <v>n/a</v>
      </c>
      <c r="N180" s="118" t="str">
        <f t="shared" si="54"/>
        <v>n/a</v>
      </c>
      <c r="O180" s="118" t="str">
        <f t="shared" si="54"/>
        <v>n/a</v>
      </c>
      <c r="Q180" s="35"/>
    </row>
    <row r="181" spans="2:17" s="22" customFormat="1" x14ac:dyDescent="0.3">
      <c r="B181" s="35"/>
      <c r="C181" s="107" t="s">
        <v>333</v>
      </c>
      <c r="D181" s="46" t="s">
        <v>47</v>
      </c>
      <c r="E181" s="108"/>
      <c r="F181" s="108"/>
      <c r="G181" s="109"/>
      <c r="H181" s="110" t="str">
        <f>IFERROR(ROUND((1+H180)/(1+'Date macro-economice'!H$9)-1,4),"n/a")</f>
        <v>n/a</v>
      </c>
      <c r="I181" s="110" t="str">
        <f>IFERROR(ROUND((1+I180)/(1+'Date macro-economice'!I$9)-1,4),"n/a")</f>
        <v>n/a</v>
      </c>
      <c r="J181" s="119" t="str">
        <f>IFERROR(ROUND((1+J180)/(1+'Date macro-economice'!J$9)-1,4),"n/a")</f>
        <v>n/a</v>
      </c>
      <c r="K181" s="119" t="str">
        <f>IFERROR(ROUND((1+K180)/(1+'Date macro-economice'!K$9)-1,4),"n/a")</f>
        <v>n/a</v>
      </c>
      <c r="L181" s="119" t="str">
        <f>IFERROR(ROUND((1+L180)/(1+'Date macro-economice'!L$9)-1,4),"n/a")</f>
        <v>n/a</v>
      </c>
      <c r="M181" s="119" t="str">
        <f>IFERROR(ROUND((1+M180)/(1+'Date macro-economice'!M$9)-1,4),"n/a")</f>
        <v>n/a</v>
      </c>
      <c r="N181" s="119" t="str">
        <f>IFERROR(ROUND((1+N180)/(1+'Date macro-economice'!N$9)-1,4),"n/a")</f>
        <v>n/a</v>
      </c>
      <c r="O181" s="119" t="str">
        <f>IFERROR(ROUND((1+O180)/(1+'Date macro-economice'!O$9)-1,4),"n/a")</f>
        <v>n/a</v>
      </c>
      <c r="Q181" s="35"/>
    </row>
    <row r="182" spans="2:17" x14ac:dyDescent="0.3">
      <c r="B182" s="35"/>
      <c r="Q182" s="35"/>
    </row>
    <row r="183" spans="2:17" ht="8.1" customHeight="1" x14ac:dyDescent="0.3">
      <c r="B183" s="23"/>
      <c r="C183" s="23"/>
      <c r="D183" s="23"/>
      <c r="E183" s="23"/>
      <c r="F183" s="23"/>
      <c r="G183" s="23"/>
      <c r="H183" s="23"/>
      <c r="I183" s="23"/>
      <c r="J183" s="23"/>
      <c r="K183" s="23"/>
      <c r="L183" s="23"/>
      <c r="M183" s="23"/>
      <c r="N183" s="23"/>
      <c r="O183" s="23"/>
      <c r="P183" s="23"/>
      <c r="Q183" s="23"/>
    </row>
  </sheetData>
  <sheetProtection sheet="1" objects="1" scenarios="1"/>
  <mergeCells count="2">
    <mergeCell ref="C9:C10"/>
    <mergeCell ref="C3:D4"/>
  </mergeCells>
  <pageMargins left="0.27" right="0.19" top="0.34" bottom="0.4" header="0.3" footer="0.3"/>
  <pageSetup paperSize="9" scale="62" fitToHeight="4" pageOrder="overThenDown" orientation="landscape"/>
  <headerFooter>
    <oddFooter>&amp;L&amp;F
Sheet: &amp;A&amp;R&amp;P din &amp;N</oddFooter>
  </headerFooter>
  <rowBreaks count="3" manualBreakCount="3">
    <brk id="40" min="1" max="16" man="1"/>
    <brk id="76" min="1" max="16" man="1"/>
    <brk id="166" min="1" max="1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32"/>
  <sheetViews>
    <sheetView showGridLines="0" zoomScale="80" zoomScaleSheetLayoutView="70" workbookViewId="0">
      <selection activeCell="H13" sqref="H13"/>
    </sheetView>
  </sheetViews>
  <sheetFormatPr defaultColWidth="9.109375" defaultRowHeight="14.4" x14ac:dyDescent="0.3"/>
  <cols>
    <col min="1" max="1" width="2.5546875" customWidth="1"/>
    <col min="2" max="2" width="1.44140625" customWidth="1"/>
    <col min="3" max="3" width="38.44140625" customWidth="1"/>
    <col min="4" max="4" width="15.5546875" customWidth="1"/>
    <col min="5" max="7" width="14.5546875" customWidth="1"/>
    <col min="8" max="15" width="15.5546875" customWidth="1"/>
    <col min="16" max="16" width="3.5546875" customWidth="1"/>
    <col min="17" max="17" width="1.5546875" customWidth="1"/>
    <col min="18" max="18" width="3" customWidth="1"/>
    <col min="19" max="19" width="122.44140625" customWidth="1"/>
    <col min="20" max="23" width="30.5546875" customWidth="1"/>
  </cols>
  <sheetData>
    <row r="2" spans="2:17" ht="8.1" customHeight="1" x14ac:dyDescent="0.3">
      <c r="B2" s="23"/>
      <c r="C2" s="23"/>
      <c r="D2" s="23"/>
      <c r="E2" s="23"/>
      <c r="F2" s="23"/>
      <c r="G2" s="23"/>
      <c r="H2" s="23"/>
      <c r="I2" s="23"/>
      <c r="J2" s="23"/>
      <c r="K2" s="23"/>
      <c r="L2" s="23"/>
      <c r="M2" s="23"/>
      <c r="N2" s="23"/>
      <c r="O2" s="23"/>
      <c r="P2" s="23"/>
      <c r="Q2" s="23"/>
    </row>
    <row r="3" spans="2:17" ht="14.4" customHeight="1" x14ac:dyDescent="0.3">
      <c r="B3" s="23"/>
      <c r="C3" s="227" t="str">
        <f>CONCATENATE("VENITURI PENTRU OPERATORUL"," ",'Date generale'!D4)</f>
        <v>VENITURI PENTRU OPERATORUL SEVICIUL PUBLIC DE ALIMENTARE CU APA, CANALIZARE SI SALUBRIZARE</v>
      </c>
      <c r="D3" s="227"/>
      <c r="E3" s="51">
        <f>F3-1</f>
        <v>2022</v>
      </c>
      <c r="F3" s="51">
        <f>G3-1</f>
        <v>2023</v>
      </c>
      <c r="G3" s="46">
        <f>'Date generale'!$D$8</f>
        <v>2024</v>
      </c>
      <c r="H3" s="54">
        <f t="shared" ref="H3:O4" si="0">G3+1</f>
        <v>2025</v>
      </c>
      <c r="I3" s="54">
        <f t="shared" si="0"/>
        <v>2026</v>
      </c>
      <c r="J3" s="54">
        <f t="shared" si="0"/>
        <v>2027</v>
      </c>
      <c r="K3" s="54">
        <f t="shared" si="0"/>
        <v>2028</v>
      </c>
      <c r="L3" s="54">
        <f t="shared" si="0"/>
        <v>2029</v>
      </c>
      <c r="M3" s="54">
        <f t="shared" si="0"/>
        <v>2030</v>
      </c>
      <c r="N3" s="54">
        <f t="shared" si="0"/>
        <v>2031</v>
      </c>
      <c r="O3" s="54">
        <f t="shared" si="0"/>
        <v>2032</v>
      </c>
      <c r="Q3" s="23"/>
    </row>
    <row r="4" spans="2:17" x14ac:dyDescent="0.3">
      <c r="B4" s="23"/>
      <c r="C4" s="227"/>
      <c r="D4" s="227"/>
      <c r="E4" s="18">
        <f>F4-1</f>
        <v>-3</v>
      </c>
      <c r="F4" s="18">
        <f>G4-1</f>
        <v>-2</v>
      </c>
      <c r="G4" s="55">
        <v>-1</v>
      </c>
      <c r="H4" s="55">
        <v>0</v>
      </c>
      <c r="I4" s="55">
        <f t="shared" si="0"/>
        <v>1</v>
      </c>
      <c r="J4" s="55">
        <f t="shared" si="0"/>
        <v>2</v>
      </c>
      <c r="K4" s="55">
        <f t="shared" si="0"/>
        <v>3</v>
      </c>
      <c r="L4" s="55">
        <f t="shared" si="0"/>
        <v>4</v>
      </c>
      <c r="M4" s="55">
        <f t="shared" si="0"/>
        <v>5</v>
      </c>
      <c r="N4" s="55">
        <f t="shared" si="0"/>
        <v>6</v>
      </c>
      <c r="O4" s="55">
        <f t="shared" si="0"/>
        <v>7</v>
      </c>
      <c r="Q4" s="23"/>
    </row>
    <row r="5" spans="2:17" ht="8.1" customHeight="1" x14ac:dyDescent="0.3">
      <c r="B5" s="23"/>
      <c r="C5" s="23"/>
      <c r="D5" s="23"/>
      <c r="E5" s="23"/>
      <c r="F5" s="23"/>
      <c r="G5" s="23"/>
      <c r="H5" s="23"/>
      <c r="I5" s="23"/>
      <c r="J5" s="23"/>
      <c r="K5" s="23"/>
      <c r="L5" s="23"/>
      <c r="M5" s="23"/>
      <c r="N5" s="23"/>
      <c r="O5" s="23"/>
      <c r="P5" s="23"/>
      <c r="Q5" s="23"/>
    </row>
    <row r="6" spans="2:17" x14ac:dyDescent="0.3">
      <c r="B6" s="23"/>
      <c r="Q6" s="23"/>
    </row>
    <row r="7" spans="2:17" s="22" customFormat="1" x14ac:dyDescent="0.3">
      <c r="B7" s="23"/>
      <c r="C7" s="86" t="s">
        <v>334</v>
      </c>
      <c r="D7" s="51" t="s">
        <v>335</v>
      </c>
      <c r="E7" s="62">
        <f t="shared" ref="E7:O7" si="1">SUM(E8:E11)</f>
        <v>2201411</v>
      </c>
      <c r="F7" s="62">
        <f t="shared" si="1"/>
        <v>2149070</v>
      </c>
      <c r="G7" s="62">
        <f t="shared" si="1"/>
        <v>2137505</v>
      </c>
      <c r="H7" s="62">
        <f t="shared" si="1"/>
        <v>3487297.5600559646</v>
      </c>
      <c r="I7" s="62">
        <f t="shared" si="1"/>
        <v>3675166.3076341497</v>
      </c>
      <c r="J7" s="62">
        <f t="shared" si="1"/>
        <v>3838179.4492950388</v>
      </c>
      <c r="K7" s="62">
        <f t="shared" si="1"/>
        <v>4020594.9277323298</v>
      </c>
      <c r="L7" s="62">
        <f t="shared" si="1"/>
        <v>4221579.9624523753</v>
      </c>
      <c r="M7" s="62">
        <f t="shared" si="1"/>
        <v>4424162.2805628143</v>
      </c>
      <c r="N7" s="62">
        <f t="shared" si="1"/>
        <v>4888669.16875026</v>
      </c>
      <c r="O7" s="62">
        <f t="shared" si="1"/>
        <v>5081813.3499854691</v>
      </c>
      <c r="Q7" s="23"/>
    </row>
    <row r="8" spans="2:17" s="22" customFormat="1" ht="28.8" x14ac:dyDescent="0.3">
      <c r="B8" s="23"/>
      <c r="C8" s="40" t="str">
        <f>'Date de context'!C26</f>
        <v>Apa potabilă produsă, transportată și distribuită</v>
      </c>
      <c r="D8" s="43" t="s">
        <v>335</v>
      </c>
      <c r="E8" s="87">
        <v>2201411</v>
      </c>
      <c r="F8" s="87">
        <v>2149070</v>
      </c>
      <c r="G8" s="87">
        <v>2137505</v>
      </c>
      <c r="H8" s="88">
        <f>'Nivel tarife'!H33</f>
        <v>3487297.5600559646</v>
      </c>
      <c r="I8" s="88">
        <f>'Nivel tarife'!I33</f>
        <v>3675166.3076341497</v>
      </c>
      <c r="J8" s="88">
        <f>'Nivel tarife'!J33</f>
        <v>3838179.4492950388</v>
      </c>
      <c r="K8" s="88">
        <f>'Nivel tarife'!K33</f>
        <v>4020594.9277323298</v>
      </c>
      <c r="L8" s="88">
        <f>'Nivel tarife'!L33</f>
        <v>4221579.9624523753</v>
      </c>
      <c r="M8" s="88">
        <f>'Nivel tarife'!M33</f>
        <v>4424162.2805628143</v>
      </c>
      <c r="N8" s="88">
        <f>'Nivel tarife'!N33</f>
        <v>4888669.16875026</v>
      </c>
      <c r="O8" s="88">
        <f>'Nivel tarife'!O33</f>
        <v>5081813.3499854691</v>
      </c>
      <c r="Q8" s="23"/>
    </row>
    <row r="9" spans="2:17" s="22" customFormat="1" ht="42.6" customHeight="1" x14ac:dyDescent="0.3">
      <c r="B9" s="23"/>
      <c r="C9" s="40" t="str">
        <f>'Date de context'!C28</f>
        <v>Apa potabilă produsă și transportată în vederea redistribuirii în alte sisteme de operare</v>
      </c>
      <c r="D9" s="43" t="s">
        <v>335</v>
      </c>
      <c r="E9" s="87">
        <v>0</v>
      </c>
      <c r="F9" s="87">
        <v>0</v>
      </c>
      <c r="G9" s="87">
        <v>0</v>
      </c>
      <c r="H9" s="88">
        <f>'Nivel tarife'!H69</f>
        <v>0</v>
      </c>
      <c r="I9" s="88">
        <f>'Nivel tarife'!I69</f>
        <v>0</v>
      </c>
      <c r="J9" s="88">
        <f>'Nivel tarife'!J69</f>
        <v>0</v>
      </c>
      <c r="K9" s="88">
        <f>'Nivel tarife'!K69</f>
        <v>0</v>
      </c>
      <c r="L9" s="88">
        <f>'Nivel tarife'!L69</f>
        <v>0</v>
      </c>
      <c r="M9" s="88">
        <f>'Nivel tarife'!M69</f>
        <v>0</v>
      </c>
      <c r="N9" s="88">
        <f>'Nivel tarife'!N69</f>
        <v>0</v>
      </c>
      <c r="O9" s="88">
        <f>'Nivel tarife'!O69</f>
        <v>0</v>
      </c>
      <c r="Q9" s="23"/>
    </row>
    <row r="10" spans="2:17" s="22" customFormat="1" x14ac:dyDescent="0.3">
      <c r="B10" s="23"/>
      <c r="C10" s="40" t="str">
        <f>'Date de context'!C29</f>
        <v>Distribuția apei potabile</v>
      </c>
      <c r="D10" s="43" t="s">
        <v>335</v>
      </c>
      <c r="E10" s="87"/>
      <c r="F10" s="87"/>
      <c r="G10" s="87"/>
      <c r="H10" s="88">
        <f>'Nivel tarife'!H87</f>
        <v>0</v>
      </c>
      <c r="I10" s="88">
        <f>'Nivel tarife'!I87</f>
        <v>0</v>
      </c>
      <c r="J10" s="88">
        <f>'Nivel tarife'!J87</f>
        <v>0</v>
      </c>
      <c r="K10" s="88">
        <f>'Nivel tarife'!K87</f>
        <v>0</v>
      </c>
      <c r="L10" s="88">
        <f>'Nivel tarife'!L87</f>
        <v>0</v>
      </c>
      <c r="M10" s="88">
        <f>'Nivel tarife'!M87</f>
        <v>0</v>
      </c>
      <c r="N10" s="88">
        <f>'Nivel tarife'!N87</f>
        <v>0</v>
      </c>
      <c r="O10" s="88">
        <f>'Nivel tarife'!O87</f>
        <v>0</v>
      </c>
      <c r="Q10" s="23"/>
    </row>
    <row r="11" spans="2:17" s="22" customFormat="1" x14ac:dyDescent="0.3">
      <c r="B11" s="23"/>
      <c r="C11" s="40" t="str">
        <f>'Date de context'!C30</f>
        <v>Apa industriala</v>
      </c>
      <c r="D11" s="43" t="s">
        <v>335</v>
      </c>
      <c r="E11" s="87">
        <v>0</v>
      </c>
      <c r="F11" s="87">
        <v>0</v>
      </c>
      <c r="G11" s="87">
        <v>0</v>
      </c>
      <c r="H11" s="88">
        <f>'Nivel tarife'!H105</f>
        <v>0</v>
      </c>
      <c r="I11" s="88">
        <f>'Nivel tarife'!I105</f>
        <v>0</v>
      </c>
      <c r="J11" s="88">
        <f>'Nivel tarife'!J105</f>
        <v>0</v>
      </c>
      <c r="K11" s="88">
        <f>'Nivel tarife'!K105</f>
        <v>0</v>
      </c>
      <c r="L11" s="88">
        <f>'Nivel tarife'!L105</f>
        <v>0</v>
      </c>
      <c r="M11" s="88">
        <f>'Nivel tarife'!M105</f>
        <v>0</v>
      </c>
      <c r="N11" s="88">
        <f>'Nivel tarife'!N105</f>
        <v>0</v>
      </c>
      <c r="O11" s="88">
        <f>'Nivel tarife'!O105</f>
        <v>0</v>
      </c>
      <c r="Q11" s="23"/>
    </row>
    <row r="12" spans="2:17" s="22" customFormat="1" x14ac:dyDescent="0.3">
      <c r="B12" s="23"/>
      <c r="C12" s="89" t="s">
        <v>336</v>
      </c>
      <c r="D12" s="51" t="s">
        <v>335</v>
      </c>
      <c r="E12" s="62">
        <f t="shared" ref="E12:O12" si="2">SUM(E13:E17)</f>
        <v>1305133</v>
      </c>
      <c r="F12" s="62">
        <f t="shared" si="2"/>
        <v>1509105</v>
      </c>
      <c r="G12" s="62">
        <f t="shared" si="2"/>
        <v>1537895</v>
      </c>
      <c r="H12" s="62">
        <f t="shared" si="2"/>
        <v>2148183.2226414271</v>
      </c>
      <c r="I12" s="62">
        <f t="shared" si="2"/>
        <v>2294881.2535361368</v>
      </c>
      <c r="J12" s="62">
        <f t="shared" si="2"/>
        <v>2467411.5795292319</v>
      </c>
      <c r="K12" s="62">
        <f t="shared" si="2"/>
        <v>2562957.7764497888</v>
      </c>
      <c r="L12" s="62">
        <f t="shared" si="2"/>
        <v>2664522.5717204497</v>
      </c>
      <c r="M12" s="62">
        <f t="shared" si="2"/>
        <v>2786638.9064421132</v>
      </c>
      <c r="N12" s="62">
        <f t="shared" si="2"/>
        <v>3078599.3432342992</v>
      </c>
      <c r="O12" s="62">
        <f t="shared" si="2"/>
        <v>3115212.7671126048</v>
      </c>
      <c r="Q12" s="23"/>
    </row>
    <row r="13" spans="2:17" s="22" customFormat="1" ht="33" customHeight="1" x14ac:dyDescent="0.3">
      <c r="B13" s="23"/>
      <c r="C13" s="40" t="str">
        <f>'Date de context'!C27</f>
        <v>Canalizare – epurare ape uzate și meteorice procesate</v>
      </c>
      <c r="D13" s="43" t="s">
        <v>335</v>
      </c>
      <c r="E13" s="87">
        <v>1305133</v>
      </c>
      <c r="F13" s="87">
        <v>1509105</v>
      </c>
      <c r="G13" s="87">
        <v>1537895</v>
      </c>
      <c r="H13" s="88">
        <f>'Nivel tarife'!H51</f>
        <v>2148183.2226414271</v>
      </c>
      <c r="I13" s="88">
        <f>'Nivel tarife'!I51</f>
        <v>2294881.2535361368</v>
      </c>
      <c r="J13" s="88">
        <f>'Nivel tarife'!J51</f>
        <v>2467411.5795292319</v>
      </c>
      <c r="K13" s="88">
        <f>'Nivel tarife'!K51</f>
        <v>2562957.7764497888</v>
      </c>
      <c r="L13" s="88">
        <f>'Nivel tarife'!L51</f>
        <v>2664522.5717204497</v>
      </c>
      <c r="M13" s="88">
        <f>'Nivel tarife'!M51</f>
        <v>2786638.9064421132</v>
      </c>
      <c r="N13" s="88">
        <f>'Nivel tarife'!N51</f>
        <v>3078599.3432342992</v>
      </c>
      <c r="O13" s="88">
        <f>'Nivel tarife'!O51</f>
        <v>3115212.7671126048</v>
      </c>
      <c r="Q13" s="23"/>
    </row>
    <row r="14" spans="2:17" s="22" customFormat="1" ht="33" customHeight="1" x14ac:dyDescent="0.3">
      <c r="B14" s="23"/>
      <c r="C14" s="40" t="str">
        <f>'Date de context'!C31</f>
        <v>Transportul și epurarea apelor uzate preluate din alte sisteme de operare</v>
      </c>
      <c r="D14" s="43" t="s">
        <v>335</v>
      </c>
      <c r="E14" s="87">
        <v>0</v>
      </c>
      <c r="F14" s="87">
        <v>0</v>
      </c>
      <c r="G14" s="87">
        <v>0</v>
      </c>
      <c r="H14" s="88">
        <f>'Nivel tarife'!H123</f>
        <v>0</v>
      </c>
      <c r="I14" s="88">
        <f>'Nivel tarife'!I123</f>
        <v>0</v>
      </c>
      <c r="J14" s="88">
        <f>'Nivel tarife'!J123</f>
        <v>0</v>
      </c>
      <c r="K14" s="88">
        <f>'Nivel tarife'!K123</f>
        <v>0</v>
      </c>
      <c r="L14" s="88">
        <f>'Nivel tarife'!L123</f>
        <v>0</v>
      </c>
      <c r="M14" s="88">
        <f>'Nivel tarife'!M123</f>
        <v>0</v>
      </c>
      <c r="N14" s="88">
        <f>'Nivel tarife'!N123</f>
        <v>0</v>
      </c>
      <c r="O14" s="88">
        <f>'Nivel tarife'!O123</f>
        <v>0</v>
      </c>
      <c r="Q14" s="23"/>
    </row>
    <row r="15" spans="2:17" s="22" customFormat="1" ht="24.75" customHeight="1" x14ac:dyDescent="0.3">
      <c r="B15" s="23"/>
      <c r="C15" s="40" t="str">
        <f>'Date de context'!C32</f>
        <v>Canalizare ape uzate menajere</v>
      </c>
      <c r="D15" s="43" t="s">
        <v>335</v>
      </c>
      <c r="E15" s="87">
        <v>0</v>
      </c>
      <c r="F15" s="87">
        <v>0</v>
      </c>
      <c r="G15" s="87">
        <v>0</v>
      </c>
      <c r="H15" s="88">
        <f>'Nivel tarife'!H141</f>
        <v>0</v>
      </c>
      <c r="I15" s="88">
        <f>'Nivel tarife'!I141</f>
        <v>0</v>
      </c>
      <c r="J15" s="88">
        <f>'Nivel tarife'!J141</f>
        <v>0</v>
      </c>
      <c r="K15" s="88">
        <f>'Nivel tarife'!K141</f>
        <v>0</v>
      </c>
      <c r="L15" s="88">
        <f>'Nivel tarife'!L141</f>
        <v>0</v>
      </c>
      <c r="M15" s="88">
        <f>'Nivel tarife'!M141</f>
        <v>0</v>
      </c>
      <c r="N15" s="88">
        <f>'Nivel tarife'!N141</f>
        <v>0</v>
      </c>
      <c r="O15" s="88">
        <f>'Nivel tarife'!O141</f>
        <v>0</v>
      </c>
      <c r="Q15" s="23"/>
    </row>
    <row r="16" spans="2:17" s="22" customFormat="1" ht="34.35" customHeight="1" x14ac:dyDescent="0.3">
      <c r="B16" s="23"/>
      <c r="C16" s="40" t="str">
        <f>'Date de context'!C33</f>
        <v xml:space="preserve">Serviciul public inteligent alternativ pentru procesarea apelor uzate </v>
      </c>
      <c r="D16" s="43" t="s">
        <v>335</v>
      </c>
      <c r="E16" s="87">
        <v>0</v>
      </c>
      <c r="F16" s="87">
        <v>0</v>
      </c>
      <c r="G16" s="87">
        <v>0</v>
      </c>
      <c r="H16" s="88">
        <f>'Nivel tarife'!H159</f>
        <v>0</v>
      </c>
      <c r="I16" s="88">
        <f>'Nivel tarife'!I159</f>
        <v>0</v>
      </c>
      <c r="J16" s="88">
        <f>'Nivel tarife'!J159</f>
        <v>0</v>
      </c>
      <c r="K16" s="88">
        <f>'Nivel tarife'!K159</f>
        <v>0</v>
      </c>
      <c r="L16" s="88">
        <f>'Nivel tarife'!L159</f>
        <v>0</v>
      </c>
      <c r="M16" s="88">
        <f>'Nivel tarife'!M159</f>
        <v>0</v>
      </c>
      <c r="N16" s="88">
        <f>'Nivel tarife'!N159</f>
        <v>0</v>
      </c>
      <c r="O16" s="88">
        <f>'Nivel tarife'!O159</f>
        <v>0</v>
      </c>
      <c r="Q16" s="23"/>
    </row>
    <row r="17" spans="2:19" s="22" customFormat="1" x14ac:dyDescent="0.3">
      <c r="B17" s="23"/>
      <c r="C17" s="40" t="s">
        <v>337</v>
      </c>
      <c r="D17" s="43" t="s">
        <v>335</v>
      </c>
      <c r="E17" s="87">
        <v>0</v>
      </c>
      <c r="F17" s="87">
        <v>0</v>
      </c>
      <c r="G17" s="87">
        <v>0</v>
      </c>
      <c r="H17" s="88">
        <f>'Nivel tarife'!H177</f>
        <v>0</v>
      </c>
      <c r="I17" s="88">
        <f>'Nivel tarife'!I177</f>
        <v>0</v>
      </c>
      <c r="J17" s="88">
        <f>'Nivel tarife'!J177</f>
        <v>0</v>
      </c>
      <c r="K17" s="88">
        <f>'Nivel tarife'!K177</f>
        <v>0</v>
      </c>
      <c r="L17" s="88">
        <f>'Nivel tarife'!L177</f>
        <v>0</v>
      </c>
      <c r="M17" s="88">
        <f>'Nivel tarife'!M177</f>
        <v>0</v>
      </c>
      <c r="N17" s="88">
        <f>'Nivel tarife'!N177</f>
        <v>0</v>
      </c>
      <c r="O17" s="88">
        <f>'Nivel tarife'!O177</f>
        <v>0</v>
      </c>
      <c r="Q17" s="23"/>
      <c r="S17" s="239" t="s">
        <v>338</v>
      </c>
    </row>
    <row r="18" spans="2:19" s="22" customFormat="1" x14ac:dyDescent="0.3">
      <c r="B18" s="23"/>
      <c r="C18" s="40"/>
      <c r="D18" s="40"/>
      <c r="E18" s="40"/>
      <c r="F18" s="40"/>
      <c r="G18" s="40"/>
      <c r="H18" s="40"/>
      <c r="I18" s="40"/>
      <c r="J18" s="40"/>
      <c r="K18" s="40"/>
      <c r="L18" s="40"/>
      <c r="M18" s="40"/>
      <c r="N18" s="40"/>
      <c r="O18" s="40"/>
      <c r="Q18" s="23"/>
      <c r="S18" s="240"/>
    </row>
    <row r="19" spans="2:19" s="22" customFormat="1" ht="28.8" x14ac:dyDescent="0.3">
      <c r="B19" s="23"/>
      <c r="C19" s="40" t="s">
        <v>339</v>
      </c>
      <c r="D19" s="43" t="s">
        <v>335</v>
      </c>
      <c r="E19" s="87">
        <v>54105</v>
      </c>
      <c r="F19" s="87">
        <v>55139</v>
      </c>
      <c r="G19" s="87">
        <v>69011</v>
      </c>
      <c r="H19" s="90">
        <f>G19*(1+H27)</f>
        <v>69011</v>
      </c>
      <c r="I19" s="90">
        <f t="shared" ref="I19:O19" si="3">H19*(1+I27)</f>
        <v>69011</v>
      </c>
      <c r="J19" s="90">
        <f t="shared" si="3"/>
        <v>69011</v>
      </c>
      <c r="K19" s="90">
        <f t="shared" si="3"/>
        <v>69011</v>
      </c>
      <c r="L19" s="90">
        <f t="shared" si="3"/>
        <v>69011</v>
      </c>
      <c r="M19" s="90">
        <f t="shared" si="3"/>
        <v>69011</v>
      </c>
      <c r="N19" s="90">
        <f t="shared" si="3"/>
        <v>69011</v>
      </c>
      <c r="O19" s="90">
        <f t="shared" si="3"/>
        <v>69011</v>
      </c>
      <c r="Q19" s="23"/>
      <c r="S19" s="253"/>
    </row>
    <row r="20" spans="2:19" s="22" customFormat="1" ht="28.8" x14ac:dyDescent="0.3">
      <c r="B20" s="23"/>
      <c r="C20" s="40" t="s">
        <v>340</v>
      </c>
      <c r="D20" s="43" t="s">
        <v>335</v>
      </c>
      <c r="E20" s="87">
        <v>96550</v>
      </c>
      <c r="F20" s="87">
        <v>134386</v>
      </c>
      <c r="G20" s="87">
        <v>102028</v>
      </c>
      <c r="H20" s="90">
        <f t="shared" ref="H20:O20" si="4">G20*(1+H28)</f>
        <v>102028</v>
      </c>
      <c r="I20" s="90">
        <f t="shared" si="4"/>
        <v>102028</v>
      </c>
      <c r="J20" s="90">
        <f t="shared" si="4"/>
        <v>102028</v>
      </c>
      <c r="K20" s="90">
        <f t="shared" si="4"/>
        <v>102028</v>
      </c>
      <c r="L20" s="90">
        <f t="shared" si="4"/>
        <v>102028</v>
      </c>
      <c r="M20" s="90">
        <f t="shared" si="4"/>
        <v>102028</v>
      </c>
      <c r="N20" s="90">
        <f t="shared" si="4"/>
        <v>102028</v>
      </c>
      <c r="O20" s="90">
        <f t="shared" si="4"/>
        <v>102028</v>
      </c>
      <c r="Q20" s="23"/>
      <c r="S20" s="253"/>
    </row>
    <row r="21" spans="2:19" s="22" customFormat="1" x14ac:dyDescent="0.3">
      <c r="B21" s="23"/>
      <c r="C21" s="40" t="s">
        <v>341</v>
      </c>
      <c r="D21" s="43" t="s">
        <v>335</v>
      </c>
      <c r="E21" s="87">
        <v>1512864</v>
      </c>
      <c r="F21" s="87">
        <v>2342866</v>
      </c>
      <c r="G21" s="87">
        <v>2231287</v>
      </c>
      <c r="H21" s="90">
        <f t="shared" ref="H21:O21" si="5">G21*(1+H29)</f>
        <v>2231287</v>
      </c>
      <c r="I21" s="90">
        <f t="shared" si="5"/>
        <v>2231287</v>
      </c>
      <c r="J21" s="90">
        <f t="shared" si="5"/>
        <v>2231287</v>
      </c>
      <c r="K21" s="90">
        <f t="shared" si="5"/>
        <v>2231287</v>
      </c>
      <c r="L21" s="90">
        <f t="shared" si="5"/>
        <v>2231287</v>
      </c>
      <c r="M21" s="90">
        <f t="shared" si="5"/>
        <v>2231287</v>
      </c>
      <c r="N21" s="90">
        <f t="shared" si="5"/>
        <v>2231287</v>
      </c>
      <c r="O21" s="90">
        <f t="shared" si="5"/>
        <v>2231287</v>
      </c>
      <c r="Q21" s="23"/>
      <c r="S21" s="253"/>
    </row>
    <row r="22" spans="2:19" s="22" customFormat="1" ht="28.8" x14ac:dyDescent="0.3">
      <c r="B22" s="23"/>
      <c r="C22" s="40" t="s">
        <v>342</v>
      </c>
      <c r="D22" s="43" t="s">
        <v>335</v>
      </c>
      <c r="E22" s="87">
        <v>0</v>
      </c>
      <c r="F22" s="87">
        <v>0</v>
      </c>
      <c r="G22" s="87">
        <v>0</v>
      </c>
      <c r="H22" s="90">
        <f t="shared" ref="H22:O22" si="6">G22*(1+H30)</f>
        <v>0</v>
      </c>
      <c r="I22" s="90">
        <f t="shared" si="6"/>
        <v>0</v>
      </c>
      <c r="J22" s="90">
        <f t="shared" si="6"/>
        <v>0</v>
      </c>
      <c r="K22" s="90">
        <f t="shared" si="6"/>
        <v>0</v>
      </c>
      <c r="L22" s="90">
        <f t="shared" si="6"/>
        <v>0</v>
      </c>
      <c r="M22" s="90">
        <f t="shared" si="6"/>
        <v>0</v>
      </c>
      <c r="N22" s="90">
        <f t="shared" si="6"/>
        <v>0</v>
      </c>
      <c r="O22" s="90">
        <f t="shared" si="6"/>
        <v>0</v>
      </c>
      <c r="Q22" s="23"/>
      <c r="S22" s="253"/>
    </row>
    <row r="23" spans="2:19" s="22" customFormat="1" x14ac:dyDescent="0.3">
      <c r="B23" s="23"/>
      <c r="C23" s="40"/>
      <c r="D23" s="40"/>
      <c r="E23" s="40"/>
      <c r="F23" s="40"/>
      <c r="G23" s="40"/>
      <c r="H23" s="40"/>
      <c r="I23" s="40"/>
      <c r="J23" s="40"/>
      <c r="K23" s="40"/>
      <c r="L23" s="40"/>
      <c r="M23" s="40"/>
      <c r="N23" s="40"/>
      <c r="O23" s="40"/>
      <c r="Q23" s="23"/>
      <c r="S23" s="253"/>
    </row>
    <row r="24" spans="2:19" x14ac:dyDescent="0.3">
      <c r="B24" s="23"/>
      <c r="C24" s="42" t="s">
        <v>343</v>
      </c>
      <c r="D24" s="43" t="s">
        <v>335</v>
      </c>
      <c r="E24" s="91">
        <f t="shared" ref="E24:O24" si="7">E7+E12+SUM(E19:E22)</f>
        <v>5170063</v>
      </c>
      <c r="F24" s="91">
        <f t="shared" si="7"/>
        <v>6190566</v>
      </c>
      <c r="G24" s="91">
        <f t="shared" si="7"/>
        <v>6077726</v>
      </c>
      <c r="H24" s="91">
        <f t="shared" si="7"/>
        <v>8037806.7826973917</v>
      </c>
      <c r="I24" s="91">
        <f t="shared" si="7"/>
        <v>8372373.5611702865</v>
      </c>
      <c r="J24" s="91">
        <f t="shared" si="7"/>
        <v>8707917.0288242698</v>
      </c>
      <c r="K24" s="91">
        <f t="shared" si="7"/>
        <v>8985878.7041821182</v>
      </c>
      <c r="L24" s="91">
        <f t="shared" si="7"/>
        <v>9288428.5341728255</v>
      </c>
      <c r="M24" s="91">
        <f t="shared" si="7"/>
        <v>9613127.1870049275</v>
      </c>
      <c r="N24" s="91">
        <f t="shared" si="7"/>
        <v>10369594.511984559</v>
      </c>
      <c r="O24" s="91">
        <f t="shared" si="7"/>
        <v>10599352.117098074</v>
      </c>
      <c r="Q24" s="23"/>
      <c r="S24" s="253"/>
    </row>
    <row r="25" spans="2:19" x14ac:dyDescent="0.3">
      <c r="B25" s="23"/>
      <c r="Q25" s="23"/>
      <c r="S25" s="253"/>
    </row>
    <row r="26" spans="2:19" x14ac:dyDescent="0.3">
      <c r="B26" s="23"/>
      <c r="C26" s="42" t="s">
        <v>344</v>
      </c>
      <c r="D26" s="14"/>
      <c r="E26" s="14"/>
      <c r="F26" s="14"/>
      <c r="G26" s="14"/>
      <c r="H26" s="14"/>
      <c r="I26" s="14"/>
      <c r="J26" s="14"/>
      <c r="K26" s="14"/>
      <c r="L26" s="14"/>
      <c r="M26" s="14"/>
      <c r="N26" s="14"/>
      <c r="O26" s="14"/>
      <c r="Q26" s="23"/>
      <c r="S26" s="253"/>
    </row>
    <row r="27" spans="2:19" s="22" customFormat="1" ht="28.8" x14ac:dyDescent="0.3">
      <c r="B27" s="23"/>
      <c r="C27" s="40" t="s">
        <v>339</v>
      </c>
      <c r="D27" s="43" t="s">
        <v>47</v>
      </c>
      <c r="E27" s="92" t="s">
        <v>92</v>
      </c>
      <c r="F27" s="36">
        <f t="shared" ref="F27:G30" si="8">IF(E19&lt;&gt;0,F19/E19-1,0)</f>
        <v>1.911098789390997E-2</v>
      </c>
      <c r="G27" s="36">
        <f t="shared" si="8"/>
        <v>0.25158236456954253</v>
      </c>
      <c r="H27" s="93">
        <v>0</v>
      </c>
      <c r="I27" s="93">
        <v>0</v>
      </c>
      <c r="J27" s="93">
        <v>0</v>
      </c>
      <c r="K27" s="93">
        <v>0</v>
      </c>
      <c r="L27" s="93">
        <v>0</v>
      </c>
      <c r="M27" s="93">
        <v>0</v>
      </c>
      <c r="N27" s="93">
        <v>0</v>
      </c>
      <c r="O27" s="93">
        <v>0</v>
      </c>
      <c r="Q27" s="23"/>
      <c r="S27" s="253"/>
    </row>
    <row r="28" spans="2:19" s="22" customFormat="1" ht="28.8" x14ac:dyDescent="0.3">
      <c r="B28" s="23"/>
      <c r="C28" s="40" t="s">
        <v>340</v>
      </c>
      <c r="D28" s="43" t="s">
        <v>47</v>
      </c>
      <c r="E28" s="92" t="s">
        <v>92</v>
      </c>
      <c r="F28" s="36">
        <f t="shared" si="8"/>
        <v>0.39187985499741074</v>
      </c>
      <c r="G28" s="36">
        <f t="shared" si="8"/>
        <v>-0.24078401023916185</v>
      </c>
      <c r="H28" s="93">
        <v>0</v>
      </c>
      <c r="I28" s="93">
        <v>0</v>
      </c>
      <c r="J28" s="93">
        <v>0</v>
      </c>
      <c r="K28" s="93">
        <v>0</v>
      </c>
      <c r="L28" s="93">
        <v>0</v>
      </c>
      <c r="M28" s="93">
        <v>0</v>
      </c>
      <c r="N28" s="93">
        <v>0</v>
      </c>
      <c r="O28" s="93">
        <v>0</v>
      </c>
      <c r="Q28" s="23"/>
      <c r="S28" s="253"/>
    </row>
    <row r="29" spans="2:19" s="22" customFormat="1" x14ac:dyDescent="0.3">
      <c r="B29" s="23"/>
      <c r="C29" s="40" t="s">
        <v>341</v>
      </c>
      <c r="D29" s="43" t="s">
        <v>47</v>
      </c>
      <c r="E29" s="92" t="s">
        <v>92</v>
      </c>
      <c r="F29" s="36">
        <f t="shared" si="8"/>
        <v>0.54862961905366237</v>
      </c>
      <c r="G29" s="36">
        <f t="shared" si="8"/>
        <v>-4.762500288108662E-2</v>
      </c>
      <c r="H29" s="93">
        <v>0</v>
      </c>
      <c r="I29" s="93">
        <v>0</v>
      </c>
      <c r="J29" s="93">
        <v>0</v>
      </c>
      <c r="K29" s="93">
        <v>0</v>
      </c>
      <c r="L29" s="93">
        <v>0</v>
      </c>
      <c r="M29" s="93">
        <v>0</v>
      </c>
      <c r="N29" s="93">
        <v>0</v>
      </c>
      <c r="O29" s="93">
        <v>0</v>
      </c>
      <c r="Q29" s="23"/>
      <c r="S29" s="253"/>
    </row>
    <row r="30" spans="2:19" s="22" customFormat="1" ht="28.8" x14ac:dyDescent="0.3">
      <c r="B30" s="23"/>
      <c r="C30" s="40" t="s">
        <v>342</v>
      </c>
      <c r="D30" s="43" t="s">
        <v>47</v>
      </c>
      <c r="E30" s="92" t="s">
        <v>92</v>
      </c>
      <c r="F30" s="36">
        <f t="shared" si="8"/>
        <v>0</v>
      </c>
      <c r="G30" s="36">
        <f t="shared" si="8"/>
        <v>0</v>
      </c>
      <c r="H30" s="93">
        <v>0</v>
      </c>
      <c r="I30" s="93">
        <v>0</v>
      </c>
      <c r="J30" s="93">
        <v>0</v>
      </c>
      <c r="K30" s="93">
        <v>0</v>
      </c>
      <c r="L30" s="93">
        <v>0</v>
      </c>
      <c r="M30" s="93">
        <v>0</v>
      </c>
      <c r="N30" s="93">
        <v>0</v>
      </c>
      <c r="O30" s="93">
        <v>0</v>
      </c>
      <c r="Q30" s="23"/>
      <c r="S30" s="253"/>
    </row>
    <row r="31" spans="2:19" x14ac:dyDescent="0.3">
      <c r="B31" s="23"/>
      <c r="Q31" s="23"/>
      <c r="S31" s="253"/>
    </row>
    <row r="32" spans="2:19" ht="8.1" customHeight="1" x14ac:dyDescent="0.3">
      <c r="B32" s="23"/>
      <c r="C32" s="23"/>
      <c r="D32" s="23"/>
      <c r="E32" s="23"/>
      <c r="F32" s="23"/>
      <c r="G32" s="23"/>
      <c r="H32" s="23"/>
      <c r="I32" s="23"/>
      <c r="J32" s="23"/>
      <c r="K32" s="23"/>
      <c r="L32" s="23"/>
      <c r="M32" s="23"/>
      <c r="N32" s="23"/>
      <c r="O32" s="23"/>
      <c r="P32" s="23"/>
      <c r="Q32" s="23"/>
    </row>
  </sheetData>
  <sheetProtection sheet="1" objects="1" scenarios="1"/>
  <mergeCells count="3">
    <mergeCell ref="S17:S18"/>
    <mergeCell ref="S19:S31"/>
    <mergeCell ref="C3:D4"/>
  </mergeCells>
  <pageMargins left="0.27" right="0.23999999999999996" top="0.39" bottom="0.39" header="0.3" footer="0.3"/>
  <pageSetup paperSize="9" scale="62" pageOrder="overThenDown" orientation="landscape"/>
  <headerFooter>
    <oddFooter>&amp;L&amp;F
Sheet: &amp;A&amp;R&amp;P din  &amp;N</oddFooter>
  </headerFooter>
  <colBreaks count="1" manualBreakCount="1">
    <brk id="17" min="1" max="31"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S48"/>
  <sheetViews>
    <sheetView showGridLines="0" workbookViewId="0">
      <pane ySplit="1536" activePane="bottomLeft"/>
      <selection pane="bottomLeft" activeCell="I44" sqref="I44"/>
    </sheetView>
  </sheetViews>
  <sheetFormatPr defaultColWidth="9.109375" defaultRowHeight="14.4" x14ac:dyDescent="0.3"/>
  <cols>
    <col min="1" max="1" width="2.5546875" customWidth="1"/>
    <col min="2" max="2" width="1.44140625" customWidth="1"/>
    <col min="3" max="3" width="43" customWidth="1"/>
    <col min="4" max="15" width="15.5546875" customWidth="1"/>
    <col min="16" max="16" width="3.5546875" customWidth="1"/>
    <col min="17" max="17" width="1.5546875" customWidth="1"/>
    <col min="18" max="18" width="3" customWidth="1"/>
    <col min="19" max="19" width="146.44140625" customWidth="1"/>
    <col min="20" max="21" width="30.5546875" customWidth="1"/>
  </cols>
  <sheetData>
    <row r="2" spans="2:19" ht="8.1" customHeight="1" x14ac:dyDescent="0.3">
      <c r="B2" s="23"/>
      <c r="C2" s="23"/>
      <c r="D2" s="23"/>
      <c r="E2" s="23"/>
      <c r="F2" s="23"/>
      <c r="G2" s="23"/>
      <c r="H2" s="23"/>
      <c r="I2" s="23"/>
      <c r="J2" s="23"/>
      <c r="K2" s="23"/>
      <c r="L2" s="23"/>
      <c r="M2" s="23"/>
      <c r="N2" s="23"/>
      <c r="O2" s="23"/>
      <c r="P2" s="23"/>
      <c r="Q2" s="23"/>
    </row>
    <row r="3" spans="2:19" ht="14.4" customHeight="1" x14ac:dyDescent="0.3">
      <c r="B3" s="23"/>
      <c r="C3" s="227" t="str">
        <f>CONCATENATE("PROGNOZA SUPORTABILITATII CONSUMATORILOR PENTRU OPERATORUL"," ",'Date generale'!D4)</f>
        <v>PROGNOZA SUPORTABILITATII CONSUMATORILOR PENTRU OPERATORUL SEVICIUL PUBLIC DE ALIMENTARE CU APA, CANALIZARE SI SALUBRIZARE</v>
      </c>
      <c r="D3" s="227"/>
      <c r="E3" s="51">
        <f>F3-1</f>
        <v>2022</v>
      </c>
      <c r="F3" s="51">
        <f>G3-1</f>
        <v>2023</v>
      </c>
      <c r="G3" s="46">
        <f>'Date generale'!$D$8</f>
        <v>2024</v>
      </c>
      <c r="H3" s="54">
        <f t="shared" ref="H3:O4" si="0">G3+1</f>
        <v>2025</v>
      </c>
      <c r="I3" s="54">
        <f t="shared" si="0"/>
        <v>2026</v>
      </c>
      <c r="J3" s="54">
        <f t="shared" si="0"/>
        <v>2027</v>
      </c>
      <c r="K3" s="54">
        <f t="shared" si="0"/>
        <v>2028</v>
      </c>
      <c r="L3" s="54">
        <f t="shared" si="0"/>
        <v>2029</v>
      </c>
      <c r="M3" s="54">
        <f t="shared" si="0"/>
        <v>2030</v>
      </c>
      <c r="N3" s="54">
        <f t="shared" si="0"/>
        <v>2031</v>
      </c>
      <c r="O3" s="54">
        <f t="shared" si="0"/>
        <v>2032</v>
      </c>
      <c r="Q3" s="23"/>
    </row>
    <row r="4" spans="2:19" x14ac:dyDescent="0.3">
      <c r="B4" s="23"/>
      <c r="C4" s="227"/>
      <c r="D4" s="227"/>
      <c r="E4" s="18">
        <f>F4-1</f>
        <v>-3</v>
      </c>
      <c r="F4" s="18">
        <f>G4-1</f>
        <v>-2</v>
      </c>
      <c r="G4" s="55">
        <v>-1</v>
      </c>
      <c r="H4" s="55">
        <v>0</v>
      </c>
      <c r="I4" s="55">
        <f t="shared" si="0"/>
        <v>1</v>
      </c>
      <c r="J4" s="55">
        <f t="shared" si="0"/>
        <v>2</v>
      </c>
      <c r="K4" s="55">
        <f t="shared" si="0"/>
        <v>3</v>
      </c>
      <c r="L4" s="55">
        <f t="shared" si="0"/>
        <v>4</v>
      </c>
      <c r="M4" s="55">
        <f t="shared" si="0"/>
        <v>5</v>
      </c>
      <c r="N4" s="55">
        <f t="shared" si="0"/>
        <v>6</v>
      </c>
      <c r="O4" s="55">
        <f t="shared" si="0"/>
        <v>7</v>
      </c>
      <c r="Q4" s="23"/>
    </row>
    <row r="5" spans="2:19" ht="8.1" customHeight="1" x14ac:dyDescent="0.3">
      <c r="B5" s="23"/>
      <c r="C5" s="23"/>
      <c r="D5" s="23"/>
      <c r="E5" s="23"/>
      <c r="F5" s="23"/>
      <c r="G5" s="23"/>
      <c r="H5" s="23"/>
      <c r="I5" s="23"/>
      <c r="J5" s="23"/>
      <c r="K5" s="23"/>
      <c r="L5" s="23"/>
      <c r="M5" s="23"/>
      <c r="N5" s="23"/>
      <c r="O5" s="23"/>
      <c r="P5" s="23"/>
      <c r="Q5" s="23"/>
    </row>
    <row r="7" spans="2:19" ht="8.1" customHeight="1" x14ac:dyDescent="0.3">
      <c r="B7" s="23"/>
      <c r="C7" s="23"/>
      <c r="D7" s="23"/>
      <c r="E7" s="23"/>
      <c r="F7" s="23"/>
      <c r="G7" s="23"/>
      <c r="H7" s="23"/>
      <c r="I7" s="23"/>
      <c r="J7" s="23"/>
      <c r="K7" s="23"/>
      <c r="L7" s="23"/>
      <c r="M7" s="23"/>
      <c r="N7" s="23"/>
      <c r="O7" s="23"/>
      <c r="P7" s="23"/>
      <c r="Q7" s="23"/>
    </row>
    <row r="8" spans="2:19" x14ac:dyDescent="0.3">
      <c r="B8" s="23"/>
      <c r="C8" s="24" t="s">
        <v>345</v>
      </c>
      <c r="Q8" s="23"/>
    </row>
    <row r="9" spans="2:19" ht="8.1" customHeight="1" x14ac:dyDescent="0.3">
      <c r="B9" s="23"/>
      <c r="C9" s="23"/>
      <c r="D9" s="23"/>
      <c r="E9" s="23"/>
      <c r="F9" s="23"/>
      <c r="G9" s="23"/>
      <c r="H9" s="23"/>
      <c r="I9" s="23"/>
      <c r="J9" s="23"/>
      <c r="K9" s="23"/>
      <c r="L9" s="23"/>
      <c r="M9" s="23"/>
      <c r="N9" s="23"/>
      <c r="O9" s="23"/>
      <c r="P9" s="23"/>
      <c r="Q9" s="23"/>
    </row>
    <row r="10" spans="2:19" x14ac:dyDescent="0.3">
      <c r="B10" s="23"/>
      <c r="Q10" s="23"/>
    </row>
    <row r="11" spans="2:19" s="22" customFormat="1" ht="29.1" customHeight="1" x14ac:dyDescent="0.3">
      <c r="B11" s="35"/>
      <c r="C11" s="56" t="s">
        <v>346</v>
      </c>
      <c r="D11" s="56"/>
      <c r="E11" s="37">
        <f>F11-1</f>
        <v>2022</v>
      </c>
      <c r="F11" s="37">
        <f>G11-1</f>
        <v>2023</v>
      </c>
      <c r="G11" s="57">
        <f>'Date generale'!$D$8</f>
        <v>2024</v>
      </c>
      <c r="H11" s="58">
        <f t="shared" ref="H11:O12" si="1">G11+1</f>
        <v>2025</v>
      </c>
      <c r="I11" s="58">
        <f t="shared" si="1"/>
        <v>2026</v>
      </c>
      <c r="J11" s="58">
        <f t="shared" si="1"/>
        <v>2027</v>
      </c>
      <c r="K11" s="58">
        <f t="shared" si="1"/>
        <v>2028</v>
      </c>
      <c r="L11" s="58">
        <f t="shared" si="1"/>
        <v>2029</v>
      </c>
      <c r="M11" s="58">
        <f t="shared" si="1"/>
        <v>2030</v>
      </c>
      <c r="N11" s="58">
        <f t="shared" si="1"/>
        <v>2031</v>
      </c>
      <c r="O11" s="58">
        <f t="shared" si="1"/>
        <v>2032</v>
      </c>
      <c r="Q11" s="35"/>
      <c r="S11"/>
    </row>
    <row r="12" spans="2:19" x14ac:dyDescent="0.3">
      <c r="B12" s="23"/>
      <c r="C12" s="59"/>
      <c r="D12" s="59"/>
      <c r="E12" s="27">
        <f>F12-1</f>
        <v>-3</v>
      </c>
      <c r="F12" s="27">
        <f>G12-1</f>
        <v>-2</v>
      </c>
      <c r="G12" s="60">
        <v>-1</v>
      </c>
      <c r="H12" s="60">
        <v>0</v>
      </c>
      <c r="I12" s="60">
        <f t="shared" si="1"/>
        <v>1</v>
      </c>
      <c r="J12" s="60">
        <f t="shared" si="1"/>
        <v>2</v>
      </c>
      <c r="K12" s="60">
        <f t="shared" si="1"/>
        <v>3</v>
      </c>
      <c r="L12" s="60">
        <f t="shared" si="1"/>
        <v>4</v>
      </c>
      <c r="M12" s="60">
        <f t="shared" si="1"/>
        <v>5</v>
      </c>
      <c r="N12" s="60">
        <f t="shared" si="1"/>
        <v>6</v>
      </c>
      <c r="O12" s="60">
        <f t="shared" si="1"/>
        <v>7</v>
      </c>
      <c r="Q12" s="35"/>
    </row>
    <row r="13" spans="2:19" s="24" customFormat="1" x14ac:dyDescent="0.3">
      <c r="B13" s="61"/>
      <c r="C13" s="42"/>
      <c r="D13" s="51"/>
      <c r="E13" s="62"/>
      <c r="F13" s="62"/>
      <c r="G13" s="62"/>
      <c r="H13" s="62"/>
      <c r="I13" s="62"/>
      <c r="J13" s="62"/>
      <c r="K13" s="62"/>
      <c r="L13" s="62"/>
      <c r="M13" s="62"/>
      <c r="N13" s="62"/>
      <c r="O13" s="62"/>
      <c r="Q13" s="35"/>
      <c r="S13"/>
    </row>
    <row r="14" spans="2:19" s="53" customFormat="1" ht="38.25" customHeight="1" x14ac:dyDescent="0.3">
      <c r="B14" s="63"/>
      <c r="C14" s="40" t="s">
        <v>347</v>
      </c>
      <c r="D14" s="43" t="s">
        <v>348</v>
      </c>
      <c r="E14" s="64">
        <v>7226.76</v>
      </c>
      <c r="F14" s="64">
        <v>7961.23</v>
      </c>
      <c r="G14" s="64">
        <v>9127.94</v>
      </c>
      <c r="H14" s="62"/>
      <c r="I14" s="62"/>
      <c r="J14" s="62"/>
      <c r="K14" s="62"/>
      <c r="L14" s="62"/>
      <c r="M14" s="62"/>
      <c r="N14" s="62"/>
      <c r="O14" s="62"/>
      <c r="Q14" s="35"/>
      <c r="S14"/>
    </row>
    <row r="15" spans="2:19" s="53" customFormat="1" x14ac:dyDescent="0.3">
      <c r="B15" s="63"/>
      <c r="C15" s="50" t="s">
        <v>349</v>
      </c>
      <c r="D15" s="43" t="s">
        <v>348</v>
      </c>
      <c r="E15" s="64">
        <v>2228.29</v>
      </c>
      <c r="F15" s="64">
        <v>2406.39</v>
      </c>
      <c r="G15" s="64">
        <v>2817.34</v>
      </c>
      <c r="H15" s="65"/>
      <c r="I15" s="65"/>
      <c r="J15" s="65"/>
      <c r="K15" s="65"/>
      <c r="L15" s="65"/>
      <c r="M15" s="65"/>
      <c r="N15" s="65"/>
      <c r="O15" s="65"/>
      <c r="Q15" s="35"/>
      <c r="S15"/>
    </row>
    <row r="16" spans="2:19" s="53" customFormat="1" x14ac:dyDescent="0.3">
      <c r="B16" s="63"/>
      <c r="C16" s="66" t="s">
        <v>350</v>
      </c>
      <c r="D16" s="43" t="s">
        <v>348</v>
      </c>
      <c r="E16" s="67">
        <f>E14-E15</f>
        <v>4998.47</v>
      </c>
      <c r="F16" s="67">
        <f>F14-F15</f>
        <v>5554.84</v>
      </c>
      <c r="G16" s="67">
        <f>G14-G15</f>
        <v>6310.6</v>
      </c>
      <c r="H16" s="68">
        <f>G16*(1+'Date macro-economice'!H9)*(1+'Date macro-economice'!H8*50%)</f>
        <v>6670.6197300000003</v>
      </c>
      <c r="I16" s="68">
        <f>H16*(1+'Date macro-economice'!I9)*(1+'Date macro-economice'!I8*50%)</f>
        <v>6994.1114338063489</v>
      </c>
      <c r="J16" s="68">
        <f>I16*(1+'Date macro-economice'!J9)*(1+'Date macro-economice'!J8*50%)</f>
        <v>7297.5859289192058</v>
      </c>
      <c r="K16" s="68">
        <f>J16*(1+'Date macro-economice'!K9)*(1+'Date macro-economice'!K8*50%)</f>
        <v>7606.7116688682236</v>
      </c>
      <c r="L16" s="68">
        <f>K16*(1+'Date macro-economice'!L9)*(1+'Date macro-economice'!L8*50%)</f>
        <v>7928.9319751614821</v>
      </c>
      <c r="M16" s="68">
        <f>L16*(1+'Date macro-economice'!M9)*(1+'Date macro-economice'!M8*50%)</f>
        <v>8264.8015336293229</v>
      </c>
      <c r="N16" s="68">
        <f>M16*(1+'Date macro-economice'!N9)*(1+'Date macro-economice'!N8*50%)</f>
        <v>8614.8985265938609</v>
      </c>
      <c r="O16" s="68">
        <f>N16*(1+'Date macro-economice'!O9)*(1+'Date macro-economice'!O8*50%)</f>
        <v>8979.825628180377</v>
      </c>
      <c r="Q16" s="35"/>
      <c r="S16"/>
    </row>
    <row r="17" spans="2:19" s="24" customFormat="1" x14ac:dyDescent="0.3">
      <c r="B17" s="61"/>
      <c r="C17" s="69"/>
      <c r="D17" s="69"/>
      <c r="E17" s="65"/>
      <c r="F17" s="65"/>
      <c r="G17" s="65"/>
      <c r="H17" s="65"/>
      <c r="I17" s="65"/>
      <c r="J17" s="65"/>
      <c r="K17" s="65"/>
      <c r="L17" s="65"/>
      <c r="M17" s="65"/>
      <c r="N17" s="65"/>
      <c r="O17" s="65"/>
      <c r="Q17" s="35"/>
      <c r="S17"/>
    </row>
    <row r="18" spans="2:19" s="24" customFormat="1" ht="41.25" customHeight="1" x14ac:dyDescent="0.3">
      <c r="B18" s="61"/>
      <c r="C18" s="66" t="s">
        <v>351</v>
      </c>
      <c r="D18" s="69"/>
      <c r="E18" s="65"/>
      <c r="F18" s="65"/>
      <c r="G18" s="65"/>
      <c r="H18" s="65"/>
      <c r="I18" s="65"/>
      <c r="J18" s="65"/>
      <c r="K18" s="65"/>
      <c r="L18" s="65"/>
      <c r="M18" s="65"/>
      <c r="N18" s="65"/>
      <c r="O18" s="65"/>
      <c r="Q18" s="35"/>
      <c r="S18"/>
    </row>
    <row r="19" spans="2:19" s="24" customFormat="1" ht="39.75" customHeight="1" x14ac:dyDescent="0.3">
      <c r="B19" s="61"/>
      <c r="C19" s="50" t="s">
        <v>352</v>
      </c>
      <c r="D19" s="43" t="s">
        <v>348</v>
      </c>
      <c r="E19" s="70">
        <v>6126</v>
      </c>
      <c r="F19" s="70">
        <v>7042</v>
      </c>
      <c r="G19" s="70">
        <v>7042</v>
      </c>
      <c r="H19" s="65"/>
      <c r="I19" s="65"/>
      <c r="J19" s="65"/>
      <c r="K19" s="65"/>
      <c r="L19" s="65"/>
      <c r="M19" s="65"/>
      <c r="N19" s="65"/>
      <c r="O19" s="65"/>
      <c r="Q19" s="35"/>
      <c r="S19"/>
    </row>
    <row r="20" spans="2:19" s="24" customFormat="1" ht="36.75" customHeight="1" x14ac:dyDescent="0.3">
      <c r="B20" s="61"/>
      <c r="C20" s="50" t="s">
        <v>353</v>
      </c>
      <c r="D20" s="43" t="s">
        <v>348</v>
      </c>
      <c r="E20" s="70">
        <v>4975</v>
      </c>
      <c r="F20" s="70">
        <v>5703</v>
      </c>
      <c r="G20" s="70">
        <v>5703</v>
      </c>
      <c r="H20" s="65"/>
      <c r="I20" s="65"/>
      <c r="J20" s="65"/>
      <c r="K20" s="65"/>
      <c r="L20" s="65"/>
      <c r="M20" s="65"/>
      <c r="N20" s="65"/>
      <c r="O20" s="65"/>
      <c r="Q20" s="35"/>
      <c r="S20"/>
    </row>
    <row r="21" spans="2:19" s="24" customFormat="1" x14ac:dyDescent="0.3">
      <c r="B21" s="61"/>
      <c r="C21" s="66" t="s">
        <v>354</v>
      </c>
      <c r="D21" s="51" t="s">
        <v>47</v>
      </c>
      <c r="E21" s="71">
        <f>IF(E19&lt;&gt;0,E20/E19,0)</f>
        <v>0.81211230819458047</v>
      </c>
      <c r="F21" s="71">
        <f>IF(F19&lt;&gt;0,F20/F19,0)</f>
        <v>0.80985515478557224</v>
      </c>
      <c r="G21" s="71">
        <f>IF(G19&lt;&gt;0,G20/G19,0)</f>
        <v>0.80985515478557224</v>
      </c>
      <c r="H21" s="71">
        <f>G21</f>
        <v>0.80985515478557224</v>
      </c>
      <c r="I21" s="71">
        <f t="shared" ref="I21:O21" si="2">H21</f>
        <v>0.80985515478557224</v>
      </c>
      <c r="J21" s="71">
        <f t="shared" si="2"/>
        <v>0.80985515478557224</v>
      </c>
      <c r="K21" s="71">
        <f t="shared" si="2"/>
        <v>0.80985515478557224</v>
      </c>
      <c r="L21" s="71">
        <f t="shared" si="2"/>
        <v>0.80985515478557224</v>
      </c>
      <c r="M21" s="71">
        <f t="shared" si="2"/>
        <v>0.80985515478557224</v>
      </c>
      <c r="N21" s="71">
        <f t="shared" si="2"/>
        <v>0.80985515478557224</v>
      </c>
      <c r="O21" s="71">
        <f t="shared" si="2"/>
        <v>0.80985515478557224</v>
      </c>
      <c r="Q21" s="35"/>
      <c r="S21"/>
    </row>
    <row r="22" spans="2:19" s="24" customFormat="1" x14ac:dyDescent="0.3">
      <c r="B22" s="61"/>
      <c r="C22" s="69"/>
      <c r="D22" s="43"/>
      <c r="E22" s="65"/>
      <c r="F22" s="65"/>
      <c r="G22" s="65"/>
      <c r="H22" s="65"/>
      <c r="I22" s="65"/>
      <c r="J22" s="65"/>
      <c r="K22" s="65"/>
      <c r="L22" s="65"/>
      <c r="M22" s="65"/>
      <c r="N22" s="65"/>
      <c r="O22" s="65"/>
      <c r="Q22" s="35"/>
      <c r="S22"/>
    </row>
    <row r="23" spans="2:19" s="24" customFormat="1" ht="28.8" x14ac:dyDescent="0.3">
      <c r="B23" s="61"/>
      <c r="C23" s="66" t="s">
        <v>355</v>
      </c>
      <c r="D23" s="43" t="s">
        <v>348</v>
      </c>
      <c r="E23" s="62">
        <f t="shared" ref="E23:O23" si="3">E16*E21</f>
        <v>4059.3190091413649</v>
      </c>
      <c r="F23" s="62">
        <f t="shared" si="3"/>
        <v>4498.6158080090881</v>
      </c>
      <c r="G23" s="62">
        <f t="shared" si="3"/>
        <v>5110.6719397898323</v>
      </c>
      <c r="H23" s="62">
        <f t="shared" si="3"/>
        <v>5402.2357739548424</v>
      </c>
      <c r="I23" s="62">
        <f t="shared" si="3"/>
        <v>5664.2171978127817</v>
      </c>
      <c r="J23" s="62">
        <f t="shared" si="3"/>
        <v>5909.9875820258776</v>
      </c>
      <c r="K23" s="62">
        <f t="shared" si="3"/>
        <v>6160.3346560004939</v>
      </c>
      <c r="L23" s="62">
        <f t="shared" si="3"/>
        <v>6421.2864320286753</v>
      </c>
      <c r="M23" s="62">
        <f t="shared" si="3"/>
        <v>6693.2921252894103</v>
      </c>
      <c r="N23" s="62">
        <f t="shared" si="3"/>
        <v>6976.8199797166699</v>
      </c>
      <c r="O23" s="62">
        <f t="shared" si="3"/>
        <v>7272.358074057468</v>
      </c>
      <c r="Q23" s="35"/>
      <c r="S23"/>
    </row>
    <row r="24" spans="2:19" s="24" customFormat="1" ht="28.8" x14ac:dyDescent="0.3">
      <c r="B24" s="61"/>
      <c r="C24" s="50" t="s">
        <v>356</v>
      </c>
      <c r="D24" s="72"/>
      <c r="E24" s="73" t="str">
        <f>IFERROR(IF(AND('Amortizare si redeventa'!E38=100%,'Amortizare si redeventa'!E73=100%),"DA","NU"),"NU")</f>
        <v>NU</v>
      </c>
      <c r="F24" s="73" t="str">
        <f>IFERROR(IF(AND('Amortizare si redeventa'!F38=100%,'Amortizare si redeventa'!F73=100%),"DA","NU"),"NU")</f>
        <v>NU</v>
      </c>
      <c r="G24" s="73" t="str">
        <f>IFERROR(IF(AND('Amortizare si redeventa'!G38=100%,'Amortizare si redeventa'!G73=100%),"DA","NU"),"NU")</f>
        <v>NU</v>
      </c>
      <c r="H24" s="73" t="str">
        <f>IFERROR(IF(AND('Amortizare si redeventa'!H38=100%,'Amortizare si redeventa'!H73=100%),"DA","NU"),"NU")</f>
        <v>NU</v>
      </c>
      <c r="I24" s="73" t="str">
        <f>IFERROR(IF(AND('Amortizare si redeventa'!I38=100%,'Amortizare si redeventa'!I73=100%),"DA","NU"),"NU")</f>
        <v>NU</v>
      </c>
      <c r="J24" s="73" t="str">
        <f>IFERROR(IF(AND('Amortizare si redeventa'!J38=100%,'Amortizare si redeventa'!J73=100%),"DA","NU"),"NU")</f>
        <v>NU</v>
      </c>
      <c r="K24" s="73" t="str">
        <f>IFERROR(IF(AND('Amortizare si redeventa'!K38=100%,'Amortizare si redeventa'!K73=100%),"DA","NU"),"NU")</f>
        <v>NU</v>
      </c>
      <c r="L24" s="73" t="str">
        <f>IFERROR(IF(AND('Amortizare si redeventa'!L38=100%,'Amortizare si redeventa'!L73=100%),"DA","NU"),"NU")</f>
        <v>NU</v>
      </c>
      <c r="M24" s="73" t="str">
        <f>IFERROR(IF(AND('Amortizare si redeventa'!M38=100%,'Amortizare si redeventa'!M73=100%),"DA","NU"),"NU")</f>
        <v>NU</v>
      </c>
      <c r="N24" s="73" t="str">
        <f>IFERROR(IF(AND('Amortizare si redeventa'!N38=100%,'Amortizare si redeventa'!N73=100%),"DA","NU"),"NU")</f>
        <v>NU</v>
      </c>
      <c r="O24" s="73" t="str">
        <f>IFERROR(IF(AND('Amortizare si redeventa'!O38=100%,'Amortizare si redeventa'!O73=100%),"DA","NU"),"NU")</f>
        <v>NU</v>
      </c>
      <c r="Q24" s="35"/>
      <c r="S24"/>
    </row>
    <row r="25" spans="2:19" s="24" customFormat="1" ht="29.1" customHeight="1" x14ac:dyDescent="0.3">
      <c r="B25" s="61"/>
      <c r="C25" s="74" t="s">
        <v>357</v>
      </c>
      <c r="D25" s="75" t="s">
        <v>47</v>
      </c>
      <c r="E25" s="76">
        <f>IF(E24="NU",2.5%,"Nu exista limita")</f>
        <v>2.5000000000000001E-2</v>
      </c>
      <c r="F25" s="76">
        <f t="shared" ref="F25:O25" si="4">IF(F24="NU",2.5%,"Nu exista limita")</f>
        <v>2.5000000000000001E-2</v>
      </c>
      <c r="G25" s="76">
        <f t="shared" si="4"/>
        <v>2.5000000000000001E-2</v>
      </c>
      <c r="H25" s="76">
        <f t="shared" si="4"/>
        <v>2.5000000000000001E-2</v>
      </c>
      <c r="I25" s="76">
        <f t="shared" si="4"/>
        <v>2.5000000000000001E-2</v>
      </c>
      <c r="J25" s="76">
        <f t="shared" si="4"/>
        <v>2.5000000000000001E-2</v>
      </c>
      <c r="K25" s="76">
        <f t="shared" si="4"/>
        <v>2.5000000000000001E-2</v>
      </c>
      <c r="L25" s="76">
        <f t="shared" si="4"/>
        <v>2.5000000000000001E-2</v>
      </c>
      <c r="M25" s="76">
        <f t="shared" si="4"/>
        <v>2.5000000000000001E-2</v>
      </c>
      <c r="N25" s="76">
        <f t="shared" si="4"/>
        <v>2.5000000000000001E-2</v>
      </c>
      <c r="O25" s="76">
        <f t="shared" si="4"/>
        <v>2.5000000000000001E-2</v>
      </c>
      <c r="Q25" s="35"/>
      <c r="S25"/>
    </row>
    <row r="26" spans="2:19" s="24" customFormat="1" ht="43.2" x14ac:dyDescent="0.3">
      <c r="B26" s="61"/>
      <c r="C26" s="66" t="s">
        <v>358</v>
      </c>
      <c r="D26" s="43" t="s">
        <v>348</v>
      </c>
      <c r="E26" s="77"/>
      <c r="F26" s="77"/>
      <c r="G26" s="77">
        <f>IF(G24="NU",G23*G25,"Nu exista limita")</f>
        <v>127.76679849474581</v>
      </c>
      <c r="H26" s="77">
        <f t="shared" ref="H26:O26" si="5">IF(H24="NU",H23*H25,"Nu exista limita")</f>
        <v>135.05589434887108</v>
      </c>
      <c r="I26" s="77">
        <f t="shared" si="5"/>
        <v>141.60542994531954</v>
      </c>
      <c r="J26" s="77">
        <f t="shared" si="5"/>
        <v>147.74968955064693</v>
      </c>
      <c r="K26" s="77">
        <f t="shared" si="5"/>
        <v>154.00836640001236</v>
      </c>
      <c r="L26" s="77">
        <f t="shared" si="5"/>
        <v>160.53216080071689</v>
      </c>
      <c r="M26" s="77">
        <f t="shared" si="5"/>
        <v>167.33230313223527</v>
      </c>
      <c r="N26" s="77">
        <f t="shared" si="5"/>
        <v>174.42049949291675</v>
      </c>
      <c r="O26" s="77">
        <f t="shared" si="5"/>
        <v>181.80895185143672</v>
      </c>
      <c r="Q26" s="35"/>
      <c r="S26"/>
    </row>
    <row r="27" spans="2:19" s="24" customFormat="1" x14ac:dyDescent="0.3">
      <c r="B27" s="61"/>
      <c r="C27" s="40"/>
      <c r="D27" s="43"/>
      <c r="E27" s="65"/>
      <c r="F27" s="65"/>
      <c r="G27" s="65"/>
      <c r="H27" s="65"/>
      <c r="I27" s="65"/>
      <c r="J27" s="65"/>
      <c r="K27" s="65"/>
      <c r="L27" s="65"/>
      <c r="M27" s="65"/>
      <c r="N27" s="65"/>
      <c r="O27" s="65"/>
      <c r="Q27" s="35"/>
      <c r="S27"/>
    </row>
    <row r="28" spans="2:19" ht="8.1" customHeight="1" x14ac:dyDescent="0.3">
      <c r="B28" s="23"/>
      <c r="C28" s="23"/>
      <c r="D28" s="23"/>
      <c r="E28" s="23"/>
      <c r="F28" s="23"/>
      <c r="G28" s="23"/>
      <c r="H28" s="23"/>
      <c r="I28" s="23"/>
      <c r="J28" s="23"/>
      <c r="K28" s="23"/>
      <c r="L28" s="23"/>
      <c r="M28" s="23"/>
      <c r="N28" s="23"/>
      <c r="O28" s="23"/>
      <c r="P28" s="23"/>
      <c r="Q28" s="23"/>
    </row>
    <row r="30" spans="2:19" ht="8.1" customHeight="1" x14ac:dyDescent="0.3">
      <c r="B30" s="23"/>
      <c r="C30" s="23"/>
      <c r="D30" s="23"/>
      <c r="E30" s="23"/>
      <c r="F30" s="23"/>
      <c r="G30" s="23"/>
      <c r="H30" s="23"/>
      <c r="I30" s="23"/>
      <c r="J30" s="23"/>
      <c r="K30" s="23"/>
      <c r="L30" s="23"/>
      <c r="M30" s="23"/>
      <c r="N30" s="23"/>
      <c r="O30" s="23"/>
      <c r="P30" s="23"/>
      <c r="Q30" s="23"/>
    </row>
    <row r="31" spans="2:19" x14ac:dyDescent="0.3">
      <c r="B31" s="23"/>
      <c r="C31" s="24" t="s">
        <v>359</v>
      </c>
      <c r="Q31" s="23"/>
    </row>
    <row r="32" spans="2:19" ht="8.1" customHeight="1" x14ac:dyDescent="0.3">
      <c r="B32" s="23"/>
      <c r="C32" s="23"/>
      <c r="D32" s="23"/>
      <c r="E32" s="23"/>
      <c r="F32" s="23"/>
      <c r="G32" s="23"/>
      <c r="H32" s="23"/>
      <c r="I32" s="23"/>
      <c r="J32" s="23"/>
      <c r="K32" s="23"/>
      <c r="L32" s="23"/>
      <c r="M32" s="23"/>
      <c r="N32" s="23"/>
      <c r="O32" s="23"/>
      <c r="P32" s="23"/>
      <c r="Q32" s="23"/>
    </row>
    <row r="33" spans="2:17" x14ac:dyDescent="0.3">
      <c r="B33" s="23"/>
      <c r="Q33" s="23"/>
    </row>
    <row r="34" spans="2:17" x14ac:dyDescent="0.3">
      <c r="B34" s="23"/>
      <c r="C34" s="14" t="s">
        <v>360</v>
      </c>
      <c r="D34" s="18" t="s">
        <v>361</v>
      </c>
      <c r="E34" s="17">
        <f>Cererea!E27</f>
        <v>90.699206172530666</v>
      </c>
      <c r="F34" s="17">
        <f>Cererea!F27</f>
        <v>87.490264351491277</v>
      </c>
      <c r="G34" s="17">
        <f>Cererea!G27</f>
        <v>89.412719829853415</v>
      </c>
      <c r="H34" s="17">
        <f>Cererea!H27</f>
        <v>89.412719829853415</v>
      </c>
      <c r="I34" s="17">
        <f>Cererea!I27</f>
        <v>89.412719829853415</v>
      </c>
      <c r="J34" s="17">
        <f>Cererea!J27</f>
        <v>89.412719829853415</v>
      </c>
      <c r="K34" s="17">
        <f>Cererea!K27</f>
        <v>89.412719829853415</v>
      </c>
      <c r="L34" s="17">
        <f>Cererea!L27</f>
        <v>89.412719829853415</v>
      </c>
      <c r="M34" s="17">
        <f>Cererea!M27</f>
        <v>89.412719829853415</v>
      </c>
      <c r="N34" s="17">
        <f>Cererea!N27</f>
        <v>89.412719829853415</v>
      </c>
      <c r="O34" s="17">
        <f>Cererea!O27</f>
        <v>89.412719829853415</v>
      </c>
      <c r="Q34" s="23"/>
    </row>
    <row r="35" spans="2:17" ht="34.5" customHeight="1" x14ac:dyDescent="0.3">
      <c r="B35" s="23"/>
      <c r="C35" s="78" t="s">
        <v>362</v>
      </c>
      <c r="D35" s="18" t="s">
        <v>361</v>
      </c>
      <c r="E35" s="17">
        <f>Cererea!E42</f>
        <v>70.896390049845493</v>
      </c>
      <c r="F35" s="17">
        <f>Cererea!F42</f>
        <v>81.975523979693136</v>
      </c>
      <c r="G35" s="17">
        <f>Cererea!G42</f>
        <v>85.693590475606243</v>
      </c>
      <c r="H35" s="17">
        <f>Cererea!H42</f>
        <v>85.693590475606257</v>
      </c>
      <c r="I35" s="17">
        <f>Cererea!I42</f>
        <v>85.693590475606243</v>
      </c>
      <c r="J35" s="17">
        <f>Cererea!J42</f>
        <v>85.693590475606257</v>
      </c>
      <c r="K35" s="17">
        <f>Cererea!K42</f>
        <v>85.693590475606257</v>
      </c>
      <c r="L35" s="17">
        <f>Cererea!L42</f>
        <v>85.693590475606257</v>
      </c>
      <c r="M35" s="17">
        <f>Cererea!M42</f>
        <v>85.693590475606257</v>
      </c>
      <c r="N35" s="17">
        <f>Cererea!N42</f>
        <v>85.693590475606257</v>
      </c>
      <c r="O35" s="17">
        <f>Cererea!O42</f>
        <v>85.693590475606243</v>
      </c>
      <c r="Q35" s="23"/>
    </row>
    <row r="36" spans="2:17" x14ac:dyDescent="0.3">
      <c r="B36" s="23"/>
      <c r="C36" s="14"/>
      <c r="D36" s="14"/>
      <c r="E36" s="14"/>
      <c r="F36" s="14"/>
      <c r="G36" s="14"/>
      <c r="H36" s="14"/>
      <c r="I36" s="14"/>
      <c r="J36" s="14"/>
      <c r="K36" s="14"/>
      <c r="L36" s="14"/>
      <c r="M36" s="14"/>
      <c r="N36" s="14"/>
      <c r="O36" s="14"/>
      <c r="Q36" s="23"/>
    </row>
    <row r="37" spans="2:17" x14ac:dyDescent="0.3">
      <c r="B37" s="23"/>
      <c r="C37" s="14" t="s">
        <v>363</v>
      </c>
      <c r="D37" s="18" t="s">
        <v>36</v>
      </c>
      <c r="E37" s="14"/>
      <c r="F37" s="14"/>
      <c r="G37" s="14"/>
      <c r="H37" s="79">
        <f>'Nivel tarife'!H35</f>
        <v>7.4213893640200501</v>
      </c>
      <c r="I37" s="79">
        <f>'Nivel tarife'!I35</f>
        <v>7.698292146996133</v>
      </c>
      <c r="J37" s="79">
        <f>'Nivel tarife'!J35</f>
        <v>8.006473403988231</v>
      </c>
      <c r="K37" s="79">
        <f>'Nivel tarife'!K35</f>
        <v>8.3869935687898547</v>
      </c>
      <c r="L37" s="79">
        <f>'Nivel tarife'!L35</f>
        <v>8.8062499783309089</v>
      </c>
      <c r="M37" s="79">
        <f>'Nivel tarife'!M35</f>
        <v>9.2288383339554532</v>
      </c>
      <c r="N37" s="79">
        <f>'Nivel tarife'!N35</f>
        <v>10.19780346322402</v>
      </c>
      <c r="O37" s="79">
        <f>'Nivel tarife'!O35</f>
        <v>10.600703788918487</v>
      </c>
      <c r="Q37" s="23"/>
    </row>
    <row r="38" spans="2:17" x14ac:dyDescent="0.3">
      <c r="B38" s="23"/>
      <c r="C38" s="14" t="s">
        <v>364</v>
      </c>
      <c r="D38" s="18" t="s">
        <v>36</v>
      </c>
      <c r="E38" s="14"/>
      <c r="F38" s="14"/>
      <c r="G38" s="14"/>
      <c r="H38" s="79">
        <f>'Nivel tarife'!H53</f>
        <v>4.8594556751425602</v>
      </c>
      <c r="I38" s="79">
        <f>'Nivel tarife'!I53</f>
        <v>5.0831729395670155</v>
      </c>
      <c r="J38" s="79">
        <f>'Nivel tarife'!J53</f>
        <v>5.3305994511312607</v>
      </c>
      <c r="K38" s="79">
        <f>'Nivel tarife'!K53</f>
        <v>5.537017589510743</v>
      </c>
      <c r="L38" s="79">
        <f>'Nivel tarife'!L53</f>
        <v>5.7564383162414412</v>
      </c>
      <c r="M38" s="79">
        <f>'Nivel tarife'!M53</f>
        <v>6.0202586177436572</v>
      </c>
      <c r="N38" s="79">
        <f>'Nivel tarife'!N53</f>
        <v>6.6510103565408816</v>
      </c>
      <c r="O38" s="79">
        <f>'Nivel tarife'!O53</f>
        <v>6.6979236093230297</v>
      </c>
      <c r="Q38" s="23"/>
    </row>
    <row r="39" spans="2:17" x14ac:dyDescent="0.3">
      <c r="B39" s="23"/>
      <c r="C39" s="14"/>
      <c r="D39" s="14"/>
      <c r="E39" s="14"/>
      <c r="F39" s="14"/>
      <c r="G39" s="14"/>
      <c r="H39" s="14"/>
      <c r="I39" s="14"/>
      <c r="J39" s="14"/>
      <c r="K39" s="14"/>
      <c r="L39" s="14"/>
      <c r="M39" s="14"/>
      <c r="N39" s="14"/>
      <c r="O39" s="14"/>
      <c r="Q39" s="23"/>
    </row>
    <row r="40" spans="2:17" ht="32.25" customHeight="1" x14ac:dyDescent="0.3">
      <c r="B40" s="23"/>
      <c r="C40" s="78" t="s">
        <v>365</v>
      </c>
      <c r="D40" s="18" t="s">
        <v>366</v>
      </c>
      <c r="E40" s="80">
        <v>2.5299999999999998</v>
      </c>
      <c r="F40" s="14"/>
      <c r="G40" s="14"/>
      <c r="H40" s="14"/>
      <c r="I40" s="14"/>
      <c r="J40" s="14"/>
      <c r="K40" s="14"/>
      <c r="L40" s="14"/>
      <c r="M40" s="14"/>
      <c r="N40" s="14"/>
      <c r="O40" s="14"/>
      <c r="Q40" s="23"/>
    </row>
    <row r="41" spans="2:17" x14ac:dyDescent="0.3">
      <c r="B41" s="23"/>
      <c r="C41" s="14"/>
      <c r="D41" s="14"/>
      <c r="E41" s="14"/>
      <c r="F41" s="14"/>
      <c r="G41" s="14"/>
      <c r="H41" s="14"/>
      <c r="I41" s="14"/>
      <c r="J41" s="14"/>
      <c r="K41" s="14"/>
      <c r="L41" s="14"/>
      <c r="M41" s="14"/>
      <c r="N41" s="14"/>
      <c r="O41" s="14"/>
      <c r="Q41" s="23"/>
    </row>
    <row r="42" spans="2:17" x14ac:dyDescent="0.3">
      <c r="B42" s="23"/>
      <c r="C42" s="81" t="s">
        <v>367</v>
      </c>
      <c r="D42" s="82" t="s">
        <v>368</v>
      </c>
      <c r="E42" s="81"/>
      <c r="F42" s="81"/>
      <c r="G42" s="81"/>
      <c r="H42" s="83">
        <f>(H34*365/1000/12*H37*$E$40)*(1+'Date macro-economice'!$F$22)+(H35*365/1000/12*H38*$E$40)*(1+'Date macro-economice'!$F$22)</f>
        <v>90.589674353241691</v>
      </c>
      <c r="I42" s="83">
        <f>(I34*365/1000/12*I37*$E$40)*(1+'Date macro-economice'!$F$22)+(I35*365/1000/12*I38*$E$40)*(1+'Date macro-economice'!$F$22)</f>
        <v>94.274505005575094</v>
      </c>
      <c r="J42" s="83">
        <f>(J34*365/1000/12*J37*$E$40)*(1+'Date macro-economice'!$F$22)+(J35*365/1000/12*J38*$E$40)*(1+'Date macro-economice'!$F$22)</f>
        <v>98.364344059916647</v>
      </c>
      <c r="K42" s="83">
        <f>(K34*365/1000/12*K37*$E$40)*(1+'Date macro-economice'!$F$22)+(K35*365/1000/12*K38*$E$40)*(1+'Date macro-economice'!$F$22)</f>
        <v>102.70195332944115</v>
      </c>
      <c r="L42" s="83">
        <f>(L34*365/1000/12*L37*$E$40)*(1+'Date macro-economice'!$F$22)+(L35*365/1000/12*L38*$E$40)*(1+'Date macro-economice'!$F$22)</f>
        <v>107.42354458380069</v>
      </c>
      <c r="M42" s="83">
        <f>(M34*365/1000/12*M37*$E$40)*(1+'Date macro-economice'!$F$22)+(M35*365/1000/12*M38*$E$40)*(1+'Date macro-economice'!$F$22)</f>
        <v>112.48926858433504</v>
      </c>
      <c r="N42" s="83">
        <f>(N34*365/1000/12*N37*$E$40)*(1+'Date macro-economice'!$F$22)+(N35*365/1000/12*N38*$E$40)*(1+'Date macro-economice'!$F$22)</f>
        <v>124.29028360497978</v>
      </c>
      <c r="O42" s="83">
        <f>(O34*365/1000/12*O37*$E$40)*(1+'Date macro-economice'!$F$22)+(O35*365/1000/12*O38*$E$40)*(1+'Date macro-economice'!$F$22)</f>
        <v>127.64922456106972</v>
      </c>
      <c r="Q42" s="23"/>
    </row>
    <row r="43" spans="2:17" x14ac:dyDescent="0.3">
      <c r="B43" s="23"/>
      <c r="C43" s="14"/>
      <c r="D43" s="14"/>
      <c r="E43" s="14"/>
      <c r="F43" s="14"/>
      <c r="G43" s="14"/>
      <c r="H43" s="14"/>
      <c r="I43" s="14"/>
      <c r="J43" s="14"/>
      <c r="K43" s="14"/>
      <c r="L43" s="14"/>
      <c r="M43" s="14"/>
      <c r="N43" s="14"/>
      <c r="O43" s="14"/>
      <c r="Q43" s="23"/>
    </row>
    <row r="44" spans="2:17" x14ac:dyDescent="0.3">
      <c r="B44" s="23"/>
      <c r="C44" s="81" t="s">
        <v>369</v>
      </c>
      <c r="D44" s="82" t="s">
        <v>47</v>
      </c>
      <c r="E44" s="81"/>
      <c r="F44" s="81"/>
      <c r="G44" s="81"/>
      <c r="H44" s="84">
        <f t="shared" ref="H44:O44" si="6">H42/H23</f>
        <v>1.67689227467618E-2</v>
      </c>
      <c r="I44" s="84">
        <f t="shared" si="6"/>
        <v>1.6643871820801449E-2</v>
      </c>
      <c r="J44" s="84">
        <f t="shared" si="6"/>
        <v>1.6643748010414339E-2</v>
      </c>
      <c r="K44" s="84">
        <f t="shared" si="6"/>
        <v>1.6671489304465624E-2</v>
      </c>
      <c r="L44" s="84">
        <f t="shared" si="6"/>
        <v>1.6729287148441747E-2</v>
      </c>
      <c r="M44" s="84">
        <f t="shared" si="6"/>
        <v>1.6806269094294331E-2</v>
      </c>
      <c r="N44" s="84">
        <f t="shared" si="6"/>
        <v>1.7814747114920863E-2</v>
      </c>
      <c r="O44" s="84">
        <f t="shared" si="6"/>
        <v>1.7552659434692874E-2</v>
      </c>
      <c r="Q44" s="23"/>
    </row>
    <row r="45" spans="2:17" x14ac:dyDescent="0.3">
      <c r="B45" s="23"/>
      <c r="Q45" s="23"/>
    </row>
    <row r="46" spans="2:17" s="22" customFormat="1" ht="106.35" customHeight="1" x14ac:dyDescent="0.3">
      <c r="B46" s="35"/>
      <c r="C46" s="42" t="s">
        <v>319</v>
      </c>
      <c r="D46" s="40"/>
      <c r="E46" s="40"/>
      <c r="F46" s="40"/>
      <c r="G46" s="40"/>
      <c r="H46" s="85" t="str">
        <f t="shared" ref="H46:O46" si="7">IF(H44&gt;H25,"Tariful respecta cerinta privind suportabilitatea medie","Tariful NU restecta cerinta privind suportabilitatea medie. Este necesara cresterea nivelului redeventei din tarif")</f>
        <v>Tariful NU restecta cerinta privind suportabilitatea medie. Este necesara cresterea nivelului redeventei din tarif</v>
      </c>
      <c r="I46" s="85" t="str">
        <f t="shared" si="7"/>
        <v>Tariful NU restecta cerinta privind suportabilitatea medie. Este necesara cresterea nivelului redeventei din tarif</v>
      </c>
      <c r="J46" s="85" t="str">
        <f t="shared" si="7"/>
        <v>Tariful NU restecta cerinta privind suportabilitatea medie. Este necesara cresterea nivelului redeventei din tarif</v>
      </c>
      <c r="K46" s="85" t="str">
        <f t="shared" si="7"/>
        <v>Tariful NU restecta cerinta privind suportabilitatea medie. Este necesara cresterea nivelului redeventei din tarif</v>
      </c>
      <c r="L46" s="85" t="str">
        <f t="shared" si="7"/>
        <v>Tariful NU restecta cerinta privind suportabilitatea medie. Este necesara cresterea nivelului redeventei din tarif</v>
      </c>
      <c r="M46" s="85" t="str">
        <f t="shared" si="7"/>
        <v>Tariful NU restecta cerinta privind suportabilitatea medie. Este necesara cresterea nivelului redeventei din tarif</v>
      </c>
      <c r="N46" s="85" t="str">
        <f t="shared" si="7"/>
        <v>Tariful NU restecta cerinta privind suportabilitatea medie. Este necesara cresterea nivelului redeventei din tarif</v>
      </c>
      <c r="O46" s="85" t="str">
        <f t="shared" si="7"/>
        <v>Tariful NU restecta cerinta privind suportabilitatea medie. Este necesara cresterea nivelului redeventei din tarif</v>
      </c>
      <c r="Q46" s="35"/>
    </row>
    <row r="47" spans="2:17" x14ac:dyDescent="0.3">
      <c r="B47" s="35"/>
      <c r="Q47" s="35"/>
    </row>
    <row r="48" spans="2:17" ht="8.1" customHeight="1" x14ac:dyDescent="0.3">
      <c r="B48" s="23"/>
      <c r="C48" s="23"/>
      <c r="D48" s="23"/>
      <c r="E48" s="23"/>
      <c r="F48" s="23"/>
      <c r="G48" s="23"/>
      <c r="H48" s="23"/>
      <c r="I48" s="23"/>
      <c r="J48" s="23"/>
      <c r="K48" s="23"/>
      <c r="L48" s="23"/>
      <c r="M48" s="23"/>
      <c r="N48" s="23"/>
      <c r="O48" s="23"/>
      <c r="P48" s="23"/>
      <c r="Q48" s="23"/>
    </row>
  </sheetData>
  <sheetProtection sheet="1" objects="1" scenarios="1"/>
  <mergeCells count="1">
    <mergeCell ref="C3:D4"/>
  </mergeCells>
  <dataValidations count="1">
    <dataValidation type="list" allowBlank="1" showInputMessage="1" showErrorMessage="1" sqref="D24">
      <formula1>"DA, NU"</formula1>
    </dataValidation>
  </dataValidations>
  <pageMargins left="0.25" right="0.22" top="0.37" bottom="0.36" header="0.3" footer="0.3"/>
  <pageSetup paperSize="9" scale="59" orientation="landscape"/>
  <headerFooter>
    <oddFooter>&amp;L&amp;F
Sheet: &amp;A&amp;R&amp;P din &amp;N</oddFooter>
  </headerFooter>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96"/>
  <sheetViews>
    <sheetView showGridLines="0" tabSelected="1" topLeftCell="A22" workbookViewId="0">
      <selection activeCell="E36" sqref="E36"/>
    </sheetView>
  </sheetViews>
  <sheetFormatPr defaultColWidth="9.109375" defaultRowHeight="14.4" x14ac:dyDescent="0.3"/>
  <cols>
    <col min="1" max="1" width="2.5546875" customWidth="1"/>
    <col min="2" max="2" width="1.44140625" customWidth="1"/>
    <col min="3" max="3" width="38.44140625" customWidth="1"/>
    <col min="4" max="4" width="15.5546875" customWidth="1"/>
    <col min="5" max="7" width="14.5546875" customWidth="1"/>
    <col min="8" max="12" width="15.5546875" customWidth="1"/>
    <col min="13" max="13" width="2.44140625" customWidth="1"/>
    <col min="14" max="14" width="1.5546875" customWidth="1"/>
    <col min="15" max="15" width="3" customWidth="1"/>
    <col min="16" max="20" width="30.5546875" customWidth="1"/>
  </cols>
  <sheetData>
    <row r="2" spans="2:14" ht="8.1" customHeight="1" x14ac:dyDescent="0.3">
      <c r="B2" s="23"/>
      <c r="C2" s="23"/>
      <c r="D2" s="23"/>
      <c r="E2" s="23"/>
      <c r="F2" s="23"/>
      <c r="G2" s="23"/>
      <c r="H2" s="23"/>
      <c r="I2" s="23"/>
      <c r="J2" s="23"/>
      <c r="K2" s="23"/>
      <c r="L2" s="23"/>
      <c r="M2" s="23"/>
      <c r="N2" s="23"/>
    </row>
    <row r="3" spans="2:14" ht="14.4" customHeight="1" x14ac:dyDescent="0.3">
      <c r="B3" s="23"/>
      <c r="C3" s="254" t="str">
        <f>CONCATENATE("CENTRALIZAREA REZULTATELOR DIN PLANUL DE AFACERI PENTRU OPERATORUL"," ",'Date generale'!D4)</f>
        <v>CENTRALIZAREA REZULTATELOR DIN PLANUL DE AFACERI PENTRU OPERATORUL SEVICIUL PUBLIC DE ALIMENTARE CU APA, CANALIZARE SI SALUBRIZARE</v>
      </c>
      <c r="D3" s="254"/>
      <c r="E3" s="254"/>
      <c r="F3" s="254"/>
      <c r="G3" s="254"/>
      <c r="H3" s="254"/>
      <c r="I3" s="254"/>
      <c r="J3" s="254"/>
      <c r="K3" s="254"/>
      <c r="L3" s="254"/>
      <c r="N3" s="23"/>
    </row>
    <row r="4" spans="2:14" x14ac:dyDescent="0.3">
      <c r="B4" s="23"/>
      <c r="C4" s="254"/>
      <c r="D4" s="254"/>
      <c r="E4" s="254"/>
      <c r="F4" s="254"/>
      <c r="G4" s="254"/>
      <c r="H4" s="254"/>
      <c r="I4" s="254"/>
      <c r="J4" s="254"/>
      <c r="K4" s="254"/>
      <c r="L4" s="254"/>
      <c r="N4" s="23"/>
    </row>
    <row r="5" spans="2:14" ht="8.1" customHeight="1" x14ac:dyDescent="0.3">
      <c r="B5" s="23"/>
      <c r="C5" s="23"/>
      <c r="D5" s="23"/>
      <c r="E5" s="23"/>
      <c r="F5" s="23"/>
      <c r="G5" s="23"/>
      <c r="H5" s="23"/>
      <c r="I5" s="23"/>
      <c r="J5" s="23"/>
      <c r="K5" s="23"/>
      <c r="L5" s="23"/>
      <c r="M5" s="23"/>
      <c r="N5" s="23"/>
    </row>
    <row r="7" spans="2:14" ht="8.1" customHeight="1" x14ac:dyDescent="0.3">
      <c r="B7" s="23"/>
      <c r="C7" s="23"/>
      <c r="D7" s="23"/>
      <c r="E7" s="23"/>
      <c r="F7" s="23"/>
      <c r="G7" s="23"/>
      <c r="H7" s="23"/>
      <c r="I7" s="23"/>
      <c r="J7" s="23"/>
      <c r="K7" s="23"/>
      <c r="L7" s="23"/>
      <c r="M7" s="23"/>
      <c r="N7" s="23"/>
    </row>
    <row r="8" spans="2:14" x14ac:dyDescent="0.3">
      <c r="B8" s="23"/>
      <c r="C8" s="24"/>
      <c r="N8" s="23"/>
    </row>
    <row r="9" spans="2:14" x14ac:dyDescent="0.3">
      <c r="B9" s="23"/>
      <c r="C9" s="252" t="s">
        <v>322</v>
      </c>
      <c r="D9" s="26" t="str">
        <f>'Nivel tarife'!D9</f>
        <v>Tarif initial</v>
      </c>
      <c r="E9" s="26">
        <f>'Nivel tarife'!E9</f>
        <v>2025</v>
      </c>
      <c r="F9" s="26">
        <f>'Nivel tarife'!F9</f>
        <v>2026</v>
      </c>
      <c r="G9" s="26">
        <f>'Nivel tarife'!G9</f>
        <v>2027</v>
      </c>
      <c r="H9" s="26">
        <f>'Nivel tarife'!H9</f>
        <v>2028</v>
      </c>
      <c r="I9" s="26">
        <f>'Nivel tarife'!I9</f>
        <v>2029</v>
      </c>
      <c r="J9" s="26">
        <f>'Nivel tarife'!J9</f>
        <v>2030</v>
      </c>
      <c r="K9" s="26">
        <f>'Nivel tarife'!K9</f>
        <v>2031</v>
      </c>
      <c r="L9" s="26">
        <f>'Nivel tarife'!L9</f>
        <v>2032</v>
      </c>
      <c r="N9" s="23"/>
    </row>
    <row r="10" spans="2:14" x14ac:dyDescent="0.3">
      <c r="B10" s="23"/>
      <c r="C10" s="252"/>
      <c r="D10" s="27" t="s">
        <v>141</v>
      </c>
      <c r="E10" s="27" t="str">
        <f>'Nivel tarife'!E10</f>
        <v>%</v>
      </c>
      <c r="F10" s="27" t="str">
        <f>'Nivel tarife'!F10</f>
        <v>%</v>
      </c>
      <c r="G10" s="27" t="str">
        <f>'Nivel tarife'!G10</f>
        <v>%</v>
      </c>
      <c r="H10" s="27" t="str">
        <f>'Nivel tarife'!H10</f>
        <v>%</v>
      </c>
      <c r="I10" s="27" t="str">
        <f>'Nivel tarife'!I10</f>
        <v>%</v>
      </c>
      <c r="J10" s="27" t="str">
        <f>'Nivel tarife'!J10</f>
        <v>%</v>
      </c>
      <c r="K10" s="27" t="str">
        <f>'Nivel tarife'!K10</f>
        <v>%</v>
      </c>
      <c r="L10" s="27" t="str">
        <f>'Nivel tarife'!L10</f>
        <v>%</v>
      </c>
      <c r="N10" s="23"/>
    </row>
    <row r="11" spans="2:14" s="22" customFormat="1" ht="33" customHeight="1" x14ac:dyDescent="0.3">
      <c r="B11" s="23"/>
      <c r="C11" s="28" t="str">
        <f>'Nivel tarife'!C11</f>
        <v>Apa potabilă produsă, transportată și distribuită</v>
      </c>
      <c r="D11" s="29">
        <f>'Nivel tarife'!D11</f>
        <v>4.5999999999999996</v>
      </c>
      <c r="E11" s="30">
        <f>'Nivel tarife'!E11</f>
        <v>0.5454</v>
      </c>
      <c r="F11" s="30">
        <f>'Nivel tarife'!F11</f>
        <v>4.1999999999999997E-3</v>
      </c>
      <c r="G11" s="30">
        <f>'Nivel tarife'!G11</f>
        <v>9.7000000000000003E-3</v>
      </c>
      <c r="H11" s="30">
        <f>'Nivel tarife'!H11</f>
        <v>1.7000000000000001E-2</v>
      </c>
      <c r="I11" s="30">
        <f>'Nivel tarife'!I11</f>
        <v>1.9400000000000001E-2</v>
      </c>
      <c r="J11" s="30">
        <f>'Nivel tarife'!J11</f>
        <v>1.7500000000000002E-2</v>
      </c>
      <c r="K11" s="30" t="str">
        <f>'Nivel tarife'!K11</f>
        <v>n/a</v>
      </c>
      <c r="L11" s="30">
        <f>'Nivel tarife'!L11</f>
        <v>9.1999999999999998E-3</v>
      </c>
      <c r="N11" s="23"/>
    </row>
    <row r="12" spans="2:14" s="22" customFormat="1" ht="31.35" customHeight="1" x14ac:dyDescent="0.3">
      <c r="B12" s="23"/>
      <c r="C12" s="28" t="str">
        <f>'Nivel tarife'!C12</f>
        <v>Canalizare – epurare ape uzate și meteorice procesate</v>
      </c>
      <c r="D12" s="29">
        <f>'Nivel tarife'!D12</f>
        <v>3.52</v>
      </c>
      <c r="E12" s="30">
        <f>'Nivel tarife'!E12</f>
        <v>0.32229999999999998</v>
      </c>
      <c r="F12" s="30">
        <f>'Nivel tarife'!F12</f>
        <v>1.26E-2</v>
      </c>
      <c r="G12" s="30">
        <f>'Nivel tarife'!G12</f>
        <v>1.8100000000000002E-2</v>
      </c>
      <c r="H12" s="30">
        <f>'Nivel tarife'!H12</f>
        <v>8.5000000000000006E-3</v>
      </c>
      <c r="I12" s="30">
        <f>'Nivel tarife'!I12</f>
        <v>9.2999999999999992E-3</v>
      </c>
      <c r="J12" s="30">
        <f>'Nivel tarife'!J12</f>
        <v>1.54E-2</v>
      </c>
      <c r="K12" s="30">
        <f>'Nivel tarife'!K12</f>
        <v>7.2599999999999998E-2</v>
      </c>
      <c r="L12" s="30">
        <f>'Nivel tarife'!L12</f>
        <v>-2.23E-2</v>
      </c>
      <c r="N12" s="23"/>
    </row>
    <row r="13" spans="2:14" s="22" customFormat="1" ht="55.35" customHeight="1" x14ac:dyDescent="0.3">
      <c r="B13" s="23"/>
      <c r="C13" s="28" t="str">
        <f>'Nivel tarife'!C13</f>
        <v>Apa potabilă produsă și transportată în vederea redistribuirii în alte sisteme de operare</v>
      </c>
      <c r="D13" s="29">
        <f>'Nivel tarife'!D13</f>
        <v>0</v>
      </c>
      <c r="E13" s="30" t="str">
        <f>'Nivel tarife'!E13</f>
        <v>n/a</v>
      </c>
      <c r="F13" s="30" t="str">
        <f>'Nivel tarife'!F13</f>
        <v>n/a</v>
      </c>
      <c r="G13" s="30" t="str">
        <f>'Nivel tarife'!G13</f>
        <v>n/a</v>
      </c>
      <c r="H13" s="30" t="str">
        <f>'Nivel tarife'!H13</f>
        <v>n/a</v>
      </c>
      <c r="I13" s="30" t="str">
        <f>'Nivel tarife'!I13</f>
        <v>n/a</v>
      </c>
      <c r="J13" s="30" t="str">
        <f>'Nivel tarife'!J13</f>
        <v>n/a</v>
      </c>
      <c r="K13" s="30" t="str">
        <f>'Nivel tarife'!K13</f>
        <v>n/a</v>
      </c>
      <c r="L13" s="30" t="str">
        <f>'Nivel tarife'!L13</f>
        <v>n/a</v>
      </c>
      <c r="N13" s="23"/>
    </row>
    <row r="14" spans="2:14" s="22" customFormat="1" x14ac:dyDescent="0.3">
      <c r="B14" s="23"/>
      <c r="C14" s="28" t="str">
        <f>'Nivel tarife'!C14</f>
        <v>Distribuția apei potabile</v>
      </c>
      <c r="D14" s="29">
        <f>'Nivel tarife'!D14</f>
        <v>0</v>
      </c>
      <c r="E14" s="30" t="str">
        <f>'Nivel tarife'!E14</f>
        <v>n/a</v>
      </c>
      <c r="F14" s="30" t="str">
        <f>'Nivel tarife'!F14</f>
        <v>n/a</v>
      </c>
      <c r="G14" s="30" t="str">
        <f>'Nivel tarife'!G14</f>
        <v>n/a</v>
      </c>
      <c r="H14" s="30" t="str">
        <f>'Nivel tarife'!H14</f>
        <v>n/a</v>
      </c>
      <c r="I14" s="30" t="str">
        <f>'Nivel tarife'!I14</f>
        <v>n/a</v>
      </c>
      <c r="J14" s="30" t="str">
        <f>'Nivel tarife'!J14</f>
        <v>n/a</v>
      </c>
      <c r="K14" s="30" t="str">
        <f>'Nivel tarife'!K14</f>
        <v>n/a</v>
      </c>
      <c r="L14" s="30" t="str">
        <f>'Nivel tarife'!L14</f>
        <v>n/a</v>
      </c>
      <c r="N14" s="23"/>
    </row>
    <row r="15" spans="2:14" s="22" customFormat="1" x14ac:dyDescent="0.3">
      <c r="B15" s="23"/>
      <c r="C15" s="28" t="str">
        <f>'Nivel tarife'!C15</f>
        <v>Apa industriala</v>
      </c>
      <c r="D15" s="29">
        <f>'Nivel tarife'!D15</f>
        <v>0</v>
      </c>
      <c r="E15" s="30" t="str">
        <f>'Nivel tarife'!E15</f>
        <v>n/a</v>
      </c>
      <c r="F15" s="30" t="str">
        <f>'Nivel tarife'!F15</f>
        <v>n/a</v>
      </c>
      <c r="G15" s="30" t="str">
        <f>'Nivel tarife'!G15</f>
        <v>n/a</v>
      </c>
      <c r="H15" s="30" t="str">
        <f>'Nivel tarife'!H15</f>
        <v>n/a</v>
      </c>
      <c r="I15" s="30" t="str">
        <f>'Nivel tarife'!I15</f>
        <v>n/a</v>
      </c>
      <c r="J15" s="30" t="str">
        <f>'Nivel tarife'!J15</f>
        <v>n/a</v>
      </c>
      <c r="K15" s="30" t="str">
        <f>'Nivel tarife'!K15</f>
        <v>n/a</v>
      </c>
      <c r="L15" s="30" t="str">
        <f>'Nivel tarife'!L15</f>
        <v>n/a</v>
      </c>
      <c r="N15" s="23"/>
    </row>
    <row r="16" spans="2:14" s="22" customFormat="1" ht="29.4" customHeight="1" x14ac:dyDescent="0.3">
      <c r="B16" s="23"/>
      <c r="C16" s="28" t="str">
        <f>'Nivel tarife'!C16</f>
        <v>Transportul și epurarea apelor uzate preluate din alte sisteme de operare</v>
      </c>
      <c r="D16" s="29">
        <f>'Nivel tarife'!D16</f>
        <v>0</v>
      </c>
      <c r="E16" s="30" t="str">
        <f>'Nivel tarife'!E16</f>
        <v>n/a</v>
      </c>
      <c r="F16" s="30" t="str">
        <f>'Nivel tarife'!F16</f>
        <v>n/a</v>
      </c>
      <c r="G16" s="30" t="str">
        <f>'Nivel tarife'!G16</f>
        <v>n/a</v>
      </c>
      <c r="H16" s="30" t="str">
        <f>'Nivel tarife'!H16</f>
        <v>n/a</v>
      </c>
      <c r="I16" s="30" t="str">
        <f>'Nivel tarife'!I16</f>
        <v>n/a</v>
      </c>
      <c r="J16" s="30" t="str">
        <f>'Nivel tarife'!J16</f>
        <v>n/a</v>
      </c>
      <c r="K16" s="30" t="str">
        <f>'Nivel tarife'!K16</f>
        <v>n/a</v>
      </c>
      <c r="L16" s="30" t="str">
        <f>'Nivel tarife'!L16</f>
        <v>n/a</v>
      </c>
      <c r="N16" s="23"/>
    </row>
    <row r="17" spans="2:14" s="22" customFormat="1" x14ac:dyDescent="0.3">
      <c r="B17" s="23"/>
      <c r="C17" s="28" t="str">
        <f>'Nivel tarife'!C17</f>
        <v>Canalizare ape uzate menajere</v>
      </c>
      <c r="D17" s="29">
        <f>'Nivel tarife'!D17</f>
        <v>0</v>
      </c>
      <c r="E17" s="30" t="str">
        <f>'Nivel tarife'!E17</f>
        <v>n/a</v>
      </c>
      <c r="F17" s="30" t="str">
        <f>'Nivel tarife'!F17</f>
        <v>n/a</v>
      </c>
      <c r="G17" s="30" t="str">
        <f>'Nivel tarife'!G17</f>
        <v>n/a</v>
      </c>
      <c r="H17" s="30" t="str">
        <f>'Nivel tarife'!H17</f>
        <v>n/a</v>
      </c>
      <c r="I17" s="30" t="str">
        <f>'Nivel tarife'!I17</f>
        <v>n/a</v>
      </c>
      <c r="J17" s="30" t="str">
        <f>'Nivel tarife'!J17</f>
        <v>n/a</v>
      </c>
      <c r="K17" s="30" t="str">
        <f>'Nivel tarife'!K17</f>
        <v>n/a</v>
      </c>
      <c r="L17" s="30" t="str">
        <f>'Nivel tarife'!L17</f>
        <v>n/a</v>
      </c>
      <c r="N17" s="23"/>
    </row>
    <row r="18" spans="2:14" s="22" customFormat="1" ht="28.8" x14ac:dyDescent="0.3">
      <c r="B18" s="23"/>
      <c r="C18" s="28" t="str">
        <f>'Nivel tarife'!C18</f>
        <v xml:space="preserve">Serviciul public inteligent alternativ pentru procesarea apelor uzate </v>
      </c>
      <c r="D18" s="29">
        <f>'Nivel tarife'!D18</f>
        <v>0</v>
      </c>
      <c r="E18" s="30" t="str">
        <f>'Nivel tarife'!E18</f>
        <v>n/a</v>
      </c>
      <c r="F18" s="30" t="str">
        <f>'Nivel tarife'!F18</f>
        <v>n/a</v>
      </c>
      <c r="G18" s="30" t="str">
        <f>'Nivel tarife'!G18</f>
        <v>n/a</v>
      </c>
      <c r="H18" s="30" t="str">
        <f>'Nivel tarife'!H18</f>
        <v>n/a</v>
      </c>
      <c r="I18" s="30" t="str">
        <f>'Nivel tarife'!I18</f>
        <v>n/a</v>
      </c>
      <c r="J18" s="30" t="str">
        <f>'Nivel tarife'!J18</f>
        <v>n/a</v>
      </c>
      <c r="K18" s="30" t="str">
        <f>'Nivel tarife'!K18</f>
        <v>n/a</v>
      </c>
      <c r="L18" s="30" t="str">
        <f>'Nivel tarife'!L18</f>
        <v>n/a</v>
      </c>
      <c r="N18" s="23"/>
    </row>
    <row r="19" spans="2:14" s="22" customFormat="1" x14ac:dyDescent="0.3">
      <c r="B19" s="23"/>
      <c r="C19" s="28" t="str">
        <f>'Nivel tarife'!C19</f>
        <v>Canalizare ape pluviale</v>
      </c>
      <c r="D19" s="29">
        <f>'Nivel tarife'!D19</f>
        <v>0</v>
      </c>
      <c r="E19" s="30" t="str">
        <f>'Nivel tarife'!E19</f>
        <v>n/a</v>
      </c>
      <c r="F19" s="30" t="str">
        <f>'Nivel tarife'!F19</f>
        <v>n/a</v>
      </c>
      <c r="G19" s="30" t="str">
        <f>'Nivel tarife'!G19</f>
        <v>n/a</v>
      </c>
      <c r="H19" s="30" t="str">
        <f>'Nivel tarife'!H19</f>
        <v>n/a</v>
      </c>
      <c r="I19" s="30" t="str">
        <f>'Nivel tarife'!I19</f>
        <v>n/a</v>
      </c>
      <c r="J19" s="30" t="str">
        <f>'Nivel tarife'!J19</f>
        <v>n/a</v>
      </c>
      <c r="K19" s="30" t="str">
        <f>'Nivel tarife'!K19</f>
        <v>n/a</v>
      </c>
      <c r="L19" s="30" t="str">
        <f>'Nivel tarife'!L19</f>
        <v>n/a</v>
      </c>
      <c r="N19" s="23"/>
    </row>
    <row r="20" spans="2:14" x14ac:dyDescent="0.3">
      <c r="B20" s="23"/>
      <c r="N20" s="23"/>
    </row>
    <row r="21" spans="2:14" x14ac:dyDescent="0.3">
      <c r="B21" s="23"/>
      <c r="C21" s="252" t="s">
        <v>370</v>
      </c>
      <c r="D21" s="26" t="s">
        <v>371</v>
      </c>
      <c r="E21" s="26">
        <f>E9</f>
        <v>2025</v>
      </c>
      <c r="F21" s="26">
        <f t="shared" ref="F21:L21" si="0">F9</f>
        <v>2026</v>
      </c>
      <c r="G21" s="26">
        <f t="shared" si="0"/>
        <v>2027</v>
      </c>
      <c r="H21" s="26">
        <f t="shared" si="0"/>
        <v>2028</v>
      </c>
      <c r="I21" s="26">
        <f t="shared" si="0"/>
        <v>2029</v>
      </c>
      <c r="J21" s="26">
        <f t="shared" si="0"/>
        <v>2030</v>
      </c>
      <c r="K21" s="26">
        <f t="shared" si="0"/>
        <v>2031</v>
      </c>
      <c r="L21" s="26">
        <f t="shared" si="0"/>
        <v>2032</v>
      </c>
      <c r="N21" s="23"/>
    </row>
    <row r="22" spans="2:14" x14ac:dyDescent="0.3">
      <c r="B22" s="23"/>
      <c r="C22" s="252"/>
      <c r="D22" s="27" t="s">
        <v>36</v>
      </c>
      <c r="E22" s="27" t="s">
        <v>36</v>
      </c>
      <c r="F22" s="27" t="s">
        <v>36</v>
      </c>
      <c r="G22" s="27" t="s">
        <v>36</v>
      </c>
      <c r="H22" s="27" t="s">
        <v>36</v>
      </c>
      <c r="I22" s="27" t="s">
        <v>36</v>
      </c>
      <c r="J22" s="27" t="s">
        <v>36</v>
      </c>
      <c r="K22" s="27" t="s">
        <v>36</v>
      </c>
      <c r="L22" s="27" t="s">
        <v>36</v>
      </c>
      <c r="N22" s="23"/>
    </row>
    <row r="23" spans="2:14" ht="35.4" customHeight="1" x14ac:dyDescent="0.3">
      <c r="B23" s="23"/>
      <c r="C23" s="28" t="str">
        <f t="shared" ref="C23:C31" si="1">C11</f>
        <v>Apa potabilă produsă, transportată și distribuită</v>
      </c>
      <c r="D23" s="31">
        <f>IFERROR('Costuri operare'!G20/'Nivel tarife'!G34," - ")</f>
        <v>2.1560552812574115E-7</v>
      </c>
      <c r="E23" s="31">
        <f>IFERROR('Costuri operare'!H20/'Nivel tarife'!H34," - ")</f>
        <v>0.80681989262362375</v>
      </c>
      <c r="F23" s="31">
        <f>IFERROR('Costuri operare'!I20/'Nivel tarife'!I34," - ")</f>
        <v>0.87350403636272034</v>
      </c>
      <c r="G23" s="31">
        <f>IFERROR('Costuri operare'!J20/'Nivel tarife'!J34," - ")</f>
        <v>0.92878449239299798</v>
      </c>
      <c r="H23" s="31">
        <f>IFERROR('Costuri operare'!K20/'Nivel tarife'!K34," - ")</f>
        <v>1.0003602975087724</v>
      </c>
      <c r="I23" s="31">
        <f>IFERROR('Costuri operare'!L20/'Nivel tarife'!L34," - ")</f>
        <v>1.0939599674981639</v>
      </c>
      <c r="J23" s="31">
        <f>IFERROR('Costuri operare'!M20/'Nivel tarife'!M34," - ")</f>
        <v>1.1626441481916756</v>
      </c>
      <c r="K23" s="31">
        <f>IFERROR('Costuri operare'!N20/'Nivel tarife'!N34," - ")</f>
        <v>1.7263607610608529</v>
      </c>
      <c r="L23" s="31">
        <f>IFERROR('Costuri operare'!O20/'Nivel tarife'!O34," - ")</f>
        <v>1.7434534418634355</v>
      </c>
      <c r="N23" s="23"/>
    </row>
    <row r="24" spans="2:14" ht="35.4" customHeight="1" x14ac:dyDescent="0.3">
      <c r="B24" s="23"/>
      <c r="C24" s="28" t="str">
        <f t="shared" si="1"/>
        <v>Canalizare – epurare ape uzate și meteorice procesate</v>
      </c>
      <c r="D24" s="31">
        <f>IFERROR('Costuri operare'!G80/'Nivel tarife'!G52," - ")</f>
        <v>2.288842806853711E-6</v>
      </c>
      <c r="E24" s="31">
        <f>IFERROR('Costuri operare'!H80/'Nivel tarife'!H52," - ")</f>
        <v>0.49969080140755268</v>
      </c>
      <c r="F24" s="31">
        <f>IFERROR('Costuri operare'!I80/'Nivel tarife'!I52," - ")</f>
        <v>0.58323571893011439</v>
      </c>
      <c r="G24" s="31">
        <f>IFERROR('Costuri operare'!J80/'Nivel tarife'!J52," - ")</f>
        <v>0.71467245151922976</v>
      </c>
      <c r="H24" s="31">
        <f>IFERROR('Costuri operare'!K80/'Nivel tarife'!K52," - ")</f>
        <v>0.71706157598404774</v>
      </c>
      <c r="I24" s="31">
        <f>IFERROR('Costuri operare'!L80/'Nivel tarife'!L52," - ")</f>
        <v>0.72225767436074351</v>
      </c>
      <c r="J24" s="31">
        <f>IFERROR('Costuri operare'!M80/'Nivel tarife'!M52," - ")</f>
        <v>0.75586072442863117</v>
      </c>
      <c r="K24" s="31">
        <f>IFERROR('Costuri operare'!N80/'Nivel tarife'!N52," - ")</f>
        <v>1.1223453861701225</v>
      </c>
      <c r="L24" s="31">
        <f>IFERROR('Costuri operare'!O80/'Nivel tarife'!O52," - ")</f>
        <v>0.91368811217574375</v>
      </c>
      <c r="N24" s="23"/>
    </row>
    <row r="25" spans="2:14" ht="47.4" customHeight="1" x14ac:dyDescent="0.3">
      <c r="B25" s="23"/>
      <c r="C25" s="28" t="str">
        <f t="shared" si="1"/>
        <v>Apa potabilă produsă și transportată în vederea redistribuirii în alte sisteme de operare</v>
      </c>
      <c r="D25" s="31" t="str">
        <f>IFERROR('Costuri operare'!G136/'Nivel tarife'!G70," - ")</f>
        <v xml:space="preserve"> - </v>
      </c>
      <c r="E25" s="31" t="str">
        <f>IFERROR('Costuri operare'!H136/'Nivel tarife'!H70," - ")</f>
        <v xml:space="preserve"> - </v>
      </c>
      <c r="F25" s="31" t="str">
        <f>IFERROR('Costuri operare'!I136/'Nivel tarife'!I70," - ")</f>
        <v xml:space="preserve"> - </v>
      </c>
      <c r="G25" s="31" t="str">
        <f>IFERROR('Costuri operare'!J136/'Nivel tarife'!J70," - ")</f>
        <v xml:space="preserve"> - </v>
      </c>
      <c r="H25" s="31" t="str">
        <f>IFERROR('Costuri operare'!K136/'Nivel tarife'!K70," - ")</f>
        <v xml:space="preserve"> - </v>
      </c>
      <c r="I25" s="31" t="str">
        <f>IFERROR('Costuri operare'!L136/'Nivel tarife'!L70," - ")</f>
        <v xml:space="preserve"> - </v>
      </c>
      <c r="J25" s="31" t="str">
        <f>IFERROR('Costuri operare'!M136/'Nivel tarife'!M70," - ")</f>
        <v xml:space="preserve"> - </v>
      </c>
      <c r="K25" s="31" t="str">
        <f>IFERROR('Costuri operare'!N136/'Nivel tarife'!N70," - ")</f>
        <v xml:space="preserve"> - </v>
      </c>
      <c r="L25" s="31" t="str">
        <f>IFERROR('Costuri operare'!O136/'Nivel tarife'!O70," - ")</f>
        <v xml:space="preserve"> - </v>
      </c>
      <c r="N25" s="23"/>
    </row>
    <row r="26" spans="2:14" x14ac:dyDescent="0.3">
      <c r="B26" s="23"/>
      <c r="C26" s="28" t="str">
        <f t="shared" si="1"/>
        <v>Distribuția apei potabile</v>
      </c>
      <c r="D26" s="31" t="str">
        <f>IFERROR('Costuri operare'!G198/'Nivel tarife'!G88," - ")</f>
        <v xml:space="preserve"> - </v>
      </c>
      <c r="E26" s="31" t="str">
        <f>IFERROR('Costuri operare'!H198/'Nivel tarife'!H88," - ")</f>
        <v xml:space="preserve"> - </v>
      </c>
      <c r="F26" s="31" t="str">
        <f>IFERROR('Costuri operare'!I198/'Nivel tarife'!I88," - ")</f>
        <v xml:space="preserve"> - </v>
      </c>
      <c r="G26" s="31" t="str">
        <f>IFERROR('Costuri operare'!J198/'Nivel tarife'!J88," - ")</f>
        <v xml:space="preserve"> - </v>
      </c>
      <c r="H26" s="31" t="str">
        <f>IFERROR('Costuri operare'!K198/'Nivel tarife'!K88," - ")</f>
        <v xml:space="preserve"> - </v>
      </c>
      <c r="I26" s="31" t="str">
        <f>IFERROR('Costuri operare'!L198/'Nivel tarife'!L88," - ")</f>
        <v xml:space="preserve"> - </v>
      </c>
      <c r="J26" s="31" t="str">
        <f>IFERROR('Costuri operare'!M198/'Nivel tarife'!M88," - ")</f>
        <v xml:space="preserve"> - </v>
      </c>
      <c r="K26" s="31" t="str">
        <f>IFERROR('Costuri operare'!N198/'Nivel tarife'!N88," - ")</f>
        <v xml:space="preserve"> - </v>
      </c>
      <c r="L26" s="31" t="str">
        <f>IFERROR('Costuri operare'!O198/'Nivel tarife'!O88," - ")</f>
        <v xml:space="preserve"> - </v>
      </c>
      <c r="N26" s="23"/>
    </row>
    <row r="27" spans="2:14" x14ac:dyDescent="0.3">
      <c r="B27" s="23"/>
      <c r="C27" s="28" t="str">
        <f t="shared" si="1"/>
        <v>Apa industriala</v>
      </c>
      <c r="D27" s="31" t="str">
        <f>IFERROR('Costuri operare'!G260/'Nivel tarife'!G106," - ")</f>
        <v xml:space="preserve"> - </v>
      </c>
      <c r="E27" s="31" t="str">
        <f>IFERROR('Costuri operare'!H260/'Nivel tarife'!H106," - ")</f>
        <v xml:space="preserve"> - </v>
      </c>
      <c r="F27" s="31" t="str">
        <f>IFERROR('Costuri operare'!I260/'Nivel tarife'!I106," - ")</f>
        <v xml:space="preserve"> - </v>
      </c>
      <c r="G27" s="31" t="str">
        <f>IFERROR('Costuri operare'!J260/'Nivel tarife'!J106," - ")</f>
        <v xml:space="preserve"> - </v>
      </c>
      <c r="H27" s="31" t="str">
        <f>IFERROR('Costuri operare'!K260/'Nivel tarife'!K106," - ")</f>
        <v xml:space="preserve"> - </v>
      </c>
      <c r="I27" s="31" t="str">
        <f>IFERROR('Costuri operare'!L260/'Nivel tarife'!L106," - ")</f>
        <v xml:space="preserve"> - </v>
      </c>
      <c r="J27" s="31" t="str">
        <f>IFERROR('Costuri operare'!M260/'Nivel tarife'!M106," - ")</f>
        <v xml:space="preserve"> - </v>
      </c>
      <c r="K27" s="31" t="str">
        <f>IFERROR('Costuri operare'!N260/'Nivel tarife'!N106," - ")</f>
        <v xml:space="preserve"> - </v>
      </c>
      <c r="L27" s="31" t="str">
        <f>IFERROR('Costuri operare'!O260/'Nivel tarife'!O106," - ")</f>
        <v xml:space="preserve"> - </v>
      </c>
      <c r="N27" s="23"/>
    </row>
    <row r="28" spans="2:14" ht="31.35" customHeight="1" x14ac:dyDescent="0.3">
      <c r="B28" s="23"/>
      <c r="C28" s="28" t="str">
        <f t="shared" si="1"/>
        <v>Transportul și epurarea apelor uzate preluate din alte sisteme de operare</v>
      </c>
      <c r="D28" s="31" t="str">
        <f>IFERROR('Costuri operare'!G320/'Nivel tarife'!G124," - ")</f>
        <v xml:space="preserve"> - </v>
      </c>
      <c r="E28" s="31" t="str">
        <f>IFERROR('Costuri operare'!H320/'Nivel tarife'!H124," - ")</f>
        <v xml:space="preserve"> - </v>
      </c>
      <c r="F28" s="31" t="str">
        <f>IFERROR('Costuri operare'!I320/'Nivel tarife'!I124," - ")</f>
        <v xml:space="preserve"> - </v>
      </c>
      <c r="G28" s="31" t="str">
        <f>IFERROR('Costuri operare'!J320/'Nivel tarife'!J124," - ")</f>
        <v xml:space="preserve"> - </v>
      </c>
      <c r="H28" s="31" t="str">
        <f>IFERROR('Costuri operare'!K320/'Nivel tarife'!K124," - ")</f>
        <v xml:space="preserve"> - </v>
      </c>
      <c r="I28" s="31" t="str">
        <f>IFERROR('Costuri operare'!L320/'Nivel tarife'!L124," - ")</f>
        <v xml:space="preserve"> - </v>
      </c>
      <c r="J28" s="31" t="str">
        <f>IFERROR('Costuri operare'!M320/'Nivel tarife'!M124," - ")</f>
        <v xml:space="preserve"> - </v>
      </c>
      <c r="K28" s="31" t="str">
        <f>IFERROR('Costuri operare'!N320/'Nivel tarife'!N124," - ")</f>
        <v xml:space="preserve"> - </v>
      </c>
      <c r="L28" s="31" t="str">
        <f>IFERROR('Costuri operare'!O320/'Nivel tarife'!O124," - ")</f>
        <v xml:space="preserve"> - </v>
      </c>
      <c r="N28" s="23"/>
    </row>
    <row r="29" spans="2:14" x14ac:dyDescent="0.3">
      <c r="B29" s="23"/>
      <c r="C29" s="28" t="str">
        <f t="shared" si="1"/>
        <v>Canalizare ape uzate menajere</v>
      </c>
      <c r="D29" s="31" t="str">
        <f>IFERROR('Costuri operare'!G374/'Nivel tarife'!G142," - ")</f>
        <v xml:space="preserve"> - </v>
      </c>
      <c r="E29" s="31" t="str">
        <f>IFERROR('Costuri operare'!H374/'Nivel tarife'!H142," - ")</f>
        <v xml:space="preserve"> - </v>
      </c>
      <c r="F29" s="31" t="str">
        <f>IFERROR('Costuri operare'!I374/'Nivel tarife'!I142," - ")</f>
        <v xml:space="preserve"> - </v>
      </c>
      <c r="G29" s="31" t="str">
        <f>IFERROR('Costuri operare'!J374/'Nivel tarife'!J142," - ")</f>
        <v xml:space="preserve"> - </v>
      </c>
      <c r="H29" s="31" t="str">
        <f>IFERROR('Costuri operare'!K374/'Nivel tarife'!K142," - ")</f>
        <v xml:space="preserve"> - </v>
      </c>
      <c r="I29" s="31" t="str">
        <f>IFERROR('Costuri operare'!L374/'Nivel tarife'!L142," - ")</f>
        <v xml:space="preserve"> - </v>
      </c>
      <c r="J29" s="31" t="str">
        <f>IFERROR('Costuri operare'!M374/'Nivel tarife'!M142," - ")</f>
        <v xml:space="preserve"> - </v>
      </c>
      <c r="K29" s="31" t="str">
        <f>IFERROR('Costuri operare'!N374/'Nivel tarife'!N142," - ")</f>
        <v xml:space="preserve"> - </v>
      </c>
      <c r="L29" s="31" t="str">
        <f>IFERROR('Costuri operare'!O374/'Nivel tarife'!O142," - ")</f>
        <v xml:space="preserve"> - </v>
      </c>
      <c r="N29" s="23"/>
    </row>
    <row r="30" spans="2:14" ht="28.8" x14ac:dyDescent="0.3">
      <c r="B30" s="23"/>
      <c r="C30" s="28" t="str">
        <f t="shared" si="1"/>
        <v xml:space="preserve">Serviciul public inteligent alternativ pentru procesarea apelor uzate </v>
      </c>
      <c r="D30" s="31" t="str">
        <f>IFERROR('Costuri operare'!G428/'Nivel tarife'!G160," - ")</f>
        <v xml:space="preserve"> - </v>
      </c>
      <c r="E30" s="31" t="str">
        <f>IFERROR('Costuri operare'!H428/'Nivel tarife'!H160," - ")</f>
        <v xml:space="preserve"> - </v>
      </c>
      <c r="F30" s="31" t="str">
        <f>IFERROR('Costuri operare'!I428/'Nivel tarife'!I160," - ")</f>
        <v xml:space="preserve"> - </v>
      </c>
      <c r="G30" s="31" t="str">
        <f>IFERROR('Costuri operare'!J428/'Nivel tarife'!J160," - ")</f>
        <v xml:space="preserve"> - </v>
      </c>
      <c r="H30" s="31" t="str">
        <f>IFERROR('Costuri operare'!K428/'Nivel tarife'!K160," - ")</f>
        <v xml:space="preserve"> - </v>
      </c>
      <c r="I30" s="31" t="str">
        <f>IFERROR('Costuri operare'!L428/'Nivel tarife'!L160," - ")</f>
        <v xml:space="preserve"> - </v>
      </c>
      <c r="J30" s="31" t="str">
        <f>IFERROR('Costuri operare'!M428/'Nivel tarife'!M160," - ")</f>
        <v xml:space="preserve"> - </v>
      </c>
      <c r="K30" s="31" t="str">
        <f>IFERROR('Costuri operare'!N428/'Nivel tarife'!N160," - ")</f>
        <v xml:space="preserve"> - </v>
      </c>
      <c r="L30" s="31" t="str">
        <f>IFERROR('Costuri operare'!O428/'Nivel tarife'!O160," - ")</f>
        <v xml:space="preserve"> - </v>
      </c>
      <c r="N30" s="23"/>
    </row>
    <row r="31" spans="2:14" x14ac:dyDescent="0.3">
      <c r="B31" s="23"/>
      <c r="C31" s="28" t="str">
        <f t="shared" si="1"/>
        <v>Canalizare ape pluviale</v>
      </c>
      <c r="D31" s="31" t="str">
        <f>IFERROR('Costuri operare'!G482/'Nivel tarife'!G178," - ")</f>
        <v xml:space="preserve"> - </v>
      </c>
      <c r="E31" s="31" t="str">
        <f>IFERROR('Costuri operare'!H482/'Nivel tarife'!H178," - ")</f>
        <v xml:space="preserve"> - </v>
      </c>
      <c r="F31" s="31" t="str">
        <f>IFERROR('Costuri operare'!I482/'Nivel tarife'!I178," - ")</f>
        <v xml:space="preserve"> - </v>
      </c>
      <c r="G31" s="31" t="str">
        <f>IFERROR('Costuri operare'!J482/'Nivel tarife'!J178," - ")</f>
        <v xml:space="preserve"> - </v>
      </c>
      <c r="H31" s="31" t="str">
        <f>IFERROR('Costuri operare'!K482/'Nivel tarife'!K178," - ")</f>
        <v xml:space="preserve"> - </v>
      </c>
      <c r="I31" s="31" t="str">
        <f>IFERROR('Costuri operare'!L482/'Nivel tarife'!L178," - ")</f>
        <v xml:space="preserve"> - </v>
      </c>
      <c r="J31" s="31" t="str">
        <f>IFERROR('Costuri operare'!M482/'Nivel tarife'!M178," - ")</f>
        <v xml:space="preserve"> - </v>
      </c>
      <c r="K31" s="31" t="str">
        <f>IFERROR('Costuri operare'!N482/'Nivel tarife'!N178," - ")</f>
        <v xml:space="preserve"> - </v>
      </c>
      <c r="L31" s="31" t="str">
        <f>IFERROR('Costuri operare'!O482/'Nivel tarife'!O178," - ")</f>
        <v xml:space="preserve"> - </v>
      </c>
      <c r="N31" s="23"/>
    </row>
    <row r="32" spans="2:14" x14ac:dyDescent="0.3">
      <c r="B32" s="23"/>
      <c r="C32" s="32"/>
      <c r="D32" s="33"/>
      <c r="E32" s="33"/>
      <c r="F32" s="33"/>
      <c r="G32" s="33"/>
      <c r="H32" s="33"/>
      <c r="I32" s="33"/>
      <c r="J32" s="33"/>
      <c r="K32" s="33"/>
      <c r="L32" s="33"/>
      <c r="N32" s="23"/>
    </row>
    <row r="33" spans="2:14" x14ac:dyDescent="0.3">
      <c r="B33" s="23"/>
      <c r="C33" s="252" t="s">
        <v>370</v>
      </c>
      <c r="D33" s="26" t="s">
        <v>371</v>
      </c>
      <c r="E33" s="26">
        <f>E21</f>
        <v>2025</v>
      </c>
      <c r="F33" s="26">
        <f t="shared" ref="F33:L33" si="2">F21</f>
        <v>2026</v>
      </c>
      <c r="G33" s="26">
        <f t="shared" si="2"/>
        <v>2027</v>
      </c>
      <c r="H33" s="26">
        <f t="shared" si="2"/>
        <v>2028</v>
      </c>
      <c r="I33" s="26">
        <f t="shared" si="2"/>
        <v>2029</v>
      </c>
      <c r="J33" s="26">
        <f t="shared" si="2"/>
        <v>2030</v>
      </c>
      <c r="K33" s="26">
        <f t="shared" si="2"/>
        <v>2031</v>
      </c>
      <c r="L33" s="26">
        <f t="shared" si="2"/>
        <v>2032</v>
      </c>
      <c r="N33" s="23"/>
    </row>
    <row r="34" spans="2:14" x14ac:dyDescent="0.3">
      <c r="B34" s="23"/>
      <c r="C34" s="252"/>
      <c r="D34" s="27" t="s">
        <v>141</v>
      </c>
      <c r="E34" s="27" t="s">
        <v>141</v>
      </c>
      <c r="F34" s="27" t="s">
        <v>141</v>
      </c>
      <c r="G34" s="27" t="s">
        <v>141</v>
      </c>
      <c r="H34" s="27" t="s">
        <v>141</v>
      </c>
      <c r="I34" s="27" t="s">
        <v>141</v>
      </c>
      <c r="J34" s="27" t="s">
        <v>141</v>
      </c>
      <c r="K34" s="27" t="s">
        <v>141</v>
      </c>
      <c r="L34" s="27" t="s">
        <v>141</v>
      </c>
      <c r="N34" s="23"/>
    </row>
    <row r="35" spans="2:14" ht="35.4" customHeight="1" x14ac:dyDescent="0.3">
      <c r="B35" s="23"/>
      <c r="C35" s="28" t="str">
        <f t="shared" ref="C35:C43" si="3">C23</f>
        <v>Apa potabilă produsă, transportată și distribuită</v>
      </c>
      <c r="D35" s="34">
        <f>'Costuri operare'!G20</f>
        <v>0.1</v>
      </c>
      <c r="E35" s="34">
        <f>'Costuri operare'!H20</f>
        <v>379123.22139999998</v>
      </c>
      <c r="F35" s="34">
        <f>'Costuri operare'!I20</f>
        <v>417011.01266666665</v>
      </c>
      <c r="G35" s="34">
        <f>'Costuri operare'!J20</f>
        <v>445244.91266666667</v>
      </c>
      <c r="H35" s="34">
        <f>'Costuri operare'!K20</f>
        <v>479557.24600000004</v>
      </c>
      <c r="I35" s="34">
        <f>'Costuri operare'!L20</f>
        <v>524427.47933333344</v>
      </c>
      <c r="J35" s="34">
        <f>'Costuri operare'!M20</f>
        <v>557353.61266666674</v>
      </c>
      <c r="K35" s="34">
        <f>'Costuri operare'!N20</f>
        <v>827590.6333333333</v>
      </c>
      <c r="L35" s="34">
        <f>'Costuri operare'!O20</f>
        <v>835784.6</v>
      </c>
      <c r="N35" s="23"/>
    </row>
    <row r="36" spans="2:14" ht="35.4" customHeight="1" x14ac:dyDescent="0.3">
      <c r="B36" s="23"/>
      <c r="C36" s="28" t="str">
        <f t="shared" si="3"/>
        <v>Canalizare – epurare ape uzate și meteorice procesate</v>
      </c>
      <c r="D36" s="34">
        <f>'Costuri operare'!G80</f>
        <v>1</v>
      </c>
      <c r="E36" s="34">
        <f>'Costuri operare'!H80</f>
        <v>220894.57500000001</v>
      </c>
      <c r="F36" s="34">
        <f>'Costuri operare'!I80</f>
        <v>263311.26909866667</v>
      </c>
      <c r="G36" s="34">
        <f>'Costuri operare'!J80</f>
        <v>330805.39977072633</v>
      </c>
      <c r="H36" s="34">
        <f>'Costuri operare'!K80</f>
        <v>331911.27039999998</v>
      </c>
      <c r="I36" s="34">
        <f>'Costuri operare'!L80</f>
        <v>334316.42453333322</v>
      </c>
      <c r="J36" s="34">
        <f>'Costuri operare'!M80</f>
        <v>349870.50163200003</v>
      </c>
      <c r="K36" s="34">
        <f>'Costuri operare'!N80</f>
        <v>519507.80159999995</v>
      </c>
      <c r="L36" s="34">
        <f>'Costuri operare'!O80</f>
        <v>424957.49999999988</v>
      </c>
      <c r="N36" s="23"/>
    </row>
    <row r="37" spans="2:14" ht="47.4" customHeight="1" x14ac:dyDescent="0.3">
      <c r="B37" s="23"/>
      <c r="C37" s="28" t="str">
        <f t="shared" si="3"/>
        <v>Apa potabilă produsă și transportată în vederea redistribuirii în alte sisteme de operare</v>
      </c>
      <c r="D37" s="34">
        <f>'Costuri operare'!G136</f>
        <v>0</v>
      </c>
      <c r="E37" s="34">
        <f>'Costuri operare'!H136</f>
        <v>0</v>
      </c>
      <c r="F37" s="34">
        <f>'Costuri operare'!I136</f>
        <v>0</v>
      </c>
      <c r="G37" s="34">
        <f>'Costuri operare'!J136</f>
        <v>0</v>
      </c>
      <c r="H37" s="34">
        <f>'Costuri operare'!K136</f>
        <v>0</v>
      </c>
      <c r="I37" s="34">
        <f>'Costuri operare'!L136</f>
        <v>0</v>
      </c>
      <c r="J37" s="34">
        <f>'Costuri operare'!M136</f>
        <v>0</v>
      </c>
      <c r="K37" s="34">
        <f>'Costuri operare'!N136</f>
        <v>0</v>
      </c>
      <c r="L37" s="34">
        <f>'Costuri operare'!O136</f>
        <v>0</v>
      </c>
      <c r="N37" s="23"/>
    </row>
    <row r="38" spans="2:14" x14ac:dyDescent="0.3">
      <c r="B38" s="23"/>
      <c r="C38" s="28" t="str">
        <f t="shared" si="3"/>
        <v>Distribuția apei potabile</v>
      </c>
      <c r="D38" s="34">
        <f>'Costuri operare'!G198</f>
        <v>0</v>
      </c>
      <c r="E38" s="34">
        <f>'Costuri operare'!H198</f>
        <v>0</v>
      </c>
      <c r="F38" s="34">
        <f>'Costuri operare'!I198</f>
        <v>0</v>
      </c>
      <c r="G38" s="34">
        <f>'Costuri operare'!J198</f>
        <v>0</v>
      </c>
      <c r="H38" s="34">
        <f>'Costuri operare'!K198</f>
        <v>0</v>
      </c>
      <c r="I38" s="34">
        <f>'Costuri operare'!L198</f>
        <v>0</v>
      </c>
      <c r="J38" s="34">
        <f>'Costuri operare'!M198</f>
        <v>0</v>
      </c>
      <c r="K38" s="34">
        <f>'Costuri operare'!N198</f>
        <v>0</v>
      </c>
      <c r="L38" s="34">
        <f>'Costuri operare'!O198</f>
        <v>0</v>
      </c>
      <c r="N38" s="23"/>
    </row>
    <row r="39" spans="2:14" x14ac:dyDescent="0.3">
      <c r="B39" s="23"/>
      <c r="C39" s="28" t="str">
        <f t="shared" si="3"/>
        <v>Apa industriala</v>
      </c>
      <c r="D39" s="34">
        <f>'Costuri operare'!G260</f>
        <v>0</v>
      </c>
      <c r="E39" s="34">
        <f>'Costuri operare'!H260</f>
        <v>0</v>
      </c>
      <c r="F39" s="34">
        <f>'Costuri operare'!I260</f>
        <v>0</v>
      </c>
      <c r="G39" s="34">
        <f>'Costuri operare'!J260</f>
        <v>0</v>
      </c>
      <c r="H39" s="34">
        <f>'Costuri operare'!K260</f>
        <v>0</v>
      </c>
      <c r="I39" s="34">
        <f>'Costuri operare'!L260</f>
        <v>0</v>
      </c>
      <c r="J39" s="34">
        <f>'Costuri operare'!M260</f>
        <v>0</v>
      </c>
      <c r="K39" s="34">
        <f>'Costuri operare'!N260</f>
        <v>0</v>
      </c>
      <c r="L39" s="34">
        <f>'Costuri operare'!O260</f>
        <v>0</v>
      </c>
      <c r="N39" s="23"/>
    </row>
    <row r="40" spans="2:14" ht="31.35" customHeight="1" x14ac:dyDescent="0.3">
      <c r="B40" s="23"/>
      <c r="C40" s="28" t="str">
        <f t="shared" si="3"/>
        <v>Transportul și epurarea apelor uzate preluate din alte sisteme de operare</v>
      </c>
      <c r="D40" s="34">
        <f>'Costuri operare'!G320</f>
        <v>0</v>
      </c>
      <c r="E40" s="34">
        <f>'Costuri operare'!H320</f>
        <v>0</v>
      </c>
      <c r="F40" s="34">
        <f>'Costuri operare'!I320</f>
        <v>0</v>
      </c>
      <c r="G40" s="34">
        <f>'Costuri operare'!J320</f>
        <v>0</v>
      </c>
      <c r="H40" s="34">
        <f>'Costuri operare'!K320</f>
        <v>0</v>
      </c>
      <c r="I40" s="34">
        <f>'Costuri operare'!L320</f>
        <v>0</v>
      </c>
      <c r="J40" s="34">
        <f>'Costuri operare'!M320</f>
        <v>0</v>
      </c>
      <c r="K40" s="34">
        <f>'Costuri operare'!N320</f>
        <v>0</v>
      </c>
      <c r="L40" s="34">
        <f>'Costuri operare'!O320</f>
        <v>0</v>
      </c>
      <c r="N40" s="23"/>
    </row>
    <row r="41" spans="2:14" x14ac:dyDescent="0.3">
      <c r="B41" s="23"/>
      <c r="C41" s="28" t="str">
        <f t="shared" si="3"/>
        <v>Canalizare ape uzate menajere</v>
      </c>
      <c r="D41" s="34">
        <f>'Costuri operare'!G374</f>
        <v>0</v>
      </c>
      <c r="E41" s="34">
        <f>'Costuri operare'!H374</f>
        <v>0</v>
      </c>
      <c r="F41" s="34">
        <f>'Costuri operare'!I374</f>
        <v>0</v>
      </c>
      <c r="G41" s="34">
        <f>'Costuri operare'!J374</f>
        <v>0</v>
      </c>
      <c r="H41" s="34">
        <f>'Costuri operare'!K374</f>
        <v>0</v>
      </c>
      <c r="I41" s="34">
        <f>'Costuri operare'!L374</f>
        <v>0</v>
      </c>
      <c r="J41" s="34">
        <f>'Costuri operare'!M374</f>
        <v>0</v>
      </c>
      <c r="K41" s="34">
        <f>'Costuri operare'!N374</f>
        <v>0</v>
      </c>
      <c r="L41" s="34">
        <f>'Costuri operare'!O374</f>
        <v>0</v>
      </c>
      <c r="N41" s="23"/>
    </row>
    <row r="42" spans="2:14" ht="28.8" x14ac:dyDescent="0.3">
      <c r="B42" s="23"/>
      <c r="C42" s="28" t="str">
        <f t="shared" si="3"/>
        <v xml:space="preserve">Serviciul public inteligent alternativ pentru procesarea apelor uzate </v>
      </c>
      <c r="D42" s="34">
        <f>'Costuri operare'!G428</f>
        <v>0</v>
      </c>
      <c r="E42" s="34">
        <f>'Costuri operare'!H428</f>
        <v>0</v>
      </c>
      <c r="F42" s="34">
        <f>'Costuri operare'!I428</f>
        <v>0</v>
      </c>
      <c r="G42" s="34">
        <f>'Costuri operare'!J428</f>
        <v>0</v>
      </c>
      <c r="H42" s="34">
        <f>'Costuri operare'!K428</f>
        <v>0</v>
      </c>
      <c r="I42" s="34">
        <f>'Costuri operare'!L428</f>
        <v>0</v>
      </c>
      <c r="J42" s="34">
        <f>'Costuri operare'!M428</f>
        <v>0</v>
      </c>
      <c r="K42" s="34">
        <f>'Costuri operare'!N428</f>
        <v>0</v>
      </c>
      <c r="L42" s="34">
        <f>'Costuri operare'!O428</f>
        <v>0</v>
      </c>
      <c r="N42" s="23"/>
    </row>
    <row r="43" spans="2:14" x14ac:dyDescent="0.3">
      <c r="B43" s="23"/>
      <c r="C43" s="28" t="str">
        <f t="shared" si="3"/>
        <v>Canalizare ape pluviale</v>
      </c>
      <c r="D43" s="34">
        <f>'Costuri operare'!G482</f>
        <v>0</v>
      </c>
      <c r="E43" s="34">
        <f>'Costuri operare'!H482</f>
        <v>0</v>
      </c>
      <c r="F43" s="34">
        <f>'Costuri operare'!I482</f>
        <v>0</v>
      </c>
      <c r="G43" s="34">
        <f>'Costuri operare'!J482</f>
        <v>0</v>
      </c>
      <c r="H43" s="34">
        <f>'Costuri operare'!K482</f>
        <v>0</v>
      </c>
      <c r="I43" s="34">
        <f>'Costuri operare'!L482</f>
        <v>0</v>
      </c>
      <c r="J43" s="34">
        <f>'Costuri operare'!M482</f>
        <v>0</v>
      </c>
      <c r="K43" s="34">
        <f>'Costuri operare'!N482</f>
        <v>0</v>
      </c>
      <c r="L43" s="34">
        <f>'Costuri operare'!O482</f>
        <v>0</v>
      </c>
      <c r="N43" s="23"/>
    </row>
    <row r="44" spans="2:14" x14ac:dyDescent="0.3">
      <c r="B44" s="23"/>
      <c r="N44" s="23"/>
    </row>
    <row r="45" spans="2:14" x14ac:dyDescent="0.3">
      <c r="B45" s="23"/>
      <c r="C45" s="252" t="s">
        <v>372</v>
      </c>
      <c r="D45" s="26" t="s">
        <v>371</v>
      </c>
      <c r="E45" s="27">
        <f t="shared" ref="E45:L45" si="4">E21</f>
        <v>2025</v>
      </c>
      <c r="F45" s="27">
        <f t="shared" si="4"/>
        <v>2026</v>
      </c>
      <c r="G45" s="27">
        <f t="shared" si="4"/>
        <v>2027</v>
      </c>
      <c r="H45" s="27">
        <f t="shared" si="4"/>
        <v>2028</v>
      </c>
      <c r="I45" s="27">
        <f t="shared" si="4"/>
        <v>2029</v>
      </c>
      <c r="J45" s="27">
        <f t="shared" si="4"/>
        <v>2030</v>
      </c>
      <c r="K45" s="27">
        <f t="shared" si="4"/>
        <v>2031</v>
      </c>
      <c r="L45" s="27">
        <f t="shared" si="4"/>
        <v>2032</v>
      </c>
      <c r="N45" s="23"/>
    </row>
    <row r="46" spans="2:14" x14ac:dyDescent="0.3">
      <c r="B46" s="23"/>
      <c r="C46" s="252"/>
      <c r="D46" s="27" t="s">
        <v>47</v>
      </c>
      <c r="E46" s="27" t="s">
        <v>47</v>
      </c>
      <c r="F46" s="27" t="s">
        <v>47</v>
      </c>
      <c r="G46" s="27" t="s">
        <v>47</v>
      </c>
      <c r="H46" s="27" t="s">
        <v>47</v>
      </c>
      <c r="I46" s="27" t="s">
        <v>47</v>
      </c>
      <c r="J46" s="27" t="s">
        <v>47</v>
      </c>
      <c r="K46" s="27" t="s">
        <v>47</v>
      </c>
      <c r="L46" s="27" t="s">
        <v>47</v>
      </c>
      <c r="N46" s="23"/>
    </row>
    <row r="47" spans="2:14" s="22" customFormat="1" ht="28.8" x14ac:dyDescent="0.3">
      <c r="B47" s="35"/>
      <c r="C47" s="28" t="str">
        <f t="shared" ref="C47:C55" si="5">C23</f>
        <v>Apa potabilă produsă, transportată și distribuită</v>
      </c>
      <c r="D47" s="36">
        <f>'Amortizare si redeventa'!G38</f>
        <v>1.39848991059454E-7</v>
      </c>
      <c r="E47" s="36">
        <f>'Amortizare si redeventa'!H38</f>
        <v>0.5302</v>
      </c>
      <c r="F47" s="36">
        <f>'Amortizare si redeventa'!I38</f>
        <v>0.56020000000000003</v>
      </c>
      <c r="G47" s="36">
        <f>'Amortizare si redeventa'!J38</f>
        <v>0.59020000000000006</v>
      </c>
      <c r="H47" s="36">
        <f>'Amortizare si redeventa'!K38</f>
        <v>0.62020000000000008</v>
      </c>
      <c r="I47" s="36">
        <f>'Amortizare si redeventa'!L38</f>
        <v>0.65020000000000011</v>
      </c>
      <c r="J47" s="36">
        <f>'Amortizare si redeventa'!M38</f>
        <v>0.68020000000000014</v>
      </c>
      <c r="K47" s="36">
        <f>'Amortizare si redeventa'!N38</f>
        <v>1.01</v>
      </c>
      <c r="L47" s="36">
        <f>'Amortizare si redeventa'!O38</f>
        <v>1.02</v>
      </c>
      <c r="N47" s="35"/>
    </row>
    <row r="48" spans="2:14" s="22" customFormat="1" ht="28.8" x14ac:dyDescent="0.3">
      <c r="B48" s="35"/>
      <c r="C48" s="28" t="str">
        <f t="shared" si="5"/>
        <v>Canalizare – epurare ape uzate și meteorice procesate</v>
      </c>
      <c r="D48" s="36">
        <f>'Amortizare si redeventa'!G73</f>
        <v>2.4002400240024003E-6</v>
      </c>
      <c r="E48" s="36">
        <f>'Amortizare si redeventa'!H73</f>
        <v>0.5302</v>
      </c>
      <c r="F48" s="36">
        <f>'Amortizare si redeventa'!I73</f>
        <v>0.56020000000000003</v>
      </c>
      <c r="G48" s="36">
        <f>'Amortizare si redeventa'!J73</f>
        <v>0.68770103999999987</v>
      </c>
      <c r="H48" s="36">
        <f>'Amortizare si redeventa'!K73</f>
        <v>0.69</v>
      </c>
      <c r="I48" s="36">
        <f>'Amortizare si redeventa'!L73</f>
        <v>0.69499999999999995</v>
      </c>
      <c r="J48" s="36">
        <f>'Amortizare si redeventa'!M73</f>
        <v>0.68020000000000014</v>
      </c>
      <c r="K48" s="36">
        <f>'Amortizare si redeventa'!N73</f>
        <v>1.01</v>
      </c>
      <c r="L48" s="36">
        <f>'Amortizare si redeventa'!O73</f>
        <v>1.02</v>
      </c>
      <c r="N48" s="35"/>
    </row>
    <row r="49" spans="2:14" s="22" customFormat="1" ht="54" customHeight="1" x14ac:dyDescent="0.3">
      <c r="B49" s="35"/>
      <c r="C49" s="28" t="str">
        <f t="shared" si="5"/>
        <v>Apa potabilă produsă și transportată în vederea redistribuirii în alte sisteme de operare</v>
      </c>
      <c r="D49" s="36" t="e">
        <f>'Amortizare si redeventa'!G108</f>
        <v>#DIV/0!</v>
      </c>
      <c r="E49" s="36">
        <f>'Amortizare si redeventa'!H108</f>
        <v>0</v>
      </c>
      <c r="F49" s="36">
        <f>'Amortizare si redeventa'!I108</f>
        <v>0</v>
      </c>
      <c r="G49" s="36">
        <f>'Amortizare si redeventa'!J108</f>
        <v>0</v>
      </c>
      <c r="H49" s="36">
        <f>'Amortizare si redeventa'!K108</f>
        <v>0</v>
      </c>
      <c r="I49" s="36">
        <f>'Amortizare si redeventa'!L108</f>
        <v>0</v>
      </c>
      <c r="J49" s="36">
        <f>'Amortizare si redeventa'!M108</f>
        <v>0</v>
      </c>
      <c r="K49" s="36">
        <f>'Amortizare si redeventa'!N108</f>
        <v>0</v>
      </c>
      <c r="L49" s="36">
        <f>'Amortizare si redeventa'!O108</f>
        <v>0</v>
      </c>
      <c r="N49" s="35"/>
    </row>
    <row r="50" spans="2:14" s="22" customFormat="1" x14ac:dyDescent="0.3">
      <c r="B50" s="35"/>
      <c r="C50" s="28" t="str">
        <f t="shared" si="5"/>
        <v>Distribuția apei potabile</v>
      </c>
      <c r="D50" s="36" t="e">
        <f>'Amortizare si redeventa'!G143</f>
        <v>#DIV/0!</v>
      </c>
      <c r="E50" s="36">
        <f>'Amortizare si redeventa'!H143</f>
        <v>0</v>
      </c>
      <c r="F50" s="36">
        <f>'Amortizare si redeventa'!I143</f>
        <v>0</v>
      </c>
      <c r="G50" s="36">
        <f>'Amortizare si redeventa'!J143</f>
        <v>0</v>
      </c>
      <c r="H50" s="36">
        <f>'Amortizare si redeventa'!K143</f>
        <v>0</v>
      </c>
      <c r="I50" s="36">
        <f>'Amortizare si redeventa'!L143</f>
        <v>0</v>
      </c>
      <c r="J50" s="36">
        <f>'Amortizare si redeventa'!M143</f>
        <v>0</v>
      </c>
      <c r="K50" s="36">
        <f>'Amortizare si redeventa'!N143</f>
        <v>0</v>
      </c>
      <c r="L50" s="36">
        <f>'Amortizare si redeventa'!O143</f>
        <v>0</v>
      </c>
      <c r="N50" s="35"/>
    </row>
    <row r="51" spans="2:14" s="22" customFormat="1" x14ac:dyDescent="0.3">
      <c r="B51" s="35"/>
      <c r="C51" s="28" t="str">
        <f t="shared" si="5"/>
        <v>Apa industriala</v>
      </c>
      <c r="D51" s="36" t="e">
        <f>'Amortizare si redeventa'!G178</f>
        <v>#DIV/0!</v>
      </c>
      <c r="E51" s="36">
        <f>'Amortizare si redeventa'!H178</f>
        <v>0</v>
      </c>
      <c r="F51" s="36">
        <f>'Amortizare si redeventa'!I178</f>
        <v>0</v>
      </c>
      <c r="G51" s="36">
        <f>'Amortizare si redeventa'!J178</f>
        <v>0</v>
      </c>
      <c r="H51" s="36">
        <f>'Amortizare si redeventa'!K178</f>
        <v>0</v>
      </c>
      <c r="I51" s="36">
        <f>'Amortizare si redeventa'!L178</f>
        <v>0</v>
      </c>
      <c r="J51" s="36">
        <f>'Amortizare si redeventa'!M178</f>
        <v>0</v>
      </c>
      <c r="K51" s="36">
        <f>'Amortizare si redeventa'!N178</f>
        <v>0</v>
      </c>
      <c r="L51" s="36">
        <f>'Amortizare si redeventa'!O178</f>
        <v>0</v>
      </c>
      <c r="N51" s="35"/>
    </row>
    <row r="52" spans="2:14" s="22" customFormat="1" ht="31.35" customHeight="1" x14ac:dyDescent="0.3">
      <c r="B52" s="35"/>
      <c r="C52" s="28" t="str">
        <f t="shared" si="5"/>
        <v>Transportul și epurarea apelor uzate preluate din alte sisteme de operare</v>
      </c>
      <c r="D52" s="36" t="e">
        <f>'Amortizare si redeventa'!G213</f>
        <v>#DIV/0!</v>
      </c>
      <c r="E52" s="36">
        <f>'Amortizare si redeventa'!H213</f>
        <v>0</v>
      </c>
      <c r="F52" s="36">
        <f>'Amortizare si redeventa'!I213</f>
        <v>0</v>
      </c>
      <c r="G52" s="36">
        <f>'Amortizare si redeventa'!J213</f>
        <v>0</v>
      </c>
      <c r="H52" s="36">
        <f>'Amortizare si redeventa'!K213</f>
        <v>0</v>
      </c>
      <c r="I52" s="36">
        <f>'Amortizare si redeventa'!L213</f>
        <v>0</v>
      </c>
      <c r="J52" s="36">
        <f>'Amortizare si redeventa'!M213</f>
        <v>0</v>
      </c>
      <c r="K52" s="36">
        <f>'Amortizare si redeventa'!N213</f>
        <v>0</v>
      </c>
      <c r="L52" s="36">
        <f>'Amortizare si redeventa'!O213</f>
        <v>0</v>
      </c>
      <c r="N52" s="35"/>
    </row>
    <row r="53" spans="2:14" s="22" customFormat="1" x14ac:dyDescent="0.3">
      <c r="B53" s="35"/>
      <c r="C53" s="28" t="str">
        <f t="shared" si="5"/>
        <v>Canalizare ape uzate menajere</v>
      </c>
      <c r="D53" s="36" t="e">
        <f>'Amortizare si redeventa'!G248</f>
        <v>#DIV/0!</v>
      </c>
      <c r="E53" s="36">
        <f>'Amortizare si redeventa'!H248</f>
        <v>0</v>
      </c>
      <c r="F53" s="36">
        <f>'Amortizare si redeventa'!I248</f>
        <v>0</v>
      </c>
      <c r="G53" s="36">
        <f>'Amortizare si redeventa'!J248</f>
        <v>0</v>
      </c>
      <c r="H53" s="36">
        <f>'Amortizare si redeventa'!K248</f>
        <v>0</v>
      </c>
      <c r="I53" s="36">
        <f>'Amortizare si redeventa'!L248</f>
        <v>0</v>
      </c>
      <c r="J53" s="36">
        <f>'Amortizare si redeventa'!M248</f>
        <v>0</v>
      </c>
      <c r="K53" s="36">
        <f>'Amortizare si redeventa'!N248</f>
        <v>0</v>
      </c>
      <c r="L53" s="36">
        <f>'Amortizare si redeventa'!O248</f>
        <v>0</v>
      </c>
      <c r="N53" s="35"/>
    </row>
    <row r="54" spans="2:14" s="22" customFormat="1" ht="28.8" x14ac:dyDescent="0.3">
      <c r="B54" s="35"/>
      <c r="C54" s="28" t="str">
        <f t="shared" si="5"/>
        <v xml:space="preserve">Serviciul public inteligent alternativ pentru procesarea apelor uzate </v>
      </c>
      <c r="D54" s="36" t="e">
        <f>'Amortizare si redeventa'!G283</f>
        <v>#DIV/0!</v>
      </c>
      <c r="E54" s="36">
        <f>'Amortizare si redeventa'!H283</f>
        <v>0</v>
      </c>
      <c r="F54" s="36">
        <f>'Amortizare si redeventa'!I283</f>
        <v>0</v>
      </c>
      <c r="G54" s="36">
        <f>'Amortizare si redeventa'!J283</f>
        <v>0</v>
      </c>
      <c r="H54" s="36">
        <f>'Amortizare si redeventa'!K283</f>
        <v>0</v>
      </c>
      <c r="I54" s="36">
        <f>'Amortizare si redeventa'!L283</f>
        <v>0</v>
      </c>
      <c r="J54" s="36">
        <f>'Amortizare si redeventa'!M283</f>
        <v>0</v>
      </c>
      <c r="K54" s="36">
        <f>'Amortizare si redeventa'!N283</f>
        <v>0</v>
      </c>
      <c r="L54" s="36">
        <f>'Amortizare si redeventa'!O283</f>
        <v>0</v>
      </c>
      <c r="N54" s="35"/>
    </row>
    <row r="55" spans="2:14" s="22" customFormat="1" x14ac:dyDescent="0.3">
      <c r="B55" s="35"/>
      <c r="C55" s="28" t="str">
        <f t="shared" si="5"/>
        <v>Canalizare ape pluviale</v>
      </c>
      <c r="D55" s="36" t="e">
        <f>'Amortizare si redeventa'!G318</f>
        <v>#DIV/0!</v>
      </c>
      <c r="E55" s="36">
        <f>'Amortizare si redeventa'!H318</f>
        <v>0</v>
      </c>
      <c r="F55" s="36">
        <f>'Amortizare si redeventa'!I318</f>
        <v>0</v>
      </c>
      <c r="G55" s="36">
        <f>'Amortizare si redeventa'!J318</f>
        <v>0</v>
      </c>
      <c r="H55" s="36">
        <f>'Amortizare si redeventa'!K318</f>
        <v>0</v>
      </c>
      <c r="I55" s="36">
        <f>'Amortizare si redeventa'!L318</f>
        <v>0</v>
      </c>
      <c r="J55" s="36">
        <f>'Amortizare si redeventa'!M318</f>
        <v>0</v>
      </c>
      <c r="K55" s="36">
        <f>'Amortizare si redeventa'!N318</f>
        <v>0</v>
      </c>
      <c r="L55" s="36">
        <f>'Amortizare si redeventa'!O318</f>
        <v>0</v>
      </c>
      <c r="N55" s="35"/>
    </row>
    <row r="56" spans="2:14" s="22" customFormat="1" x14ac:dyDescent="0.3">
      <c r="B56" s="35"/>
      <c r="N56" s="35"/>
    </row>
    <row r="57" spans="2:14" s="22" customFormat="1" ht="26.4" customHeight="1" x14ac:dyDescent="0.3">
      <c r="B57" s="35"/>
      <c r="C57" s="25" t="s">
        <v>373</v>
      </c>
      <c r="D57" s="37" t="s">
        <v>371</v>
      </c>
      <c r="E57" s="38">
        <f t="shared" ref="E57:L57" si="6">E45</f>
        <v>2025</v>
      </c>
      <c r="F57" s="38">
        <f t="shared" si="6"/>
        <v>2026</v>
      </c>
      <c r="G57" s="38">
        <f t="shared" si="6"/>
        <v>2027</v>
      </c>
      <c r="H57" s="38">
        <f t="shared" si="6"/>
        <v>2028</v>
      </c>
      <c r="I57" s="38">
        <f t="shared" si="6"/>
        <v>2029</v>
      </c>
      <c r="J57" s="38">
        <f t="shared" si="6"/>
        <v>2030</v>
      </c>
      <c r="K57" s="38">
        <f t="shared" si="6"/>
        <v>2031</v>
      </c>
      <c r="L57" s="38">
        <f t="shared" si="6"/>
        <v>2032</v>
      </c>
      <c r="N57" s="35"/>
    </row>
    <row r="58" spans="2:14" s="22" customFormat="1" x14ac:dyDescent="0.3">
      <c r="B58" s="35"/>
      <c r="C58" s="28"/>
      <c r="D58" s="36"/>
      <c r="E58" s="36"/>
      <c r="F58" s="36"/>
      <c r="G58" s="36"/>
      <c r="H58" s="36"/>
      <c r="I58" s="36"/>
      <c r="J58" s="36"/>
      <c r="K58" s="36"/>
      <c r="L58" s="36"/>
      <c r="N58" s="35"/>
    </row>
    <row r="59" spans="2:14" s="22" customFormat="1" ht="15.6" x14ac:dyDescent="0.3">
      <c r="B59" s="35"/>
      <c r="C59" s="39" t="s">
        <v>374</v>
      </c>
      <c r="D59" s="36"/>
      <c r="E59" s="36"/>
      <c r="F59" s="36"/>
      <c r="G59" s="36"/>
      <c r="H59" s="36"/>
      <c r="I59" s="36"/>
      <c r="J59" s="36"/>
      <c r="K59" s="36"/>
      <c r="L59" s="36"/>
      <c r="N59" s="35"/>
    </row>
    <row r="60" spans="2:14" s="22" customFormat="1" x14ac:dyDescent="0.3">
      <c r="B60" s="35"/>
      <c r="C60" s="40" t="s">
        <v>375</v>
      </c>
      <c r="D60" s="36">
        <f>'Masuri de crestere a eficientei'!G47</f>
        <v>0.28147951919963687</v>
      </c>
      <c r="E60" s="36">
        <f>'Masuri de crestere a eficientei'!H47</f>
        <v>0.26</v>
      </c>
      <c r="F60" s="36">
        <f>'Masuri de crestere a eficientei'!I47</f>
        <v>0.24</v>
      </c>
      <c r="G60" s="36">
        <f>'Masuri de crestere a eficientei'!J47</f>
        <v>0.21</v>
      </c>
      <c r="H60" s="36">
        <f>'Masuri de crestere a eficientei'!K47</f>
        <v>0.2</v>
      </c>
      <c r="I60" s="36">
        <f>'Masuri de crestere a eficientei'!L47</f>
        <v>0.19</v>
      </c>
      <c r="J60" s="36">
        <f>'Masuri de crestere a eficientei'!M47</f>
        <v>0.19</v>
      </c>
      <c r="K60" s="36">
        <f>'Masuri de crestere a eficientei'!N47</f>
        <v>0.19</v>
      </c>
      <c r="L60" s="36">
        <f>'Masuri de crestere a eficientei'!O47</f>
        <v>0.19</v>
      </c>
      <c r="N60" s="35"/>
    </row>
    <row r="61" spans="2:14" s="22" customFormat="1" x14ac:dyDescent="0.3">
      <c r="B61" s="35"/>
      <c r="C61" s="40" t="s">
        <v>376</v>
      </c>
      <c r="D61" s="36">
        <f>'Masuri de crestere a eficientei'!G48</f>
        <v>8.3480117179209515E-2</v>
      </c>
      <c r="E61" s="36">
        <f>'Masuri de crestere a eficientei'!H48</f>
        <v>7.0000000000000007E-2</v>
      </c>
      <c r="F61" s="36">
        <f>'Masuri de crestere a eficientei'!I48</f>
        <v>7.0000000000000007E-2</v>
      </c>
      <c r="G61" s="36">
        <f>'Masuri de crestere a eficientei'!J48</f>
        <v>7.0000000000000007E-2</v>
      </c>
      <c r="H61" s="36">
        <f>'Masuri de crestere a eficientei'!K48</f>
        <v>7.0000000000000007E-2</v>
      </c>
      <c r="I61" s="36">
        <f>'Masuri de crestere a eficientei'!L48</f>
        <v>7.0000000000000007E-2</v>
      </c>
      <c r="J61" s="36">
        <f>'Masuri de crestere a eficientei'!M48</f>
        <v>7.0000000000000007E-2</v>
      </c>
      <c r="K61" s="36">
        <f>'Masuri de crestere a eficientei'!N48</f>
        <v>7.0000000000000007E-2</v>
      </c>
      <c r="L61" s="36">
        <f>'Masuri de crestere a eficientei'!O48</f>
        <v>7.0000000000000007E-2</v>
      </c>
      <c r="N61" s="35"/>
    </row>
    <row r="62" spans="2:14" s="22" customFormat="1" ht="28.8" x14ac:dyDescent="0.3">
      <c r="B62" s="35"/>
      <c r="C62" s="40" t="s">
        <v>377</v>
      </c>
      <c r="D62" s="36">
        <f>'Masuri de crestere a eficientei'!G49</f>
        <v>0.19799940202042735</v>
      </c>
      <c r="E62" s="36">
        <f>'Masuri de crestere a eficientei'!H49</f>
        <v>0.19</v>
      </c>
      <c r="F62" s="36">
        <f>'Masuri de crestere a eficientei'!I49</f>
        <v>0.1699999999999999</v>
      </c>
      <c r="G62" s="36">
        <f>'Masuri de crestere a eficientei'!J49</f>
        <v>0.13999999999999999</v>
      </c>
      <c r="H62" s="36">
        <f>'Masuri de crestere a eficientei'!K49</f>
        <v>0.12999999999999989</v>
      </c>
      <c r="I62" s="36">
        <f>'Masuri de crestere a eficientei'!L49</f>
        <v>0.12</v>
      </c>
      <c r="J62" s="36">
        <f>'Masuri de crestere a eficientei'!M49</f>
        <v>0.12</v>
      </c>
      <c r="K62" s="36">
        <f>'Masuri de crestere a eficientei'!N49</f>
        <v>0.12</v>
      </c>
      <c r="L62" s="36">
        <f>'Masuri de crestere a eficientei'!O49</f>
        <v>0.12</v>
      </c>
      <c r="N62" s="35"/>
    </row>
    <row r="63" spans="2:14" s="22" customFormat="1" ht="28.8" x14ac:dyDescent="0.3">
      <c r="B63" s="35"/>
      <c r="C63" s="40" t="s">
        <v>378</v>
      </c>
      <c r="D63" s="41">
        <f>'Masuri de crestere a eficientei'!G50</f>
        <v>9.2148521989906271</v>
      </c>
      <c r="E63" s="41">
        <f>'Masuri de crestere a eficientei'!H50</f>
        <v>8.698596956685801</v>
      </c>
      <c r="F63" s="41">
        <f>'Masuri de crestere a eficientei'!I50</f>
        <v>6.9164733094053306</v>
      </c>
      <c r="G63" s="41">
        <f>'Masuri de crestere a eficientei'!J50</f>
        <v>5.5023944824234983</v>
      </c>
      <c r="H63" s="41">
        <f>'Masuri de crestere a eficientei'!K50</f>
        <v>5.0454992262936855</v>
      </c>
      <c r="I63" s="41">
        <f>'Masuri de crestere a eficientei'!L50</f>
        <v>4.5998853345127664</v>
      </c>
      <c r="J63" s="41">
        <f>'Masuri de crestere a eficientei'!M50</f>
        <v>4.5998853345127664</v>
      </c>
      <c r="K63" s="41">
        <f>'Masuri de crestere a eficientei'!N50</f>
        <v>4.5998853345127664</v>
      </c>
      <c r="L63" s="41">
        <f>'Masuri de crestere a eficientei'!O50</f>
        <v>4.5998853345127664</v>
      </c>
      <c r="N63" s="35"/>
    </row>
    <row r="64" spans="2:14" s="22" customFormat="1" x14ac:dyDescent="0.3">
      <c r="B64" s="35"/>
      <c r="N64" s="35"/>
    </row>
    <row r="65" spans="2:14" ht="15.6" x14ac:dyDescent="0.3">
      <c r="B65" s="23"/>
      <c r="C65" s="39" t="s">
        <v>237</v>
      </c>
      <c r="D65" s="36"/>
      <c r="E65" s="36"/>
      <c r="F65" s="36"/>
      <c r="G65" s="36"/>
      <c r="H65" s="36"/>
      <c r="I65" s="36"/>
      <c r="J65" s="36"/>
      <c r="K65" s="36"/>
      <c r="L65" s="36"/>
      <c r="N65" s="23"/>
    </row>
    <row r="66" spans="2:14" x14ac:dyDescent="0.3">
      <c r="B66" s="23"/>
      <c r="C66" s="42" t="s">
        <v>379</v>
      </c>
      <c r="D66" s="36"/>
      <c r="E66" s="36"/>
      <c r="F66" s="36"/>
      <c r="G66" s="36"/>
      <c r="H66" s="36"/>
      <c r="I66" s="36"/>
      <c r="J66" s="36"/>
      <c r="K66" s="36"/>
      <c r="L66" s="36"/>
      <c r="N66" s="23"/>
    </row>
    <row r="67" spans="2:14" ht="28.8" x14ac:dyDescent="0.3">
      <c r="B67" s="23"/>
      <c r="C67" s="40" t="s">
        <v>380</v>
      </c>
      <c r="D67" s="41">
        <f>'Masuri de crestere a eficientei'!G63</f>
        <v>0.89997843944718747</v>
      </c>
      <c r="E67" s="41">
        <f>'Masuri de crestere a eficientei'!H63</f>
        <v>0.87385590666521751</v>
      </c>
      <c r="F67" s="41">
        <f>'Masuri de crestere a eficientei'!I63</f>
        <v>0.85085889659294844</v>
      </c>
      <c r="G67" s="41">
        <f>'Masuri de crestere a eficientei'!J63</f>
        <v>0.81854822305732711</v>
      </c>
      <c r="H67" s="41">
        <f>'Masuri de crestere a eficientei'!K63</f>
        <v>0.80831664005376447</v>
      </c>
      <c r="I67" s="41">
        <f>'Masuri de crestere a eficientei'!L63</f>
        <v>0.79833730570170702</v>
      </c>
      <c r="J67" s="41">
        <f>'Masuri de crestere a eficientei'!M63</f>
        <v>0.79833730570170702</v>
      </c>
      <c r="K67" s="41">
        <f>'Masuri de crestere a eficientei'!N63</f>
        <v>0.79833730570170702</v>
      </c>
      <c r="L67" s="41">
        <f>'Masuri de crestere a eficientei'!O63</f>
        <v>0.79833730570170702</v>
      </c>
      <c r="N67" s="23"/>
    </row>
    <row r="68" spans="2:14" ht="43.2" x14ac:dyDescent="0.3">
      <c r="B68" s="23"/>
      <c r="C68" s="40" t="s">
        <v>381</v>
      </c>
      <c r="D68" s="41">
        <f>'Masuri de crestere a eficientei'!G64</f>
        <v>0.64665294102155357</v>
      </c>
      <c r="E68" s="41">
        <f>'Masuri de crestere a eficientei'!H64</f>
        <v>0.64665294102155357</v>
      </c>
      <c r="F68" s="41">
        <f>'Masuri de crestere a eficientei'!I64</f>
        <v>0.64665294102155357</v>
      </c>
      <c r="G68" s="41">
        <f>'Masuri de crestere a eficientei'!J64</f>
        <v>0.64665294102155357</v>
      </c>
      <c r="H68" s="41">
        <f>'Masuri de crestere a eficientei'!K64</f>
        <v>0.64665294102155357</v>
      </c>
      <c r="I68" s="41">
        <f>'Masuri de crestere a eficientei'!L64</f>
        <v>0.64665294102155357</v>
      </c>
      <c r="J68" s="41">
        <f>'Masuri de crestere a eficientei'!M64</f>
        <v>0.64665294102155357</v>
      </c>
      <c r="K68" s="41">
        <f>'Masuri de crestere a eficientei'!N64</f>
        <v>0.64665294102155357</v>
      </c>
      <c r="L68" s="41">
        <f>'Masuri de crestere a eficientei'!O64</f>
        <v>0.64665294102155357</v>
      </c>
      <c r="N68" s="23"/>
    </row>
    <row r="69" spans="2:14" x14ac:dyDescent="0.3">
      <c r="B69" s="23"/>
      <c r="C69" s="42" t="s">
        <v>382</v>
      </c>
      <c r="D69" s="43"/>
      <c r="E69" s="43"/>
      <c r="F69" s="43"/>
      <c r="G69" s="43"/>
      <c r="H69" s="43"/>
      <c r="I69" s="43"/>
      <c r="J69" s="43"/>
      <c r="K69" s="43"/>
      <c r="L69" s="43"/>
      <c r="N69" s="23"/>
    </row>
    <row r="70" spans="2:14" ht="28.8" x14ac:dyDescent="0.3">
      <c r="B70" s="23"/>
      <c r="C70" s="40" t="s">
        <v>383</v>
      </c>
      <c r="D70" s="41">
        <f>'Masuri de crestere a eficientei'!G68</f>
        <v>0.60517690466054175</v>
      </c>
      <c r="E70" s="41">
        <f>'Masuri de crestere a eficientei'!H68</f>
        <v>0.60272621096386203</v>
      </c>
      <c r="F70" s="41">
        <f>'Masuri de crestere a eficientei'!I68</f>
        <v>0.59955396774826275</v>
      </c>
      <c r="G70" s="41">
        <f>'Masuri de crestere a eficientei'!J68</f>
        <v>0.59330861391755163</v>
      </c>
      <c r="H70" s="41">
        <f>'Masuri de crestere a eficientei'!K68</f>
        <v>0.58719203026891709</v>
      </c>
      <c r="I70" s="41">
        <f>'Masuri de crestere a eficientei'!L68</f>
        <v>0.58120027485800974</v>
      </c>
      <c r="J70" s="41">
        <f>'Masuri de crestere a eficientei'!M68</f>
        <v>0.5782500196556849</v>
      </c>
      <c r="K70" s="41">
        <f>'Masuri de crestere a eficientei'!N68</f>
        <v>0.57532956501095922</v>
      </c>
      <c r="L70" s="41">
        <f>'Masuri de crestere a eficientei'!O68</f>
        <v>0.60593220144771243</v>
      </c>
      <c r="N70" s="23"/>
    </row>
    <row r="71" spans="2:14" ht="52.5" customHeight="1" x14ac:dyDescent="0.3">
      <c r="B71" s="23"/>
      <c r="C71" s="40" t="s">
        <v>384</v>
      </c>
      <c r="D71" s="41">
        <f>'Masuri de crestere a eficientei'!G69</f>
        <v>0.5695762693608496</v>
      </c>
      <c r="E71" s="41">
        <f>'Masuri de crestere a eficientei'!H69</f>
        <v>0.5695762693608496</v>
      </c>
      <c r="F71" s="41">
        <f>'Masuri de crestere a eficientei'!I69</f>
        <v>0.5695762693608496</v>
      </c>
      <c r="G71" s="41">
        <f>'Masuri de crestere a eficientei'!J69</f>
        <v>0.5695762693608496</v>
      </c>
      <c r="H71" s="41">
        <f>'Masuri de crestere a eficientei'!K69</f>
        <v>0.5695762693608496</v>
      </c>
      <c r="I71" s="41">
        <f>'Masuri de crestere a eficientei'!L69</f>
        <v>0.5695762693608496</v>
      </c>
      <c r="J71" s="41">
        <f>'Masuri de crestere a eficientei'!M69</f>
        <v>0.5695762693608496</v>
      </c>
      <c r="K71" s="41">
        <f>'Masuri de crestere a eficientei'!N69</f>
        <v>0.5695762693608496</v>
      </c>
      <c r="L71" s="41">
        <f>'Masuri de crestere a eficientei'!O69</f>
        <v>0.5695762693608496</v>
      </c>
      <c r="N71" s="23"/>
    </row>
    <row r="72" spans="2:14" x14ac:dyDescent="0.3">
      <c r="B72" s="23"/>
      <c r="C72" s="14"/>
      <c r="D72" s="14"/>
      <c r="E72" s="14"/>
      <c r="F72" s="14"/>
      <c r="G72" s="14"/>
      <c r="H72" s="14"/>
      <c r="I72" s="14"/>
      <c r="J72" s="14"/>
      <c r="K72" s="14"/>
      <c r="L72" s="14"/>
      <c r="N72" s="23"/>
    </row>
    <row r="73" spans="2:14" ht="15.6" x14ac:dyDescent="0.3">
      <c r="B73" s="23"/>
      <c r="C73" s="39" t="s">
        <v>385</v>
      </c>
      <c r="D73" s="14"/>
      <c r="E73" s="14"/>
      <c r="F73" s="14"/>
      <c r="G73" s="14"/>
      <c r="H73" s="14"/>
      <c r="I73" s="14"/>
      <c r="J73" s="14"/>
      <c r="K73" s="14"/>
      <c r="L73" s="14"/>
      <c r="N73" s="23"/>
    </row>
    <row r="74" spans="2:14" x14ac:dyDescent="0.3">
      <c r="B74" s="23"/>
      <c r="C74" s="14" t="s">
        <v>386</v>
      </c>
      <c r="D74" s="17">
        <f>'Masuri de crestere a eficientei'!G93</f>
        <v>34</v>
      </c>
      <c r="E74" s="17">
        <f>'Masuri de crestere a eficientei'!H93</f>
        <v>34</v>
      </c>
      <c r="F74" s="17">
        <f>'Masuri de crestere a eficientei'!I93</f>
        <v>34</v>
      </c>
      <c r="G74" s="17">
        <f>'Masuri de crestere a eficientei'!J93</f>
        <v>34</v>
      </c>
      <c r="H74" s="17">
        <f>'Masuri de crestere a eficientei'!K93</f>
        <v>34</v>
      </c>
      <c r="I74" s="17">
        <f>'Masuri de crestere a eficientei'!L93</f>
        <v>34</v>
      </c>
      <c r="J74" s="17">
        <f>'Masuri de crestere a eficientei'!M93</f>
        <v>34</v>
      </c>
      <c r="K74" s="17">
        <f>'Masuri de crestere a eficientei'!N93</f>
        <v>34</v>
      </c>
      <c r="L74" s="17">
        <f>'Masuri de crestere a eficientei'!O93</f>
        <v>34</v>
      </c>
      <c r="N74" s="23"/>
    </row>
    <row r="75" spans="2:14" ht="33" customHeight="1" x14ac:dyDescent="0.3">
      <c r="B75" s="23"/>
      <c r="C75" s="40" t="s">
        <v>387</v>
      </c>
      <c r="D75" s="44">
        <f>'Masuri de crestere a eficientei'!G105</f>
        <v>39.473684210526315</v>
      </c>
      <c r="E75" s="44">
        <f>'Masuri de crestere a eficientei'!H105</f>
        <v>39.473684210526315</v>
      </c>
      <c r="F75" s="44">
        <f>'Masuri de crestere a eficientei'!I105</f>
        <v>35.460992907801419</v>
      </c>
      <c r="G75" s="44">
        <f>'Masuri de crestere a eficientei'!J105</f>
        <v>35.460992907801419</v>
      </c>
      <c r="H75" s="44">
        <f>'Masuri de crestere a eficientei'!K105</f>
        <v>35.460992907801419</v>
      </c>
      <c r="I75" s="44">
        <f>'Masuri de crestere a eficientei'!L105</f>
        <v>35.460992907801419</v>
      </c>
      <c r="J75" s="44">
        <f>'Masuri de crestere a eficientei'!M105</f>
        <v>35.460992907801419</v>
      </c>
      <c r="K75" s="44">
        <f>'Masuri de crestere a eficientei'!N105</f>
        <v>35.460992907801419</v>
      </c>
      <c r="L75" s="44">
        <f>'Masuri de crestere a eficientei'!O105</f>
        <v>35.460992907801419</v>
      </c>
      <c r="N75" s="23"/>
    </row>
    <row r="76" spans="2:14" ht="28.8" x14ac:dyDescent="0.3">
      <c r="B76" s="23"/>
      <c r="C76" s="40" t="s">
        <v>388</v>
      </c>
      <c r="D76" s="44">
        <f>'Masuri de crestere a eficientei'!G106</f>
        <v>27.586206896551722</v>
      </c>
      <c r="E76" s="44">
        <f>'Masuri de crestere a eficientei'!H106</f>
        <v>27.586206896551722</v>
      </c>
      <c r="F76" s="44">
        <f>'Masuri de crestere a eficientei'!I106</f>
        <v>20.833333333333336</v>
      </c>
      <c r="G76" s="44">
        <f>'Masuri de crestere a eficientei'!J106</f>
        <v>20.833333333333336</v>
      </c>
      <c r="H76" s="44">
        <f>'Masuri de crestere a eficientei'!K106</f>
        <v>20.833333333333336</v>
      </c>
      <c r="I76" s="44">
        <f>'Masuri de crestere a eficientei'!L106</f>
        <v>20.833333333333336</v>
      </c>
      <c r="J76" s="44">
        <f>'Masuri de crestere a eficientei'!M106</f>
        <v>20.833333333333336</v>
      </c>
      <c r="K76" s="44">
        <f>'Masuri de crestere a eficientei'!N106</f>
        <v>20.833333333333336</v>
      </c>
      <c r="L76" s="44">
        <f>'Masuri de crestere a eficientei'!O106</f>
        <v>20.833333333333336</v>
      </c>
      <c r="N76" s="23"/>
    </row>
    <row r="77" spans="2:14" s="22" customFormat="1" ht="28.8" x14ac:dyDescent="0.3">
      <c r="B77" s="35"/>
      <c r="C77" s="40" t="s">
        <v>389</v>
      </c>
      <c r="D77" s="36">
        <f>'Masuri de crestere a eficientei'!G102</f>
        <v>5.8823529411764705E-2</v>
      </c>
      <c r="E77" s="36">
        <f>'Masuri de crestere a eficientei'!H102</f>
        <v>5.8823529411764705E-2</v>
      </c>
      <c r="F77" s="36">
        <f>'Masuri de crestere a eficientei'!I102</f>
        <v>5.8823529411764705E-2</v>
      </c>
      <c r="G77" s="36">
        <f>'Masuri de crestere a eficientei'!J102</f>
        <v>5.8823529411764705E-2</v>
      </c>
      <c r="H77" s="36">
        <f>'Masuri de crestere a eficientei'!K102</f>
        <v>5.8823529411764705E-2</v>
      </c>
      <c r="I77" s="36">
        <f>'Masuri de crestere a eficientei'!L102</f>
        <v>5.8823529411764705E-2</v>
      </c>
      <c r="J77" s="36">
        <f>'Masuri de crestere a eficientei'!M102</f>
        <v>5.8823529411764705E-2</v>
      </c>
      <c r="K77" s="36">
        <f>'Masuri de crestere a eficientei'!N102</f>
        <v>5.8823529411764705E-2</v>
      </c>
      <c r="L77" s="36">
        <f>'Masuri de crestere a eficientei'!O102</f>
        <v>5.8823529411764705E-2</v>
      </c>
      <c r="N77" s="35"/>
    </row>
    <row r="78" spans="2:14" s="22" customFormat="1" ht="28.8" x14ac:dyDescent="0.3">
      <c r="B78" s="35"/>
      <c r="C78" s="40" t="s">
        <v>390</v>
      </c>
      <c r="D78" s="36">
        <f>'Masuri de crestere a eficientei'!G103</f>
        <v>0.26470588235294118</v>
      </c>
      <c r="E78" s="36">
        <f>'Masuri de crestere a eficientei'!H103</f>
        <v>0.26470588235294118</v>
      </c>
      <c r="F78" s="36">
        <f>'Masuri de crestere a eficientei'!I103</f>
        <v>0.26470588235294118</v>
      </c>
      <c r="G78" s="36">
        <f>'Masuri de crestere a eficientei'!J103</f>
        <v>0.26470588235294118</v>
      </c>
      <c r="H78" s="36">
        <f>'Masuri de crestere a eficientei'!K103</f>
        <v>0.26470588235294118</v>
      </c>
      <c r="I78" s="36">
        <f>'Masuri de crestere a eficientei'!L103</f>
        <v>0.26470588235294118</v>
      </c>
      <c r="J78" s="36">
        <f>'Masuri de crestere a eficientei'!M103</f>
        <v>0.26470588235294118</v>
      </c>
      <c r="K78" s="36">
        <f>'Masuri de crestere a eficientei'!N103</f>
        <v>0.26470588235294118</v>
      </c>
      <c r="L78" s="36">
        <f>'Masuri de crestere a eficientei'!O103</f>
        <v>0.26470588235294118</v>
      </c>
      <c r="N78" s="35"/>
    </row>
    <row r="79" spans="2:14" x14ac:dyDescent="0.3">
      <c r="B79" s="23"/>
      <c r="N79" s="23"/>
    </row>
    <row r="80" spans="2:14" x14ac:dyDescent="0.3">
      <c r="B80" s="23"/>
      <c r="C80" s="252" t="s">
        <v>391</v>
      </c>
      <c r="D80" s="26"/>
      <c r="E80" s="27">
        <f t="shared" ref="E80:L80" si="7">E9</f>
        <v>2025</v>
      </c>
      <c r="F80" s="27">
        <f t="shared" si="7"/>
        <v>2026</v>
      </c>
      <c r="G80" s="27">
        <f t="shared" si="7"/>
        <v>2027</v>
      </c>
      <c r="H80" s="27">
        <f t="shared" si="7"/>
        <v>2028</v>
      </c>
      <c r="I80" s="27">
        <f t="shared" si="7"/>
        <v>2029</v>
      </c>
      <c r="J80" s="27">
        <f t="shared" si="7"/>
        <v>2030</v>
      </c>
      <c r="K80" s="27">
        <f t="shared" si="7"/>
        <v>2031</v>
      </c>
      <c r="L80" s="27">
        <f t="shared" si="7"/>
        <v>2032</v>
      </c>
      <c r="N80" s="23"/>
    </row>
    <row r="81" spans="2:14" x14ac:dyDescent="0.3">
      <c r="B81" s="23"/>
      <c r="C81" s="252"/>
      <c r="D81" s="27"/>
      <c r="E81" s="27" t="s">
        <v>47</v>
      </c>
      <c r="F81" s="27" t="s">
        <v>47</v>
      </c>
      <c r="G81" s="27" t="s">
        <v>47</v>
      </c>
      <c r="H81" s="27" t="s">
        <v>47</v>
      </c>
      <c r="I81" s="27" t="s">
        <v>47</v>
      </c>
      <c r="J81" s="27" t="s">
        <v>47</v>
      </c>
      <c r="K81" s="27" t="s">
        <v>47</v>
      </c>
      <c r="L81" s="27" t="s">
        <v>47</v>
      </c>
      <c r="N81" s="23"/>
    </row>
    <row r="82" spans="2:14" x14ac:dyDescent="0.3">
      <c r="B82" s="23"/>
      <c r="C82" s="14" t="s">
        <v>392</v>
      </c>
      <c r="D82" s="18" t="s">
        <v>47</v>
      </c>
      <c r="E82" s="45">
        <f>Suportabilitate!H44</f>
        <v>1.67689227467618E-2</v>
      </c>
      <c r="F82" s="45">
        <f>Suportabilitate!I44</f>
        <v>1.6643871820801449E-2</v>
      </c>
      <c r="G82" s="45">
        <f>Suportabilitate!J44</f>
        <v>1.6643748010414339E-2</v>
      </c>
      <c r="H82" s="45">
        <f>Suportabilitate!K44</f>
        <v>1.6671489304465624E-2</v>
      </c>
      <c r="I82" s="45">
        <f>Suportabilitate!L44</f>
        <v>1.6729287148441747E-2</v>
      </c>
      <c r="J82" s="45">
        <f>Suportabilitate!M44</f>
        <v>1.6806269094294331E-2</v>
      </c>
      <c r="K82" s="45">
        <f>Suportabilitate!N44</f>
        <v>1.7814747114920863E-2</v>
      </c>
      <c r="L82" s="45">
        <f>Suportabilitate!O44</f>
        <v>1.7552659434692874E-2</v>
      </c>
      <c r="N82" s="23"/>
    </row>
    <row r="83" spans="2:14" s="22" customFormat="1" ht="28.8" x14ac:dyDescent="0.3">
      <c r="B83" s="35"/>
      <c r="C83" s="40" t="s">
        <v>393</v>
      </c>
      <c r="D83" s="43" t="s">
        <v>394</v>
      </c>
      <c r="E83" s="46" t="str">
        <f t="shared" ref="E83:L83" si="8">IF(E82&gt;2.5%,"DA","NU")</f>
        <v>NU</v>
      </c>
      <c r="F83" s="46" t="str">
        <f t="shared" si="8"/>
        <v>NU</v>
      </c>
      <c r="G83" s="46" t="str">
        <f t="shared" si="8"/>
        <v>NU</v>
      </c>
      <c r="H83" s="46" t="str">
        <f t="shared" si="8"/>
        <v>NU</v>
      </c>
      <c r="I83" s="46" t="str">
        <f t="shared" si="8"/>
        <v>NU</v>
      </c>
      <c r="J83" s="46" t="str">
        <f t="shared" si="8"/>
        <v>NU</v>
      </c>
      <c r="K83" s="46" t="str">
        <f t="shared" si="8"/>
        <v>NU</v>
      </c>
      <c r="L83" s="46" t="str">
        <f t="shared" si="8"/>
        <v>NU</v>
      </c>
      <c r="N83" s="35"/>
    </row>
    <row r="84" spans="2:14" x14ac:dyDescent="0.3">
      <c r="B84" s="23"/>
      <c r="N84" s="23"/>
    </row>
    <row r="85" spans="2:14" s="22" customFormat="1" ht="21" customHeight="1" x14ac:dyDescent="0.3">
      <c r="B85" s="35"/>
      <c r="C85" s="25" t="s">
        <v>395</v>
      </c>
      <c r="D85" s="37"/>
      <c r="E85" s="38">
        <f t="shared" ref="E85:L85" si="9">E9</f>
        <v>2025</v>
      </c>
      <c r="F85" s="38">
        <f t="shared" si="9"/>
        <v>2026</v>
      </c>
      <c r="G85" s="38">
        <f t="shared" si="9"/>
        <v>2027</v>
      </c>
      <c r="H85" s="38">
        <f t="shared" si="9"/>
        <v>2028</v>
      </c>
      <c r="I85" s="38">
        <f t="shared" si="9"/>
        <v>2029</v>
      </c>
      <c r="J85" s="38">
        <f t="shared" si="9"/>
        <v>2030</v>
      </c>
      <c r="K85" s="38">
        <f t="shared" si="9"/>
        <v>2031</v>
      </c>
      <c r="L85" s="38">
        <f t="shared" si="9"/>
        <v>2032</v>
      </c>
      <c r="N85" s="35"/>
    </row>
    <row r="86" spans="2:14" x14ac:dyDescent="0.3">
      <c r="B86" s="23"/>
      <c r="C86" s="14" t="s">
        <v>396</v>
      </c>
      <c r="D86" s="18" t="s">
        <v>335</v>
      </c>
      <c r="E86" s="47">
        <f>'Investitii si finantare'!H18+'Investitii si finantare'!H36+'Investitii si finantare'!H56+'Investitii si finantare'!H74</f>
        <v>2482364.7999999998</v>
      </c>
      <c r="F86" s="47">
        <f>'Investitii si finantare'!I18+'Investitii si finantare'!I36+'Investitii si finantare'!I56+'Investitii si finantare'!I74</f>
        <v>630000</v>
      </c>
      <c r="G86" s="47">
        <f>'Investitii si finantare'!J18+'Investitii si finantare'!J36+'Investitii si finantare'!J56+'Investitii si finantare'!J74</f>
        <v>565000</v>
      </c>
      <c r="H86" s="47">
        <f>'Investitii si finantare'!K18+'Investitii si finantare'!K36+'Investitii si finantare'!K56+'Investitii si finantare'!K74</f>
        <v>1000000</v>
      </c>
      <c r="I86" s="47">
        <f>'Investitii si finantare'!L18+'Investitii si finantare'!L36+'Investitii si finantare'!L56+'Investitii si finantare'!L74</f>
        <v>1385000</v>
      </c>
      <c r="J86" s="47">
        <f>'Investitii si finantare'!M18+'Investitii si finantare'!M36+'Investitii si finantare'!M56+'Investitii si finantare'!M74</f>
        <v>0</v>
      </c>
      <c r="K86" s="47">
        <f>'Investitii si finantare'!N18+'Investitii si finantare'!N36+'Investitii si finantare'!N56+'Investitii si finantare'!N74</f>
        <v>0</v>
      </c>
      <c r="L86" s="47">
        <f>'Investitii si finantare'!O18+'Investitii si finantare'!O36+'Investitii si finantare'!O56+'Investitii si finantare'!O74</f>
        <v>0</v>
      </c>
      <c r="N86" s="23"/>
    </row>
    <row r="87" spans="2:14" x14ac:dyDescent="0.3">
      <c r="B87" s="23"/>
      <c r="C87" s="48" t="s">
        <v>397</v>
      </c>
      <c r="D87" s="18" t="s">
        <v>335</v>
      </c>
      <c r="E87" s="47">
        <f>'Investitii si finantare'!H18+'Investitii si finantare'!H36</f>
        <v>880190</v>
      </c>
      <c r="F87" s="47">
        <f>'Investitii si finantare'!I18+'Investitii si finantare'!I36</f>
        <v>300000</v>
      </c>
      <c r="G87" s="47">
        <f>'Investitii si finantare'!J18+'Investitii si finantare'!J36</f>
        <v>565000</v>
      </c>
      <c r="H87" s="47">
        <f>'Investitii si finantare'!K18+'Investitii si finantare'!K36</f>
        <v>1000000</v>
      </c>
      <c r="I87" s="47">
        <f>'Investitii si finantare'!L18+'Investitii si finantare'!L36</f>
        <v>385000</v>
      </c>
      <c r="J87" s="47">
        <f>'Investitii si finantare'!M18+'Investitii si finantare'!M36</f>
        <v>0</v>
      </c>
      <c r="K87" s="47">
        <f>'Investitii si finantare'!N18+'Investitii si finantare'!N36</f>
        <v>0</v>
      </c>
      <c r="L87" s="47">
        <f>'Investitii si finantare'!O18+'Investitii si finantare'!O36</f>
        <v>0</v>
      </c>
      <c r="N87" s="23"/>
    </row>
    <row r="88" spans="2:14" x14ac:dyDescent="0.3">
      <c r="B88" s="23"/>
      <c r="C88" s="48" t="s">
        <v>398</v>
      </c>
      <c r="D88" s="18" t="s">
        <v>335</v>
      </c>
      <c r="E88" s="47">
        <f>'Investitii si finantare'!H56+'Investitii si finantare'!H74</f>
        <v>1602174.8</v>
      </c>
      <c r="F88" s="47">
        <f>'Investitii si finantare'!I56+'Investitii si finantare'!I74</f>
        <v>330000</v>
      </c>
      <c r="G88" s="47">
        <f>'Investitii si finantare'!J56+'Investitii si finantare'!J74</f>
        <v>0</v>
      </c>
      <c r="H88" s="47">
        <f>'Investitii si finantare'!K56+'Investitii si finantare'!K74</f>
        <v>0</v>
      </c>
      <c r="I88" s="47">
        <f>'Investitii si finantare'!L56+'Investitii si finantare'!L74</f>
        <v>1000000</v>
      </c>
      <c r="J88" s="47">
        <f>'Investitii si finantare'!M56+'Investitii si finantare'!M74</f>
        <v>0</v>
      </c>
      <c r="K88" s="47">
        <f>'Investitii si finantare'!N56+'Investitii si finantare'!N74</f>
        <v>0</v>
      </c>
      <c r="L88" s="47">
        <f>'Investitii si finantare'!O56+'Investitii si finantare'!O74</f>
        <v>0</v>
      </c>
      <c r="N88" s="23"/>
    </row>
    <row r="89" spans="2:14" x14ac:dyDescent="0.3">
      <c r="B89" s="23"/>
      <c r="N89" s="23"/>
    </row>
    <row r="90" spans="2:14" ht="28.8" x14ac:dyDescent="0.3">
      <c r="B90" s="23"/>
      <c r="C90" s="25" t="s">
        <v>399</v>
      </c>
      <c r="D90" s="37"/>
      <c r="E90" s="38">
        <f t="shared" ref="E90:L90" si="10">E85</f>
        <v>2025</v>
      </c>
      <c r="F90" s="38">
        <f t="shared" si="10"/>
        <v>2026</v>
      </c>
      <c r="G90" s="38">
        <f t="shared" si="10"/>
        <v>2027</v>
      </c>
      <c r="H90" s="38">
        <f t="shared" si="10"/>
        <v>2028</v>
      </c>
      <c r="I90" s="38">
        <f t="shared" si="10"/>
        <v>2029</v>
      </c>
      <c r="J90" s="38">
        <f t="shared" si="10"/>
        <v>2030</v>
      </c>
      <c r="K90" s="38">
        <f t="shared" si="10"/>
        <v>2031</v>
      </c>
      <c r="L90" s="38">
        <f t="shared" si="10"/>
        <v>2032</v>
      </c>
      <c r="N90" s="23"/>
    </row>
    <row r="91" spans="2:14" s="22" customFormat="1" x14ac:dyDescent="0.3">
      <c r="B91" s="35"/>
      <c r="C91" s="40" t="s">
        <v>400</v>
      </c>
      <c r="D91" s="43" t="s">
        <v>335</v>
      </c>
      <c r="E91" s="49">
        <f>'Costuri operare'!H20+'Costuri operare'!H80+'Costuri operare'!H136+'Costuri operare'!H198+'Costuri operare'!H260+'Costuri operare'!H320+'Costuri operare'!H374+'Costuri operare'!H428+'Costuri operare'!H482</f>
        <v>600017.79639999999</v>
      </c>
      <c r="F91" s="49">
        <f>'Costuri operare'!I20+'Costuri operare'!I80+'Costuri operare'!I136+'Costuri operare'!I198+'Costuri operare'!I260+'Costuri operare'!I320+'Costuri operare'!I374+'Costuri operare'!I428+'Costuri operare'!I482</f>
        <v>680322.28176533338</v>
      </c>
      <c r="G91" s="49">
        <f>'Costuri operare'!J20+'Costuri operare'!J80+'Costuri operare'!J136+'Costuri operare'!J198+'Costuri operare'!J260+'Costuri operare'!J320+'Costuri operare'!J374+'Costuri operare'!J428+'Costuri operare'!J482</f>
        <v>776050.312437393</v>
      </c>
      <c r="H91" s="49">
        <f>'Costuri operare'!K20+'Costuri operare'!K80+'Costuri operare'!K136+'Costuri operare'!K198+'Costuri operare'!K260+'Costuri operare'!K320+'Costuri operare'!K374+'Costuri operare'!K428+'Costuri operare'!K482</f>
        <v>811468.51640000008</v>
      </c>
      <c r="I91" s="49">
        <f>'Costuri operare'!L20+'Costuri operare'!L80+'Costuri operare'!L136+'Costuri operare'!L198+'Costuri operare'!L260+'Costuri operare'!L320+'Costuri operare'!L374+'Costuri operare'!L428+'Costuri operare'!L482</f>
        <v>858743.9038666666</v>
      </c>
      <c r="J91" s="49">
        <f>'Costuri operare'!M20+'Costuri operare'!M80+'Costuri operare'!M136+'Costuri operare'!M198+'Costuri operare'!M260+'Costuri operare'!M320+'Costuri operare'!M374+'Costuri operare'!M428+'Costuri operare'!M482</f>
        <v>907224.11429866683</v>
      </c>
      <c r="K91" s="49">
        <f>'Costuri operare'!N20+'Costuri operare'!N80+'Costuri operare'!N136+'Costuri operare'!N198+'Costuri operare'!N260+'Costuri operare'!N320+'Costuri operare'!N374+'Costuri operare'!N428+'Costuri operare'!N482</f>
        <v>1347098.4349333332</v>
      </c>
      <c r="L91" s="49">
        <f>'Costuri operare'!O20+'Costuri operare'!O80+'Costuri operare'!O136+'Costuri operare'!O198+'Costuri operare'!O260+'Costuri operare'!O320+'Costuri operare'!O374+'Costuri operare'!O428+'Costuri operare'!O482</f>
        <v>1260742.0999999999</v>
      </c>
      <c r="N91" s="35"/>
    </row>
    <row r="92" spans="2:14" s="22" customFormat="1" ht="28.8" x14ac:dyDescent="0.3">
      <c r="B92" s="35"/>
      <c r="C92" s="40" t="s">
        <v>401</v>
      </c>
      <c r="D92" s="43" t="s">
        <v>335</v>
      </c>
      <c r="E92" s="49">
        <f>'Investitii si finantare'!H145</f>
        <v>0</v>
      </c>
      <c r="F92" s="49">
        <f>'Investitii si finantare'!I145</f>
        <v>0</v>
      </c>
      <c r="G92" s="49">
        <f>'Investitii si finantare'!J145</f>
        <v>0</v>
      </c>
      <c r="H92" s="49">
        <f>'Investitii si finantare'!K145</f>
        <v>0</v>
      </c>
      <c r="I92" s="49">
        <f>'Investitii si finantare'!L145</f>
        <v>0</v>
      </c>
      <c r="J92" s="49">
        <f>'Investitii si finantare'!M145</f>
        <v>0</v>
      </c>
      <c r="K92" s="49">
        <f>'Investitii si finantare'!N145</f>
        <v>0</v>
      </c>
      <c r="L92" s="49">
        <f>'Investitii si finantare'!O145</f>
        <v>0</v>
      </c>
      <c r="N92" s="35"/>
    </row>
    <row r="93" spans="2:14" s="22" customFormat="1" x14ac:dyDescent="0.3">
      <c r="B93" s="35"/>
      <c r="C93" s="50" t="s">
        <v>402</v>
      </c>
      <c r="D93" s="43" t="s">
        <v>335</v>
      </c>
      <c r="E93" s="49">
        <f>'Investitii si finantare'!H25+'Investitii si finantare'!H40+'Investitii si finantare'!H63+'Investitii si finantare'!H78</f>
        <v>0</v>
      </c>
      <c r="F93" s="49">
        <f>'Investitii si finantare'!I25+'Investitii si finantare'!I40+'Investitii si finantare'!I63+'Investitii si finantare'!I78</f>
        <v>630000</v>
      </c>
      <c r="G93" s="49">
        <f>'Investitii si finantare'!J25+'Investitii si finantare'!J40+'Investitii si finantare'!J63+'Investitii si finantare'!J78</f>
        <v>565000</v>
      </c>
      <c r="H93" s="49">
        <f>'Investitii si finantare'!K25+'Investitii si finantare'!K40+'Investitii si finantare'!K63+'Investitii si finantare'!K78</f>
        <v>1000000</v>
      </c>
      <c r="I93" s="49">
        <f>'Investitii si finantare'!L25+'Investitii si finantare'!L40+'Investitii si finantare'!L63+'Investitii si finantare'!L78</f>
        <v>1385000</v>
      </c>
      <c r="J93" s="49">
        <f>'Investitii si finantare'!M25+'Investitii si finantare'!M40+'Investitii si finantare'!M63+'Investitii si finantare'!M78</f>
        <v>0</v>
      </c>
      <c r="K93" s="49">
        <f>'Investitii si finantare'!N25+'Investitii si finantare'!N40+'Investitii si finantare'!N63+'Investitii si finantare'!N78</f>
        <v>0</v>
      </c>
      <c r="L93" s="49">
        <f>'Investitii si finantare'!O25+'Investitii si finantare'!O40+'Investitii si finantare'!O63+'Investitii si finantare'!O78</f>
        <v>0</v>
      </c>
      <c r="N93" s="35"/>
    </row>
    <row r="94" spans="2:14" s="22" customFormat="1" ht="28.8" x14ac:dyDescent="0.3">
      <c r="B94" s="35"/>
      <c r="C94" s="42" t="s">
        <v>399</v>
      </c>
      <c r="D94" s="51" t="s">
        <v>47</v>
      </c>
      <c r="E94" s="52">
        <f t="shared" ref="E94:L94" si="11">(E92+E93)/E91</f>
        <v>0</v>
      </c>
      <c r="F94" s="52">
        <f t="shared" si="11"/>
        <v>0.92603170127729073</v>
      </c>
      <c r="G94" s="52">
        <f t="shared" si="11"/>
        <v>0.72804558022206933</v>
      </c>
      <c r="H94" s="52">
        <f t="shared" si="11"/>
        <v>1.2323337009258242</v>
      </c>
      <c r="I94" s="52">
        <f t="shared" si="11"/>
        <v>1.6128207650310644</v>
      </c>
      <c r="J94" s="52">
        <f t="shared" si="11"/>
        <v>0</v>
      </c>
      <c r="K94" s="52">
        <f t="shared" si="11"/>
        <v>0</v>
      </c>
      <c r="L94" s="52">
        <f t="shared" si="11"/>
        <v>0</v>
      </c>
      <c r="N94" s="35"/>
    </row>
    <row r="95" spans="2:14" s="22" customFormat="1" x14ac:dyDescent="0.3">
      <c r="B95" s="35"/>
      <c r="N95" s="35"/>
    </row>
    <row r="96" spans="2:14" ht="8.1" customHeight="1" x14ac:dyDescent="0.3">
      <c r="B96" s="23"/>
      <c r="C96" s="23"/>
      <c r="D96" s="23"/>
      <c r="E96" s="23"/>
      <c r="F96" s="23"/>
      <c r="G96" s="23"/>
      <c r="H96" s="23"/>
      <c r="I96" s="23"/>
      <c r="J96" s="23"/>
      <c r="K96" s="23"/>
      <c r="L96" s="23"/>
      <c r="M96" s="23"/>
      <c r="N96" s="23"/>
    </row>
  </sheetData>
  <mergeCells count="6">
    <mergeCell ref="C9:C10"/>
    <mergeCell ref="C21:C22"/>
    <mergeCell ref="C33:C34"/>
    <mergeCell ref="C45:C46"/>
    <mergeCell ref="C80:C81"/>
    <mergeCell ref="C3:L4"/>
  </mergeCells>
  <pageMargins left="0.19" right="0.17" top="0.36" bottom="0.38" header="0.3" footer="0.3"/>
  <pageSetup paperSize="9" scale="55" fitToHeight="2" orientation="portrait"/>
  <headerFooter>
    <oddFooter>&amp;L&amp;F
Sheet: &amp;A&amp;R&amp;P din &amp;N</oddFooter>
  </headerFooter>
  <rowBreaks count="1" manualBreakCount="1">
    <brk id="64" min="1" max="1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K32"/>
  <sheetViews>
    <sheetView topLeftCell="A21" workbookViewId="0">
      <selection activeCell="E25" sqref="E25"/>
    </sheetView>
  </sheetViews>
  <sheetFormatPr defaultColWidth="9.109375" defaultRowHeight="14.4" x14ac:dyDescent="0.3"/>
  <cols>
    <col min="3" max="3" width="22.5546875" customWidth="1"/>
    <col min="5" max="5" width="13" customWidth="1"/>
    <col min="6" max="7" width="13.5546875" customWidth="1"/>
    <col min="8" max="9" width="14.5546875" customWidth="1"/>
    <col min="10" max="10" width="12.109375" customWidth="1"/>
    <col min="11" max="11" width="12.44140625" customWidth="1"/>
  </cols>
  <sheetData>
    <row r="4" spans="2:10" ht="31.2" x14ac:dyDescent="0.3">
      <c r="B4" s="259" t="s">
        <v>403</v>
      </c>
      <c r="C4" s="259" t="s">
        <v>404</v>
      </c>
      <c r="D4" s="263" t="s">
        <v>405</v>
      </c>
      <c r="E4" s="1" t="s">
        <v>406</v>
      </c>
      <c r="F4" s="1" t="s">
        <v>407</v>
      </c>
      <c r="G4" s="1" t="s">
        <v>407</v>
      </c>
      <c r="H4" s="1" t="s">
        <v>407</v>
      </c>
      <c r="I4" s="1" t="s">
        <v>407</v>
      </c>
      <c r="J4" s="1" t="s">
        <v>407</v>
      </c>
    </row>
    <row r="5" spans="2:10" ht="15.6" x14ac:dyDescent="0.3">
      <c r="B5" s="260"/>
      <c r="C5" s="260"/>
      <c r="D5" s="264"/>
      <c r="E5" s="3">
        <f>'Date generale'!D8</f>
        <v>2024</v>
      </c>
      <c r="F5" s="3">
        <f>E5+1</f>
        <v>2025</v>
      </c>
      <c r="G5" s="3">
        <f>F5+1</f>
        <v>2026</v>
      </c>
      <c r="H5" s="3">
        <f>G5+1</f>
        <v>2027</v>
      </c>
      <c r="I5" s="3">
        <f>H5+1</f>
        <v>2028</v>
      </c>
      <c r="J5" s="3">
        <f>I5+1</f>
        <v>2029</v>
      </c>
    </row>
    <row r="6" spans="2:10" ht="46.8" x14ac:dyDescent="0.3">
      <c r="B6" s="2">
        <v>1</v>
      </c>
      <c r="C6" s="4" t="s">
        <v>408</v>
      </c>
      <c r="D6" s="3" t="s">
        <v>335</v>
      </c>
      <c r="E6" s="5">
        <f>'Amortizare si redeventa'!G27+'Amortizare si redeventa'!G62+'Amortizare si redeventa'!G97+'Amortizare si redeventa'!G132</f>
        <v>1.1000000000000001</v>
      </c>
      <c r="F6" s="5">
        <f>'Amortizare si redeventa'!H27+'Amortizare si redeventa'!H62+'Amortizare si redeventa'!H97+'Amortizare si redeventa'!H132</f>
        <v>600017.79639999999</v>
      </c>
      <c r="G6" s="5">
        <f>'Amortizare si redeventa'!I27+'Amortizare si redeventa'!I62+'Amortizare si redeventa'!I97+'Amortizare si redeventa'!I132</f>
        <v>680322.28176533338</v>
      </c>
      <c r="H6" s="5">
        <f>'Amortizare si redeventa'!J27+'Amortizare si redeventa'!J62+'Amortizare si redeventa'!J97+'Amortizare si redeventa'!J132</f>
        <v>776050.312437393</v>
      </c>
      <c r="I6" s="5">
        <f>'Amortizare si redeventa'!K27+'Amortizare si redeventa'!K62+'Amortizare si redeventa'!K97+'Amortizare si redeventa'!K132</f>
        <v>811468.51640000008</v>
      </c>
      <c r="J6" s="5">
        <f>'Amortizare si redeventa'!L27+'Amortizare si redeventa'!L62+'Amortizare si redeventa'!L97+'Amortizare si redeventa'!L132</f>
        <v>858743.90386666672</v>
      </c>
    </row>
    <row r="7" spans="2:10" ht="46.8" x14ac:dyDescent="0.3">
      <c r="B7" s="2">
        <f>B6+1</f>
        <v>2</v>
      </c>
      <c r="C7" s="4" t="s">
        <v>409</v>
      </c>
      <c r="D7" s="3" t="s">
        <v>141</v>
      </c>
      <c r="E7" s="5">
        <f>'Investitii si finantare'!G25+'Investitii si finantare'!G40+'Investitii si finantare'!G63+'Investitii si finantare'!G78</f>
        <v>0</v>
      </c>
      <c r="F7" s="5">
        <f>'Investitii si finantare'!H25+'Investitii si finantare'!H40+'Investitii si finantare'!H63+'Investitii si finantare'!H78</f>
        <v>0</v>
      </c>
      <c r="G7" s="5">
        <f>'Investitii si finantare'!I25+'Investitii si finantare'!I40+'Investitii si finantare'!I63+'Investitii si finantare'!I78</f>
        <v>630000</v>
      </c>
      <c r="H7" s="5">
        <f>'Investitii si finantare'!J25+'Investitii si finantare'!J40+'Investitii si finantare'!J63+'Investitii si finantare'!J78</f>
        <v>565000</v>
      </c>
      <c r="I7" s="5">
        <f>'Investitii si finantare'!K25+'Investitii si finantare'!K40+'Investitii si finantare'!K63+'Investitii si finantare'!K78</f>
        <v>1000000</v>
      </c>
      <c r="J7" s="5">
        <f>'Investitii si finantare'!L25+'Investitii si finantare'!L40+'Investitii si finantare'!L63+'Investitii si finantare'!L78</f>
        <v>1385000</v>
      </c>
    </row>
    <row r="8" spans="2:10" ht="46.8" x14ac:dyDescent="0.3">
      <c r="B8" s="2">
        <f t="shared" ref="B8:B21" si="0">B7+1</f>
        <v>3</v>
      </c>
      <c r="C8" s="4" t="s">
        <v>410</v>
      </c>
      <c r="D8" s="3" t="s">
        <v>411</v>
      </c>
      <c r="E8" s="6">
        <f>Centralizare!D75</f>
        <v>39.473684210526315</v>
      </c>
      <c r="F8" s="6">
        <f>Centralizare!E75</f>
        <v>39.473684210526315</v>
      </c>
      <c r="G8" s="6">
        <f>Centralizare!F75</f>
        <v>35.460992907801419</v>
      </c>
      <c r="H8" s="6">
        <f>Centralizare!G75</f>
        <v>35.460992907801419</v>
      </c>
      <c r="I8" s="6">
        <f>Centralizare!H75</f>
        <v>35.460992907801419</v>
      </c>
      <c r="J8" s="6">
        <f>Centralizare!I75</f>
        <v>35.460992907801419</v>
      </c>
    </row>
    <row r="9" spans="2:10" ht="62.4" x14ac:dyDescent="0.3">
      <c r="B9" s="2">
        <f t="shared" si="0"/>
        <v>4</v>
      </c>
      <c r="C9" s="4" t="s">
        <v>412</v>
      </c>
      <c r="D9" s="3" t="s">
        <v>411</v>
      </c>
      <c r="E9" s="6">
        <f>Centralizare!D76</f>
        <v>27.586206896551722</v>
      </c>
      <c r="F9" s="6">
        <f>Centralizare!E76</f>
        <v>27.586206896551722</v>
      </c>
      <c r="G9" s="6">
        <f>Centralizare!F76</f>
        <v>20.833333333333336</v>
      </c>
      <c r="H9" s="6">
        <f>Centralizare!G76</f>
        <v>20.833333333333336</v>
      </c>
      <c r="I9" s="6">
        <f>Centralizare!H76</f>
        <v>20.833333333333336</v>
      </c>
      <c r="J9" s="6">
        <f>Centralizare!I76</f>
        <v>20.833333333333336</v>
      </c>
    </row>
    <row r="10" spans="2:10" ht="109.2" x14ac:dyDescent="0.3">
      <c r="B10" s="2">
        <f t="shared" si="0"/>
        <v>5</v>
      </c>
      <c r="C10" s="4" t="s">
        <v>413</v>
      </c>
      <c r="D10" s="3"/>
      <c r="E10" s="7">
        <f>Venituri!G24/('Costuri operare'!G16+'Costuri operare'!G76)</f>
        <v>1.9804365237894452</v>
      </c>
      <c r="F10" s="7">
        <f>Venituri!H24/('Costuri operare'!H16+'Costuri operare'!H76)</f>
        <v>2.4789990542237081</v>
      </c>
      <c r="G10" s="7">
        <f>Venituri!I24/('Costuri operare'!I16+'Costuri operare'!I76)</f>
        <v>2.4393220860905589</v>
      </c>
      <c r="H10" s="7">
        <f>Venituri!J24/('Costuri operare'!J16+'Costuri operare'!J76)</f>
        <v>2.4036967763942934</v>
      </c>
      <c r="I10" s="7">
        <f>Venituri!K24/('Costuri operare'!K16+'Costuri operare'!K76)</f>
        <v>2.3551870749710657</v>
      </c>
      <c r="J10" s="7">
        <f>Venituri!L24/('Costuri operare'!L16+'Costuri operare'!L76)</f>
        <v>2.3115673941694048</v>
      </c>
    </row>
    <row r="11" spans="2:10" ht="31.2" x14ac:dyDescent="0.3">
      <c r="B11" s="2">
        <f t="shared" si="0"/>
        <v>6</v>
      </c>
      <c r="C11" s="4" t="s">
        <v>414</v>
      </c>
      <c r="D11" s="3" t="s">
        <v>411</v>
      </c>
      <c r="E11" s="3">
        <f>'Date de context'!M8/'Date de context'!G11*100</f>
        <v>75.757575757575751</v>
      </c>
      <c r="F11" s="8"/>
      <c r="G11" s="8"/>
      <c r="H11" s="8"/>
      <c r="I11" s="8"/>
      <c r="J11" s="8"/>
    </row>
    <row r="12" spans="2:10" ht="31.2" x14ac:dyDescent="0.3">
      <c r="B12" s="2">
        <f t="shared" si="0"/>
        <v>7</v>
      </c>
      <c r="C12" s="4" t="s">
        <v>415</v>
      </c>
      <c r="D12" s="3" t="s">
        <v>411</v>
      </c>
      <c r="E12" s="9">
        <f>'Date de context'!M17/'Date de context'!G20*100</f>
        <v>227.58620689655174</v>
      </c>
      <c r="F12" s="8"/>
      <c r="G12" s="8"/>
      <c r="H12" s="8"/>
      <c r="I12" s="8"/>
      <c r="J12" s="8"/>
    </row>
    <row r="13" spans="2:10" ht="18.600000000000001" x14ac:dyDescent="0.3">
      <c r="B13" s="261">
        <f t="shared" si="0"/>
        <v>8</v>
      </c>
      <c r="C13" s="261" t="s">
        <v>416</v>
      </c>
      <c r="D13" s="3" t="s">
        <v>417</v>
      </c>
      <c r="E13" s="9">
        <f>'Masuri de crestere a eficientei'!G43</f>
        <v>181697</v>
      </c>
      <c r="F13" s="9">
        <f>'Masuri de crestere a eficientei'!H43</f>
        <v>165099.37023789651</v>
      </c>
      <c r="G13" s="9">
        <f>'Masuri de crestere a eficientei'!I43</f>
        <v>150757.96187373687</v>
      </c>
      <c r="H13" s="9">
        <f>'Masuri de crestere a eficientei'!J43</f>
        <v>127431.32941706642</v>
      </c>
      <c r="I13" s="9">
        <f>'Masuri de crestere a eficientei'!K43</f>
        <v>119846.13123747904</v>
      </c>
      <c r="J13" s="9">
        <f>'Masuri de crestere a eficientei'!L43</f>
        <v>112448.22190183226</v>
      </c>
    </row>
    <row r="14" spans="2:10" ht="15.6" x14ac:dyDescent="0.3">
      <c r="B14" s="262"/>
      <c r="C14" s="262"/>
      <c r="D14" s="3" t="s">
        <v>47</v>
      </c>
      <c r="E14" s="10">
        <f>'Masuri de crestere a eficientei'!G47</f>
        <v>0.28147951919963687</v>
      </c>
      <c r="F14" s="10">
        <f>'Masuri de crestere a eficientei'!H47</f>
        <v>0.26</v>
      </c>
      <c r="G14" s="10">
        <f>'Masuri de crestere a eficientei'!I47</f>
        <v>0.24</v>
      </c>
      <c r="H14" s="10">
        <f>'Masuri de crestere a eficientei'!J47</f>
        <v>0.21</v>
      </c>
      <c r="I14" s="10">
        <f>'Masuri de crestere a eficientei'!K47</f>
        <v>0.2</v>
      </c>
      <c r="J14" s="10">
        <f>'Masuri de crestere a eficientei'!L47</f>
        <v>0.19</v>
      </c>
    </row>
    <row r="15" spans="2:10" ht="46.8" x14ac:dyDescent="0.3">
      <c r="B15" s="2">
        <f>B13+1</f>
        <v>9</v>
      </c>
      <c r="C15" s="4" t="s">
        <v>418</v>
      </c>
      <c r="D15" s="3" t="s">
        <v>419</v>
      </c>
      <c r="E15" s="7">
        <f>Centralizare!G50</f>
        <v>0</v>
      </c>
      <c r="F15" s="7">
        <f>Centralizare!H50</f>
        <v>0</v>
      </c>
      <c r="G15" s="7">
        <f>Centralizare!I50</f>
        <v>0</v>
      </c>
      <c r="H15" s="7">
        <f>Centralizare!J50</f>
        <v>0</v>
      </c>
      <c r="I15" s="7">
        <f>Centralizare!K50</f>
        <v>0</v>
      </c>
      <c r="J15" s="7">
        <f>Centralizare!L50</f>
        <v>0</v>
      </c>
    </row>
    <row r="16" spans="2:10" ht="96.6" x14ac:dyDescent="0.3">
      <c r="B16" s="2">
        <f t="shared" si="0"/>
        <v>10</v>
      </c>
      <c r="C16" s="4" t="s">
        <v>420</v>
      </c>
      <c r="D16" s="3" t="s">
        <v>421</v>
      </c>
      <c r="E16" s="7">
        <f>Centralizare!D68</f>
        <v>0.64665294102155357</v>
      </c>
      <c r="F16" s="7">
        <f>Centralizare!E68</f>
        <v>0.64665294102155357</v>
      </c>
      <c r="G16" s="7">
        <f>Centralizare!F68</f>
        <v>0.64665294102155357</v>
      </c>
      <c r="H16" s="7">
        <f>Centralizare!G68</f>
        <v>0.64665294102155357</v>
      </c>
      <c r="I16" s="7">
        <f>Centralizare!H68</f>
        <v>0.64665294102155357</v>
      </c>
      <c r="J16" s="7">
        <f>Centralizare!I68</f>
        <v>0.64665294102155357</v>
      </c>
    </row>
    <row r="17" spans="2:11" ht="49.8" x14ac:dyDescent="0.3">
      <c r="B17" s="2">
        <f t="shared" si="0"/>
        <v>11</v>
      </c>
      <c r="C17" s="4" t="s">
        <v>422</v>
      </c>
      <c r="D17" s="3" t="s">
        <v>421</v>
      </c>
      <c r="E17" s="7">
        <f>Centralizare!D67</f>
        <v>0.89997843944718747</v>
      </c>
      <c r="F17" s="7">
        <f>Centralizare!E67</f>
        <v>0.87385590666521751</v>
      </c>
      <c r="G17" s="7">
        <f>Centralizare!F67</f>
        <v>0.85085889659294844</v>
      </c>
      <c r="H17" s="7">
        <f>Centralizare!G67</f>
        <v>0.81854822305732711</v>
      </c>
      <c r="I17" s="7">
        <f>Centralizare!H67</f>
        <v>0.80831664005376447</v>
      </c>
      <c r="J17" s="7">
        <f>Centralizare!I67</f>
        <v>0.79833730570170702</v>
      </c>
    </row>
    <row r="18" spans="2:11" ht="65.400000000000006" x14ac:dyDescent="0.3">
      <c r="B18" s="2">
        <f t="shared" si="0"/>
        <v>12</v>
      </c>
      <c r="C18" s="4" t="s">
        <v>423</v>
      </c>
      <c r="D18" s="3" t="s">
        <v>421</v>
      </c>
      <c r="E18" s="7">
        <f>Centralizare!D71</f>
        <v>0.5695762693608496</v>
      </c>
      <c r="F18" s="7">
        <f>Centralizare!E71</f>
        <v>0.5695762693608496</v>
      </c>
      <c r="G18" s="7">
        <f>Centralizare!F71</f>
        <v>0.5695762693608496</v>
      </c>
      <c r="H18" s="7">
        <f>Centralizare!G71</f>
        <v>0.5695762693608496</v>
      </c>
      <c r="I18" s="7">
        <f>Centralizare!H71</f>
        <v>0.5695762693608496</v>
      </c>
      <c r="J18" s="7">
        <f>Centralizare!I71</f>
        <v>0.5695762693608496</v>
      </c>
    </row>
    <row r="19" spans="2:11" ht="49.8" x14ac:dyDescent="0.3">
      <c r="B19" s="2">
        <f t="shared" si="0"/>
        <v>13</v>
      </c>
      <c r="C19" s="4" t="s">
        <v>424</v>
      </c>
      <c r="D19" s="3" t="s">
        <v>421</v>
      </c>
      <c r="E19" s="7">
        <f>Centralizare!D70</f>
        <v>0.60517690466054175</v>
      </c>
      <c r="F19" s="7">
        <f>Centralizare!E70</f>
        <v>0.60272621096386203</v>
      </c>
      <c r="G19" s="7">
        <f>Centralizare!F70</f>
        <v>0.59955396774826275</v>
      </c>
      <c r="H19" s="7">
        <f>Centralizare!G70</f>
        <v>0.59330861391755163</v>
      </c>
      <c r="I19" s="7">
        <f>Centralizare!H70</f>
        <v>0.58719203026891709</v>
      </c>
      <c r="J19" s="7">
        <f>Centralizare!I70</f>
        <v>0.58120027485800974</v>
      </c>
    </row>
    <row r="20" spans="2:11" ht="62.4" x14ac:dyDescent="0.3">
      <c r="B20" s="2">
        <f t="shared" si="0"/>
        <v>14</v>
      </c>
      <c r="C20" s="4" t="s">
        <v>425</v>
      </c>
      <c r="D20" s="3" t="s">
        <v>426</v>
      </c>
      <c r="E20" s="7">
        <f>('Investitii si finantare'!G40+'Investitii si finantare'!G25)/Cererea!G79</f>
        <v>0</v>
      </c>
      <c r="F20" s="7">
        <f>('Investitii si finantare'!H40+'Investitii si finantare'!H25)/Cererea!H79</f>
        <v>0</v>
      </c>
      <c r="G20" s="7">
        <f>('Investitii si finantare'!I40+'Investitii si finantare'!I25)/Cererea!I79</f>
        <v>0.62840357436383576</v>
      </c>
      <c r="H20" s="7">
        <f>('Investitii si finantare'!J40+'Investitii si finantare'!J25)/Cererea!J79</f>
        <v>1.1785945740718855</v>
      </c>
      <c r="I20" s="7">
        <f>('Investitii si finantare'!K40+'Investitii si finantare'!K25)/Cererea!K79</f>
        <v>2.0860080957024523</v>
      </c>
      <c r="J20" s="7">
        <f>('Investitii si finantare'!L40+'Investitii si finantare'!L25)/Cererea!L79</f>
        <v>0.80311311684544406</v>
      </c>
    </row>
    <row r="21" spans="2:11" ht="78" x14ac:dyDescent="0.3">
      <c r="B21" s="2">
        <f t="shared" si="0"/>
        <v>15</v>
      </c>
      <c r="C21" s="4" t="s">
        <v>427</v>
      </c>
      <c r="D21" s="3" t="s">
        <v>426</v>
      </c>
      <c r="E21" s="7">
        <f>('Investitii si finantare'!G63+'Investitii si finantare'!G78)/Cererea!G98</f>
        <v>0</v>
      </c>
      <c r="F21" s="7">
        <f>('Investitii si finantare'!H63+'Investitii si finantare'!H78)/Cererea!H98</f>
        <v>0</v>
      </c>
      <c r="G21" s="7">
        <f>('Investitii si finantare'!I63+'Investitii si finantare'!I78)/Cererea!I98</f>
        <v>0.73095157645842035</v>
      </c>
      <c r="H21" s="7">
        <f>('Investitii si finantare'!J63+'Investitii si finantare'!J78)/Cererea!J98</f>
        <v>0</v>
      </c>
      <c r="I21" s="7">
        <f>('Investitii si finantare'!K63+'Investitii si finantare'!K78)/Cererea!K98</f>
        <v>0</v>
      </c>
      <c r="J21" s="7">
        <f>('Investitii si finantare'!L63+'Investitii si finantare'!L78)/Cererea!L98</f>
        <v>2.1604014082434957</v>
      </c>
    </row>
    <row r="22" spans="2:11" ht="15.6" x14ac:dyDescent="0.3">
      <c r="B22" s="11"/>
      <c r="C22" s="11"/>
      <c r="D22" s="12"/>
      <c r="E22" s="13"/>
      <c r="F22" s="13"/>
      <c r="G22" s="13"/>
      <c r="H22" s="13"/>
      <c r="I22" s="13"/>
      <c r="J22" s="13"/>
    </row>
    <row r="23" spans="2:11" ht="31.5" customHeight="1" x14ac:dyDescent="0.3">
      <c r="B23" s="11"/>
      <c r="C23" s="255" t="s">
        <v>428</v>
      </c>
      <c r="D23" s="256"/>
      <c r="E23" s="256"/>
      <c r="F23" s="256"/>
      <c r="G23" s="256"/>
      <c r="H23" s="256"/>
      <c r="I23" s="256"/>
      <c r="J23" s="257"/>
    </row>
    <row r="24" spans="2:11" x14ac:dyDescent="0.3">
      <c r="C24" s="14"/>
      <c r="D24" s="14"/>
      <c r="E24" s="14">
        <f>E5</f>
        <v>2024</v>
      </c>
      <c r="F24" s="14">
        <f>E24+1</f>
        <v>2025</v>
      </c>
      <c r="G24" s="14">
        <f>F24+1</f>
        <v>2026</v>
      </c>
      <c r="H24" s="14">
        <f>G24+1</f>
        <v>2027</v>
      </c>
      <c r="I24" s="14">
        <f>H24+1</f>
        <v>2028</v>
      </c>
      <c r="J24" s="14">
        <f>I24+1</f>
        <v>2029</v>
      </c>
    </row>
    <row r="25" spans="2:11" ht="27.6" x14ac:dyDescent="0.3">
      <c r="C25" s="15" t="s">
        <v>35</v>
      </c>
      <c r="D25" s="16" t="s">
        <v>141</v>
      </c>
      <c r="E25" s="17">
        <f>'Amortizare si redeventa'!G27</f>
        <v>0.1</v>
      </c>
      <c r="F25" s="17">
        <f>'Amortizare si redeventa'!H27</f>
        <v>379123.22139999998</v>
      </c>
      <c r="G25" s="17">
        <f>'Amortizare si redeventa'!I27</f>
        <v>417011.01266666665</v>
      </c>
      <c r="H25" s="17">
        <f>'Amortizare si redeventa'!J27</f>
        <v>445244.91266666667</v>
      </c>
      <c r="I25" s="17">
        <f>'Amortizare si redeventa'!K27</f>
        <v>479557.24600000004</v>
      </c>
      <c r="J25" s="17">
        <f>'Amortizare si redeventa'!L27</f>
        <v>524427.47933333344</v>
      </c>
      <c r="K25" s="21"/>
    </row>
    <row r="26" spans="2:11" ht="41.4" x14ac:dyDescent="0.3">
      <c r="C26" s="15" t="s">
        <v>37</v>
      </c>
      <c r="D26" s="16" t="s">
        <v>141</v>
      </c>
      <c r="E26" s="17">
        <f>'Amortizare si redeventa'!G62</f>
        <v>1</v>
      </c>
      <c r="F26" s="17">
        <f>'Amortizare si redeventa'!H62</f>
        <v>220894.57500000001</v>
      </c>
      <c r="G26" s="17">
        <f>'Amortizare si redeventa'!I62</f>
        <v>263311.26909866667</v>
      </c>
      <c r="H26" s="17">
        <f>'Amortizare si redeventa'!J62</f>
        <v>330805.39977072633</v>
      </c>
      <c r="I26" s="17">
        <f>'Amortizare si redeventa'!K62</f>
        <v>331911.27039999998</v>
      </c>
      <c r="J26" s="17">
        <f>'Amortizare si redeventa'!L62</f>
        <v>334316.42453333328</v>
      </c>
    </row>
    <row r="28" spans="2:11" ht="24.75" customHeight="1" x14ac:dyDescent="0.3">
      <c r="C28" s="258" t="s">
        <v>429</v>
      </c>
      <c r="D28" s="258"/>
      <c r="E28" s="258"/>
      <c r="F28" s="258"/>
      <c r="G28" s="258"/>
      <c r="H28" s="258"/>
      <c r="I28" s="258"/>
      <c r="J28" s="258"/>
    </row>
    <row r="29" spans="2:11" ht="27.6" x14ac:dyDescent="0.3">
      <c r="C29" s="15" t="s">
        <v>35</v>
      </c>
      <c r="D29" s="16" t="s">
        <v>141</v>
      </c>
      <c r="E29" s="14"/>
      <c r="F29" s="19">
        <f>E25/12*5+F25/12*6</f>
        <v>189561.65236666665</v>
      </c>
      <c r="G29" s="19">
        <f>F25/12*6+G25/12*6</f>
        <v>398067.11703333328</v>
      </c>
      <c r="H29" s="19">
        <f t="shared" ref="H29:J30" si="1">G25/12*6+H25/12*6</f>
        <v>431127.96266666666</v>
      </c>
      <c r="I29" s="19">
        <f t="shared" si="1"/>
        <v>462401.07933333336</v>
      </c>
      <c r="J29" s="19">
        <f t="shared" si="1"/>
        <v>501992.36266666674</v>
      </c>
    </row>
    <row r="30" spans="2:11" ht="41.4" x14ac:dyDescent="0.3">
      <c r="C30" s="15" t="s">
        <v>37</v>
      </c>
      <c r="D30" s="16" t="s">
        <v>141</v>
      </c>
      <c r="E30" s="14"/>
      <c r="F30" s="19">
        <f>E26/12*5+F26/12*6</f>
        <v>110447.70416666668</v>
      </c>
      <c r="G30" s="19">
        <f>F26/12*6+G26/12*6</f>
        <v>242102.92204933334</v>
      </c>
      <c r="H30" s="19">
        <f t="shared" si="1"/>
        <v>297058.33443469647</v>
      </c>
      <c r="I30" s="19">
        <f t="shared" si="1"/>
        <v>331358.33508536313</v>
      </c>
      <c r="J30" s="19">
        <f t="shared" si="1"/>
        <v>333113.8474666666</v>
      </c>
    </row>
    <row r="32" spans="2:11" x14ac:dyDescent="0.3">
      <c r="F32" s="20"/>
      <c r="G32" s="20"/>
      <c r="H32" s="20"/>
      <c r="I32" s="20"/>
      <c r="J32" s="20"/>
    </row>
  </sheetData>
  <mergeCells count="7">
    <mergeCell ref="C23:J23"/>
    <mergeCell ref="C28:J28"/>
    <mergeCell ref="B4:B5"/>
    <mergeCell ref="B13:B14"/>
    <mergeCell ref="C4:C5"/>
    <mergeCell ref="C13:C14"/>
    <mergeCell ref="D4:D5"/>
  </mergeCell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36"/>
  <sheetViews>
    <sheetView showGridLines="0" zoomScale="90" workbookViewId="0">
      <selection activeCell="E28" sqref="E28"/>
    </sheetView>
  </sheetViews>
  <sheetFormatPr defaultColWidth="9.109375" defaultRowHeight="14.4" x14ac:dyDescent="0.3"/>
  <cols>
    <col min="2" max="2" width="1.44140625" customWidth="1"/>
    <col min="3" max="3" width="35" customWidth="1"/>
    <col min="4" max="4" width="11.88671875" customWidth="1"/>
    <col min="5" max="7" width="15.5546875" customWidth="1"/>
    <col min="8" max="8" width="3.5546875" customWidth="1"/>
    <col min="9" max="9" width="27.44140625" customWidth="1"/>
    <col min="10" max="10" width="8.5546875" customWidth="1"/>
    <col min="11" max="13" width="13.109375" customWidth="1"/>
    <col min="14" max="14" width="1.5546875" customWidth="1"/>
  </cols>
  <sheetData>
    <row r="2" spans="2:14" ht="8.1" customHeight="1" x14ac:dyDescent="0.3">
      <c r="B2" s="23"/>
      <c r="C2" s="23"/>
      <c r="D2" s="23"/>
      <c r="E2" s="23"/>
      <c r="F2" s="23"/>
      <c r="G2" s="23"/>
      <c r="H2" s="23"/>
      <c r="I2" s="23"/>
      <c r="J2" s="23"/>
      <c r="K2" s="23"/>
      <c r="L2" s="23"/>
      <c r="M2" s="23"/>
      <c r="N2" s="23"/>
    </row>
    <row r="3" spans="2:14" x14ac:dyDescent="0.3">
      <c r="B3" s="23"/>
      <c r="C3" s="227" t="str">
        <f>CONCATENATE("DATE DE CONTEXT PENTRU OPERATORUL"," ",'Date generale'!D4)</f>
        <v>DATE DE CONTEXT PENTRU OPERATORUL SEVICIUL PUBLIC DE ALIMENTARE CU APA, CANALIZARE SI SALUBRIZARE</v>
      </c>
      <c r="D3" s="227"/>
      <c r="E3" s="227"/>
      <c r="F3" s="227"/>
      <c r="N3" s="23"/>
    </row>
    <row r="4" spans="2:14" x14ac:dyDescent="0.3">
      <c r="B4" s="23"/>
      <c r="C4" s="227"/>
      <c r="D4" s="227"/>
      <c r="E4" s="227"/>
      <c r="F4" s="227"/>
      <c r="N4" s="23"/>
    </row>
    <row r="5" spans="2:14" x14ac:dyDescent="0.3">
      <c r="B5" s="23"/>
      <c r="N5" s="23"/>
    </row>
    <row r="6" spans="2:14" x14ac:dyDescent="0.3">
      <c r="B6" s="23"/>
      <c r="C6" s="81" t="s">
        <v>11</v>
      </c>
      <c r="D6" s="81"/>
      <c r="E6" s="82">
        <f>F6-1</f>
        <v>2022</v>
      </c>
      <c r="F6" s="82">
        <f>G6-1</f>
        <v>2023</v>
      </c>
      <c r="G6" s="177">
        <f>'Date generale'!D8</f>
        <v>2024</v>
      </c>
      <c r="I6" s="42" t="s">
        <v>12</v>
      </c>
      <c r="J6" s="40"/>
      <c r="K6" s="82">
        <f>L6-1</f>
        <v>2022</v>
      </c>
      <c r="L6" s="82">
        <f>M6-1</f>
        <v>2023</v>
      </c>
      <c r="M6" s="177">
        <f>'Date generale'!D8</f>
        <v>2024</v>
      </c>
      <c r="N6" s="23"/>
    </row>
    <row r="7" spans="2:14" ht="43.2" x14ac:dyDescent="0.3">
      <c r="B7" s="23"/>
      <c r="C7" s="40" t="s">
        <v>13</v>
      </c>
      <c r="D7" s="43" t="s">
        <v>14</v>
      </c>
      <c r="E7" s="87"/>
      <c r="F7" s="87">
        <v>0</v>
      </c>
      <c r="G7" s="87">
        <v>0</v>
      </c>
      <c r="I7" s="40" t="s">
        <v>15</v>
      </c>
      <c r="J7" s="43" t="s">
        <v>14</v>
      </c>
      <c r="K7" s="87">
        <v>3</v>
      </c>
      <c r="L7" s="87">
        <v>4</v>
      </c>
      <c r="M7" s="87">
        <v>2</v>
      </c>
      <c r="N7" s="23"/>
    </row>
    <row r="8" spans="2:14" ht="45.6" customHeight="1" x14ac:dyDescent="0.3">
      <c r="B8" s="23"/>
      <c r="C8" s="40" t="s">
        <v>16</v>
      </c>
      <c r="D8" s="43" t="s">
        <v>14</v>
      </c>
      <c r="E8" s="87">
        <v>3</v>
      </c>
      <c r="F8" s="87">
        <v>3</v>
      </c>
      <c r="G8" s="87">
        <v>3</v>
      </c>
      <c r="I8" s="40" t="s">
        <v>17</v>
      </c>
      <c r="J8" s="43" t="s">
        <v>14</v>
      </c>
      <c r="K8" s="87">
        <v>20</v>
      </c>
      <c r="L8" s="87">
        <v>18</v>
      </c>
      <c r="M8" s="87">
        <v>25</v>
      </c>
      <c r="N8" s="23"/>
    </row>
    <row r="9" spans="2:14" x14ac:dyDescent="0.3">
      <c r="B9" s="23"/>
      <c r="C9" s="40" t="s">
        <v>18</v>
      </c>
      <c r="D9" s="43" t="s">
        <v>14</v>
      </c>
      <c r="E9" s="87">
        <v>4</v>
      </c>
      <c r="F9" s="87">
        <v>4</v>
      </c>
      <c r="G9" s="87">
        <v>4</v>
      </c>
      <c r="I9" s="218" t="s">
        <v>19</v>
      </c>
      <c r="J9" s="43" t="s">
        <v>14</v>
      </c>
      <c r="K9" s="219">
        <f>SUM(K7:K8)</f>
        <v>23</v>
      </c>
      <c r="L9" s="219">
        <f>SUM(L7:L8)</f>
        <v>22</v>
      </c>
      <c r="M9" s="219">
        <f>SUM(M7:M8)</f>
        <v>27</v>
      </c>
      <c r="N9" s="23"/>
    </row>
    <row r="10" spans="2:14" ht="26.1" customHeight="1" x14ac:dyDescent="0.3">
      <c r="B10" s="23"/>
      <c r="C10" s="40" t="s">
        <v>20</v>
      </c>
      <c r="D10" s="43" t="s">
        <v>21</v>
      </c>
      <c r="E10" s="70">
        <v>5</v>
      </c>
      <c r="F10" s="70">
        <v>5</v>
      </c>
      <c r="G10" s="70">
        <v>5</v>
      </c>
      <c r="N10" s="23"/>
    </row>
    <row r="11" spans="2:14" ht="26.1" customHeight="1" x14ac:dyDescent="0.3">
      <c r="B11" s="23"/>
      <c r="C11" s="40" t="s">
        <v>22</v>
      </c>
      <c r="D11" s="43" t="s">
        <v>21</v>
      </c>
      <c r="E11" s="87">
        <v>33</v>
      </c>
      <c r="F11" s="87">
        <v>33</v>
      </c>
      <c r="G11" s="87">
        <v>33</v>
      </c>
      <c r="N11" s="23"/>
    </row>
    <row r="12" spans="2:14" x14ac:dyDescent="0.3">
      <c r="B12" s="23"/>
      <c r="C12" s="42" t="s">
        <v>23</v>
      </c>
      <c r="D12" s="51" t="s">
        <v>21</v>
      </c>
      <c r="E12" s="68">
        <f>SUM(E10:E11)</f>
        <v>38</v>
      </c>
      <c r="F12" s="68">
        <f>SUM(F10:F11)</f>
        <v>38</v>
      </c>
      <c r="G12" s="68">
        <f>SUM(G10:G11)</f>
        <v>38</v>
      </c>
      <c r="N12" s="23"/>
    </row>
    <row r="13" spans="2:14" x14ac:dyDescent="0.3">
      <c r="B13" s="23"/>
      <c r="N13" s="23"/>
    </row>
    <row r="14" spans="2:14" x14ac:dyDescent="0.3">
      <c r="B14" s="23"/>
      <c r="C14" s="81" t="s">
        <v>24</v>
      </c>
      <c r="D14" s="81"/>
      <c r="E14" s="82">
        <f>F14-1</f>
        <v>2022</v>
      </c>
      <c r="F14" s="82">
        <f>G14-1</f>
        <v>2023</v>
      </c>
      <c r="G14" s="177">
        <f>'Date generale'!D8</f>
        <v>2024</v>
      </c>
      <c r="I14" s="42" t="s">
        <v>25</v>
      </c>
      <c r="J14" s="40"/>
      <c r="K14" s="82">
        <f>L14-1</f>
        <v>2022</v>
      </c>
      <c r="L14" s="82">
        <f>M14-1</f>
        <v>2023</v>
      </c>
      <c r="M14" s="177">
        <f>'Date generale'!D8</f>
        <v>2024</v>
      </c>
      <c r="N14" s="23"/>
    </row>
    <row r="15" spans="2:14" ht="50.1" customHeight="1" x14ac:dyDescent="0.3">
      <c r="B15" s="23"/>
      <c r="C15" s="40" t="s">
        <v>26</v>
      </c>
      <c r="D15" s="43" t="s">
        <v>14</v>
      </c>
      <c r="E15" s="87">
        <v>1</v>
      </c>
      <c r="F15" s="87">
        <v>1</v>
      </c>
      <c r="G15" s="87">
        <v>1</v>
      </c>
      <c r="I15" s="40" t="s">
        <v>27</v>
      </c>
      <c r="J15" s="43" t="s">
        <v>14</v>
      </c>
      <c r="K15" s="87">
        <v>2</v>
      </c>
      <c r="L15" s="87">
        <v>4</v>
      </c>
      <c r="M15" s="87">
        <v>3</v>
      </c>
      <c r="N15" s="23"/>
    </row>
    <row r="16" spans="2:14" ht="27.6" customHeight="1" x14ac:dyDescent="0.3">
      <c r="B16" s="23"/>
      <c r="C16" s="40" t="s">
        <v>28</v>
      </c>
      <c r="D16" s="43" t="s">
        <v>14</v>
      </c>
      <c r="E16" s="87">
        <v>6</v>
      </c>
      <c r="F16" s="87">
        <v>6</v>
      </c>
      <c r="G16" s="87">
        <v>6</v>
      </c>
      <c r="I16" s="40" t="s">
        <v>29</v>
      </c>
      <c r="J16" s="43" t="s">
        <v>14</v>
      </c>
      <c r="K16" s="220">
        <v>60</v>
      </c>
      <c r="L16" s="220">
        <v>58</v>
      </c>
      <c r="M16" s="220">
        <v>63</v>
      </c>
      <c r="N16" s="23"/>
    </row>
    <row r="17" spans="2:14" ht="28.8" x14ac:dyDescent="0.3">
      <c r="B17" s="23"/>
      <c r="C17" s="40" t="s">
        <v>30</v>
      </c>
      <c r="D17" s="43" t="s">
        <v>21</v>
      </c>
      <c r="E17" s="216"/>
      <c r="F17" s="216"/>
      <c r="G17" s="216"/>
      <c r="I17" s="42" t="s">
        <v>19</v>
      </c>
      <c r="J17" s="51" t="s">
        <v>14</v>
      </c>
      <c r="K17" s="219">
        <f>SUM(K15:K16)</f>
        <v>62</v>
      </c>
      <c r="L17" s="219">
        <f>SUM(L15:L16)</f>
        <v>62</v>
      </c>
      <c r="M17" s="219">
        <f>SUM(M15:M16)</f>
        <v>66</v>
      </c>
      <c r="N17" s="23"/>
    </row>
    <row r="18" spans="2:14" ht="28.8" x14ac:dyDescent="0.3">
      <c r="B18" s="23"/>
      <c r="C18" s="40" t="s">
        <v>31</v>
      </c>
      <c r="D18" s="43" t="s">
        <v>21</v>
      </c>
      <c r="E18" s="216">
        <v>23</v>
      </c>
      <c r="F18" s="216">
        <v>23</v>
      </c>
      <c r="G18" s="216">
        <v>23</v>
      </c>
      <c r="N18" s="23"/>
    </row>
    <row r="19" spans="2:14" ht="28.8" x14ac:dyDescent="0.3">
      <c r="B19" s="23"/>
      <c r="C19" s="40" t="s">
        <v>32</v>
      </c>
      <c r="D19" s="43" t="s">
        <v>21</v>
      </c>
      <c r="E19" s="216">
        <v>6</v>
      </c>
      <c r="F19" s="216">
        <v>6</v>
      </c>
      <c r="G19" s="216">
        <v>6</v>
      </c>
      <c r="N19" s="23"/>
    </row>
    <row r="20" spans="2:14" x14ac:dyDescent="0.3">
      <c r="B20" s="23"/>
      <c r="C20" s="42" t="s">
        <v>33</v>
      </c>
      <c r="D20" s="51" t="s">
        <v>21</v>
      </c>
      <c r="E20" s="68">
        <f>SUM(E17:E19)</f>
        <v>29</v>
      </c>
      <c r="F20" s="68">
        <f>SUM(F17:F19)</f>
        <v>29</v>
      </c>
      <c r="G20" s="68">
        <f>SUM(G17:G19)</f>
        <v>29</v>
      </c>
      <c r="N20" s="23"/>
    </row>
    <row r="21" spans="2:14" ht="8.1" customHeight="1" x14ac:dyDescent="0.3">
      <c r="B21" s="23"/>
      <c r="C21" s="23"/>
      <c r="D21" s="23"/>
      <c r="E21" s="23"/>
      <c r="F21" s="23"/>
      <c r="G21" s="23"/>
      <c r="H21" s="23"/>
      <c r="I21" s="23"/>
      <c r="J21" s="23"/>
      <c r="K21" s="23"/>
      <c r="L21" s="23"/>
      <c r="M21" s="23"/>
      <c r="N21" s="23"/>
    </row>
    <row r="22" spans="2:14" ht="14.1" customHeight="1" x14ac:dyDescent="0.3"/>
    <row r="23" spans="2:14" ht="8.1" customHeight="1" x14ac:dyDescent="0.3">
      <c r="B23" s="23"/>
      <c r="C23" s="23"/>
      <c r="D23" s="23"/>
      <c r="E23" s="23"/>
      <c r="F23" s="23"/>
      <c r="G23" s="23"/>
      <c r="H23" s="23"/>
      <c r="I23" s="23"/>
      <c r="J23" s="23"/>
      <c r="K23" s="23"/>
      <c r="L23" s="23"/>
      <c r="M23" s="23"/>
      <c r="N23" s="23"/>
    </row>
    <row r="24" spans="2:14" x14ac:dyDescent="0.3">
      <c r="B24" s="23"/>
      <c r="C24" s="227" t="s">
        <v>34</v>
      </c>
      <c r="D24" s="227"/>
      <c r="E24" s="227"/>
      <c r="F24" s="227"/>
      <c r="N24" s="23"/>
    </row>
    <row r="25" spans="2:14" x14ac:dyDescent="0.3">
      <c r="B25" s="23"/>
      <c r="C25" s="227"/>
      <c r="D25" s="227"/>
      <c r="E25" s="227"/>
      <c r="F25" s="227"/>
      <c r="N25" s="23"/>
    </row>
    <row r="26" spans="2:14" s="22" customFormat="1" ht="28.8" x14ac:dyDescent="0.3">
      <c r="B26" s="35"/>
      <c r="C26" s="28" t="s">
        <v>35</v>
      </c>
      <c r="D26" s="43" t="s">
        <v>36</v>
      </c>
      <c r="E26" s="217">
        <v>4.5999999999999996</v>
      </c>
      <c r="N26" s="23"/>
    </row>
    <row r="27" spans="2:14" s="22" customFormat="1" ht="28.8" x14ac:dyDescent="0.3">
      <c r="B27" s="35"/>
      <c r="C27" s="28" t="s">
        <v>37</v>
      </c>
      <c r="D27" s="43" t="s">
        <v>36</v>
      </c>
      <c r="E27" s="217">
        <v>3.52</v>
      </c>
      <c r="N27" s="23"/>
    </row>
    <row r="28" spans="2:14" s="22" customFormat="1" ht="43.2" x14ac:dyDescent="0.3">
      <c r="B28" s="35"/>
      <c r="C28" s="28" t="s">
        <v>38</v>
      </c>
      <c r="D28" s="43" t="s">
        <v>36</v>
      </c>
      <c r="E28" s="217">
        <v>0</v>
      </c>
      <c r="N28" s="23"/>
    </row>
    <row r="29" spans="2:14" s="22" customFormat="1" x14ac:dyDescent="0.3">
      <c r="B29" s="35"/>
      <c r="C29" s="28" t="s">
        <v>39</v>
      </c>
      <c r="D29" s="43" t="s">
        <v>36</v>
      </c>
      <c r="E29" s="217">
        <v>0</v>
      </c>
      <c r="N29" s="23"/>
    </row>
    <row r="30" spans="2:14" s="22" customFormat="1" x14ac:dyDescent="0.3">
      <c r="B30" s="35"/>
      <c r="C30" s="28" t="s">
        <v>40</v>
      </c>
      <c r="D30" s="43" t="s">
        <v>36</v>
      </c>
      <c r="E30" s="217">
        <v>0</v>
      </c>
      <c r="N30" s="23"/>
    </row>
    <row r="31" spans="2:14" s="22" customFormat="1" ht="28.8" x14ac:dyDescent="0.3">
      <c r="B31" s="35"/>
      <c r="C31" s="28" t="s">
        <v>41</v>
      </c>
      <c r="D31" s="43" t="s">
        <v>36</v>
      </c>
      <c r="E31" s="217">
        <v>0</v>
      </c>
      <c r="N31" s="23"/>
    </row>
    <row r="32" spans="2:14" s="22" customFormat="1" x14ac:dyDescent="0.3">
      <c r="B32" s="35"/>
      <c r="C32" s="28" t="s">
        <v>42</v>
      </c>
      <c r="D32" s="43" t="s">
        <v>36</v>
      </c>
      <c r="E32" s="217">
        <v>0</v>
      </c>
      <c r="N32" s="23"/>
    </row>
    <row r="33" spans="2:14" s="22" customFormat="1" ht="28.8" x14ac:dyDescent="0.3">
      <c r="B33" s="35"/>
      <c r="C33" s="28" t="s">
        <v>43</v>
      </c>
      <c r="D33" s="43" t="s">
        <v>36</v>
      </c>
      <c r="E33" s="217">
        <v>0</v>
      </c>
      <c r="N33" s="23"/>
    </row>
    <row r="34" spans="2:14" s="22" customFormat="1" x14ac:dyDescent="0.3">
      <c r="B34" s="35"/>
      <c r="C34" s="28" t="s">
        <v>44</v>
      </c>
      <c r="D34" s="43" t="s">
        <v>36</v>
      </c>
      <c r="E34" s="217">
        <v>0</v>
      </c>
      <c r="N34" s="23"/>
    </row>
    <row r="35" spans="2:14" x14ac:dyDescent="0.3">
      <c r="B35" s="35"/>
      <c r="N35" s="23"/>
    </row>
    <row r="36" spans="2:14" ht="8.1" customHeight="1" x14ac:dyDescent="0.3">
      <c r="B36" s="23"/>
      <c r="C36" s="23"/>
      <c r="D36" s="23"/>
      <c r="E36" s="23"/>
      <c r="F36" s="23"/>
      <c r="G36" s="23"/>
      <c r="H36" s="23"/>
      <c r="I36" s="23"/>
      <c r="J36" s="23"/>
      <c r="K36" s="23"/>
      <c r="L36" s="23"/>
      <c r="M36" s="23"/>
      <c r="N36" s="23"/>
    </row>
  </sheetData>
  <sheetProtection sheet="1" objects="1" scenarios="1"/>
  <mergeCells count="2">
    <mergeCell ref="C3:F4"/>
    <mergeCell ref="C24:F25"/>
  </mergeCells>
  <pageMargins left="0.7" right="0.7" top="0.44" bottom="0.36" header="0.3" footer="0.3"/>
  <pageSetup paperSize="9" scale="71" orientation="landscape"/>
  <headerFooter>
    <oddFooter>&amp;L&amp;F
Sheet: &amp;A&amp;R&amp;P din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C2:Q22"/>
  <sheetViews>
    <sheetView showGridLines="0" zoomScale="70" workbookViewId="0">
      <selection activeCell="F20" sqref="F20"/>
    </sheetView>
  </sheetViews>
  <sheetFormatPr defaultColWidth="9.109375" defaultRowHeight="14.4" x14ac:dyDescent="0.3"/>
  <cols>
    <col min="1" max="1" width="3.88671875" customWidth="1"/>
    <col min="2" max="2" width="1.5546875" customWidth="1"/>
    <col min="3" max="3" width="1.44140625" customWidth="1"/>
    <col min="4" max="4" width="35" customWidth="1"/>
    <col min="5" max="5" width="11.88671875" customWidth="1"/>
    <col min="6" max="15" width="15.5546875" customWidth="1"/>
    <col min="16" max="16" width="3.5546875" customWidth="1"/>
    <col min="17" max="17" width="1.5546875" customWidth="1"/>
  </cols>
  <sheetData>
    <row r="2" spans="3:17" ht="8.1" customHeight="1" x14ac:dyDescent="0.3">
      <c r="C2" s="23"/>
      <c r="D2" s="23"/>
      <c r="E2" s="23"/>
      <c r="F2" s="23"/>
      <c r="G2" s="23"/>
      <c r="H2" s="23"/>
      <c r="I2" s="23"/>
      <c r="J2" s="23"/>
      <c r="K2" s="23"/>
      <c r="L2" s="23"/>
      <c r="M2" s="23"/>
      <c r="N2" s="23"/>
      <c r="O2" s="23"/>
      <c r="P2" s="23"/>
      <c r="Q2" s="23"/>
    </row>
    <row r="3" spans="3:17" ht="14.4" customHeight="1" x14ac:dyDescent="0.3">
      <c r="C3" s="23"/>
      <c r="D3" s="227" t="str">
        <f>CONCATENATE("SCENARIUL MACROECONOMIC FOLOSIT LA PLANUL DE AFACERI PENTRU OPERATORUL"," ",'Date generale'!D4)</f>
        <v>SCENARIUL MACROECONOMIC FOLOSIT LA PLANUL DE AFACERI PENTRU OPERATORUL SEVICIUL PUBLIC DE ALIMENTARE CU APA, CANALIZARE SI SALUBRIZARE</v>
      </c>
      <c r="E3" s="227"/>
      <c r="F3" s="227"/>
      <c r="G3" s="227"/>
      <c r="H3" s="227"/>
      <c r="I3" s="227"/>
      <c r="J3" s="227"/>
      <c r="K3" s="227"/>
      <c r="L3" s="227"/>
      <c r="Q3" s="23"/>
    </row>
    <row r="4" spans="3:17" x14ac:dyDescent="0.3">
      <c r="C4" s="23"/>
      <c r="D4" s="227"/>
      <c r="E4" s="227"/>
      <c r="F4" s="227"/>
      <c r="G4" s="227"/>
      <c r="H4" s="227"/>
      <c r="I4" s="227"/>
      <c r="J4" s="227"/>
      <c r="K4" s="227"/>
      <c r="L4" s="227"/>
      <c r="Q4" s="23"/>
    </row>
    <row r="5" spans="3:17" x14ac:dyDescent="0.3">
      <c r="C5" s="23"/>
      <c r="Q5" s="23"/>
    </row>
    <row r="6" spans="3:17" x14ac:dyDescent="0.3">
      <c r="C6" s="23"/>
      <c r="D6" s="81" t="s">
        <v>45</v>
      </c>
      <c r="E6" s="81"/>
      <c r="F6" s="82">
        <f>G6-1</f>
        <v>2023</v>
      </c>
      <c r="G6" s="177">
        <f>'Date generale'!D8</f>
        <v>2024</v>
      </c>
      <c r="H6" s="178">
        <f t="shared" ref="H6:O6" si="0">G6+1</f>
        <v>2025</v>
      </c>
      <c r="I6" s="178">
        <f t="shared" si="0"/>
        <v>2026</v>
      </c>
      <c r="J6" s="178">
        <f t="shared" si="0"/>
        <v>2027</v>
      </c>
      <c r="K6" s="178">
        <f t="shared" si="0"/>
        <v>2028</v>
      </c>
      <c r="L6" s="178">
        <f t="shared" si="0"/>
        <v>2029</v>
      </c>
      <c r="M6" s="178">
        <f t="shared" si="0"/>
        <v>2030</v>
      </c>
      <c r="N6" s="178">
        <f t="shared" si="0"/>
        <v>2031</v>
      </c>
      <c r="O6" s="178">
        <f t="shared" si="0"/>
        <v>2032</v>
      </c>
      <c r="Q6" s="23"/>
    </row>
    <row r="7" spans="3:17" x14ac:dyDescent="0.3">
      <c r="C7" s="23"/>
      <c r="D7" s="81"/>
      <c r="E7" s="81"/>
      <c r="F7" s="18">
        <f>G7-1</f>
        <v>-2</v>
      </c>
      <c r="G7" s="55">
        <v>-1</v>
      </c>
      <c r="H7" s="55">
        <v>0</v>
      </c>
      <c r="I7" s="55">
        <f t="shared" ref="I7:O7" si="1">H7+1</f>
        <v>1</v>
      </c>
      <c r="J7" s="55">
        <f t="shared" si="1"/>
        <v>2</v>
      </c>
      <c r="K7" s="55">
        <f t="shared" si="1"/>
        <v>3</v>
      </c>
      <c r="L7" s="55">
        <f t="shared" si="1"/>
        <v>4</v>
      </c>
      <c r="M7" s="55">
        <f t="shared" si="1"/>
        <v>5</v>
      </c>
      <c r="N7" s="55">
        <f t="shared" si="1"/>
        <v>6</v>
      </c>
      <c r="O7" s="55">
        <f t="shared" si="1"/>
        <v>7</v>
      </c>
      <c r="Q7" s="23"/>
    </row>
    <row r="8" spans="3:17" x14ac:dyDescent="0.3">
      <c r="C8" s="23"/>
      <c r="D8" s="40" t="s">
        <v>46</v>
      </c>
      <c r="E8" s="43" t="s">
        <v>47</v>
      </c>
      <c r="F8" s="212">
        <v>2.4E-2</v>
      </c>
      <c r="G8" s="212">
        <v>0.01</v>
      </c>
      <c r="H8" s="212">
        <v>2.5000000000000001E-2</v>
      </c>
      <c r="I8" s="212">
        <v>0.03</v>
      </c>
      <c r="J8" s="212">
        <v>2.5999999999999999E-2</v>
      </c>
      <c r="K8" s="212">
        <v>2.4E-2</v>
      </c>
      <c r="L8" s="212">
        <f>K8</f>
        <v>2.4E-2</v>
      </c>
      <c r="M8" s="212">
        <f>L8</f>
        <v>2.4E-2</v>
      </c>
      <c r="N8" s="212">
        <f>M8</f>
        <v>2.4E-2</v>
      </c>
      <c r="O8" s="212">
        <f>N8</f>
        <v>2.4E-2</v>
      </c>
      <c r="Q8" s="23"/>
    </row>
    <row r="9" spans="3:17" ht="29.4" customHeight="1" x14ac:dyDescent="0.3">
      <c r="C9" s="23"/>
      <c r="D9" s="40" t="s">
        <v>48</v>
      </c>
      <c r="E9" s="43" t="s">
        <v>47</v>
      </c>
      <c r="F9" s="213">
        <v>0.104</v>
      </c>
      <c r="G9" s="213">
        <v>5.6000000000000001E-2</v>
      </c>
      <c r="H9" s="213">
        <v>4.3999999999999997E-2</v>
      </c>
      <c r="I9" s="213">
        <v>3.3000000000000002E-2</v>
      </c>
      <c r="J9" s="213">
        <v>0.03</v>
      </c>
      <c r="K9" s="213">
        <v>0.03</v>
      </c>
      <c r="L9" s="213">
        <v>0.03</v>
      </c>
      <c r="M9" s="213">
        <v>0.03</v>
      </c>
      <c r="N9" s="212">
        <v>0.03</v>
      </c>
      <c r="O9" s="212">
        <f>N9</f>
        <v>0.03</v>
      </c>
      <c r="Q9" s="23"/>
    </row>
    <row r="10" spans="3:17" x14ac:dyDescent="0.3">
      <c r="C10" s="23"/>
      <c r="D10" s="40" t="s">
        <v>49</v>
      </c>
      <c r="E10" s="43" t="s">
        <v>50</v>
      </c>
      <c r="F10" s="214">
        <v>4.95</v>
      </c>
      <c r="G10" s="214">
        <v>4.9800000000000004</v>
      </c>
      <c r="H10" s="214">
        <v>5.01</v>
      </c>
      <c r="I10" s="214">
        <v>5.0599999999999996</v>
      </c>
      <c r="J10" s="214">
        <v>5.1100000000000003</v>
      </c>
      <c r="K10" s="214">
        <v>5.16</v>
      </c>
      <c r="L10" s="214">
        <f t="shared" ref="L10:N11" si="2">K10</f>
        <v>5.16</v>
      </c>
      <c r="M10" s="214">
        <f t="shared" si="2"/>
        <v>5.16</v>
      </c>
      <c r="N10" s="214">
        <f t="shared" si="2"/>
        <v>5.16</v>
      </c>
      <c r="O10" s="214">
        <f>N10</f>
        <v>5.16</v>
      </c>
      <c r="Q10" s="23"/>
    </row>
    <row r="11" spans="3:17" ht="26.1" customHeight="1" x14ac:dyDescent="0.3">
      <c r="C11" s="23"/>
      <c r="D11" s="40" t="s">
        <v>51</v>
      </c>
      <c r="E11" s="43" t="s">
        <v>47</v>
      </c>
      <c r="F11" s="213">
        <v>0.05</v>
      </c>
      <c r="G11" s="213">
        <v>8.3000000000000004E-2</v>
      </c>
      <c r="H11" s="213">
        <v>1.6E-2</v>
      </c>
      <c r="I11" s="213">
        <v>3.3000000000000002E-2</v>
      </c>
      <c r="J11" s="213">
        <v>3.3000000000000002E-2</v>
      </c>
      <c r="K11" s="213">
        <v>0.03</v>
      </c>
      <c r="L11" s="213">
        <f t="shared" si="2"/>
        <v>0.03</v>
      </c>
      <c r="M11" s="213">
        <f t="shared" si="2"/>
        <v>0.03</v>
      </c>
      <c r="N11" s="213">
        <f t="shared" si="2"/>
        <v>0.03</v>
      </c>
      <c r="O11" s="213">
        <f>N11</f>
        <v>0.03</v>
      </c>
      <c r="Q11" s="23"/>
    </row>
    <row r="12" spans="3:17" x14ac:dyDescent="0.3">
      <c r="C12" s="23"/>
      <c r="Q12" s="23"/>
    </row>
    <row r="13" spans="3:17" ht="32.1" customHeight="1" x14ac:dyDescent="0.3">
      <c r="C13" s="23"/>
      <c r="D13" s="40" t="s">
        <v>52</v>
      </c>
      <c r="E13" s="228" t="s">
        <v>53</v>
      </c>
      <c r="F13" s="228"/>
      <c r="G13" s="228"/>
      <c r="H13" s="228"/>
      <c r="I13" s="228"/>
      <c r="J13" s="228"/>
      <c r="Q13" s="23"/>
    </row>
    <row r="14" spans="3:17" ht="32.1" customHeight="1" x14ac:dyDescent="0.3">
      <c r="C14" s="23"/>
      <c r="D14" s="40" t="s">
        <v>54</v>
      </c>
      <c r="E14" s="229" t="s">
        <v>55</v>
      </c>
      <c r="F14" s="230"/>
      <c r="G14" s="230"/>
      <c r="H14" s="230"/>
      <c r="I14" s="230"/>
      <c r="J14" s="231"/>
      <c r="Q14" s="23"/>
    </row>
    <row r="15" spans="3:17" ht="32.1" customHeight="1" x14ac:dyDescent="0.3">
      <c r="C15" s="23"/>
      <c r="D15" s="40" t="s">
        <v>56</v>
      </c>
      <c r="E15" s="232" t="s">
        <v>57</v>
      </c>
      <c r="F15" s="232"/>
      <c r="G15" s="232"/>
      <c r="H15" s="232"/>
      <c r="I15" s="232"/>
      <c r="J15" s="232"/>
      <c r="Q15" s="23"/>
    </row>
    <row r="16" spans="3:17" ht="32.1" customHeight="1" x14ac:dyDescent="0.3">
      <c r="C16" s="23"/>
      <c r="D16" s="40" t="s">
        <v>58</v>
      </c>
      <c r="E16" s="233" t="s">
        <v>59</v>
      </c>
      <c r="F16" s="232"/>
      <c r="G16" s="232"/>
      <c r="H16" s="232"/>
      <c r="I16" s="232"/>
      <c r="J16" s="232"/>
      <c r="Q16" s="23"/>
    </row>
    <row r="17" spans="3:17" x14ac:dyDescent="0.3">
      <c r="C17" s="23"/>
      <c r="Q17" s="23"/>
    </row>
    <row r="18" spans="3:17" ht="8.1" customHeight="1" x14ac:dyDescent="0.3">
      <c r="C18" s="23"/>
      <c r="D18" s="23"/>
      <c r="E18" s="23"/>
      <c r="F18" s="23"/>
      <c r="G18" s="23"/>
      <c r="H18" s="23"/>
      <c r="I18" s="23"/>
      <c r="J18" s="23"/>
      <c r="K18" s="23"/>
      <c r="L18" s="23"/>
      <c r="M18" s="23"/>
      <c r="N18" s="23"/>
      <c r="O18" s="23"/>
      <c r="P18" s="23"/>
      <c r="Q18" s="23"/>
    </row>
    <row r="20" spans="3:17" x14ac:dyDescent="0.3">
      <c r="D20" s="14" t="s">
        <v>60</v>
      </c>
      <c r="E20" s="18" t="s">
        <v>47</v>
      </c>
      <c r="F20" s="215">
        <v>6.88E-2</v>
      </c>
    </row>
    <row r="21" spans="3:17" x14ac:dyDescent="0.3">
      <c r="D21" s="14" t="s">
        <v>61</v>
      </c>
      <c r="E21" s="18" t="s">
        <v>47</v>
      </c>
      <c r="F21" s="215"/>
    </row>
    <row r="22" spans="3:17" x14ac:dyDescent="0.3">
      <c r="D22" s="14" t="s">
        <v>62</v>
      </c>
      <c r="E22" s="18" t="s">
        <v>47</v>
      </c>
      <c r="F22" s="215">
        <v>0.09</v>
      </c>
    </row>
  </sheetData>
  <sheetProtection sheet="1" objects="1" scenarios="1"/>
  <mergeCells count="5">
    <mergeCell ref="E13:J13"/>
    <mergeCell ref="E14:J14"/>
    <mergeCell ref="E15:J15"/>
    <mergeCell ref="E16:J16"/>
    <mergeCell ref="D3:L4"/>
  </mergeCells>
  <pageMargins left="0.34" right="0.22" top="0.75" bottom="0.75" header="0.3" footer="0.3"/>
  <pageSetup paperSize="9" scale="67" orientation="landscape"/>
  <headerFooter>
    <oddFooter>&amp;L&amp;F
Sheet: &amp;A&amp;R&amp;P din &amp;N</oddFoot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10"/>
  <sheetViews>
    <sheetView showGridLines="0" zoomScale="70" workbookViewId="0">
      <selection activeCell="D5" sqref="D5:D9"/>
    </sheetView>
  </sheetViews>
  <sheetFormatPr defaultColWidth="9.109375" defaultRowHeight="14.4" x14ac:dyDescent="0.3"/>
  <cols>
    <col min="1" max="1" width="5.44140625" customWidth="1"/>
    <col min="2" max="2" width="1.44140625" customWidth="1"/>
    <col min="3" max="3" width="24.44140625" customWidth="1"/>
    <col min="4" max="4" width="110.44140625" customWidth="1"/>
    <col min="5" max="5" width="1.5546875" customWidth="1"/>
  </cols>
  <sheetData>
    <row r="2" spans="2:5" ht="8.1" customHeight="1" x14ac:dyDescent="0.3">
      <c r="B2" s="23"/>
      <c r="C2" s="23"/>
      <c r="D2" s="23"/>
      <c r="E2" s="23"/>
    </row>
    <row r="3" spans="2:5" x14ac:dyDescent="0.3">
      <c r="B3" s="23"/>
      <c r="C3" s="227" t="str">
        <f>CONCATENATE("PREZENTAREA OBIECTIVELOR STRATEGICE PENTRU OPERATORUL"," ",'Date generale'!D4)</f>
        <v>PREZENTAREA OBIECTIVELOR STRATEGICE PENTRU OPERATORUL SEVICIUL PUBLIC DE ALIMENTARE CU APA, CANALIZARE SI SALUBRIZARE</v>
      </c>
      <c r="D3" s="227"/>
      <c r="E3" s="23"/>
    </row>
    <row r="4" spans="2:5" x14ac:dyDescent="0.3">
      <c r="B4" s="23"/>
      <c r="C4" s="227"/>
      <c r="D4" s="227"/>
      <c r="E4" s="23"/>
    </row>
    <row r="5" spans="2:5" s="22" customFormat="1" ht="64.349999999999994" customHeight="1" x14ac:dyDescent="0.3">
      <c r="B5" s="35"/>
      <c r="C5" s="40" t="s">
        <v>63</v>
      </c>
      <c r="D5" s="208" t="s">
        <v>64</v>
      </c>
      <c r="E5" s="35"/>
    </row>
    <row r="6" spans="2:5" s="22" customFormat="1" ht="74.400000000000006" customHeight="1" x14ac:dyDescent="0.3">
      <c r="B6" s="35"/>
      <c r="C6" s="40" t="s">
        <v>65</v>
      </c>
      <c r="D6" s="208" t="s">
        <v>66</v>
      </c>
      <c r="E6" s="35"/>
    </row>
    <row r="7" spans="2:5" s="22" customFormat="1" ht="180" customHeight="1" x14ac:dyDescent="0.3">
      <c r="B7" s="35"/>
      <c r="C7" s="40" t="s">
        <v>67</v>
      </c>
      <c r="D7" s="208" t="s">
        <v>68</v>
      </c>
      <c r="E7" s="35"/>
    </row>
    <row r="8" spans="2:5" s="22" customFormat="1" ht="180" customHeight="1" x14ac:dyDescent="0.3">
      <c r="B8" s="35"/>
      <c r="C8" s="40" t="s">
        <v>69</v>
      </c>
      <c r="D8" s="208" t="s">
        <v>70</v>
      </c>
      <c r="E8" s="35"/>
    </row>
    <row r="9" spans="2:5" s="22" customFormat="1" ht="180" customHeight="1" x14ac:dyDescent="0.3">
      <c r="B9" s="35"/>
      <c r="C9" s="40" t="s">
        <v>71</v>
      </c>
      <c r="D9" s="208" t="s">
        <v>72</v>
      </c>
      <c r="E9" s="35"/>
    </row>
    <row r="10" spans="2:5" ht="8.1" customHeight="1" x14ac:dyDescent="0.3">
      <c r="B10" s="23"/>
      <c r="C10" s="23"/>
      <c r="D10" s="23"/>
      <c r="E10" s="23"/>
    </row>
  </sheetData>
  <sheetProtection sheet="1" objects="1" scenarios="1" formatCells="0" formatColumns="0" formatRows="0"/>
  <mergeCells count="1">
    <mergeCell ref="C3:D4"/>
  </mergeCells>
  <pageMargins left="0.7" right="0.7" top="0.38" bottom="0.33" header="0.3" footer="0.3"/>
  <pageSetup paperSize="9" scale="77" orientation="landscape"/>
  <headerFooter>
    <oddFooter>&amp;L&amp;F
Sheet: &amp;A&amp;R&amp;P din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105"/>
  <sheetViews>
    <sheetView topLeftCell="A82" zoomScale="80" workbookViewId="0">
      <selection activeCell="G98" sqref="G98"/>
    </sheetView>
  </sheetViews>
  <sheetFormatPr defaultColWidth="9.109375" defaultRowHeight="14.4" x14ac:dyDescent="0.3"/>
  <cols>
    <col min="1" max="1" width="2.5546875" customWidth="1"/>
    <col min="2" max="2" width="1.44140625" customWidth="1"/>
    <col min="3" max="3" width="46.109375" customWidth="1"/>
    <col min="4" max="5" width="11.88671875" customWidth="1"/>
    <col min="6" max="15" width="15.5546875" customWidth="1"/>
    <col min="16" max="16" width="3.5546875" customWidth="1"/>
    <col min="17" max="17" width="1.5546875" customWidth="1"/>
  </cols>
  <sheetData>
    <row r="2" spans="2:17" ht="8.1" customHeight="1" x14ac:dyDescent="0.3">
      <c r="B2" s="23"/>
      <c r="C2" s="23"/>
      <c r="D2" s="23"/>
      <c r="E2" s="23"/>
      <c r="F2" s="23"/>
      <c r="G2" s="23"/>
      <c r="H2" s="23"/>
      <c r="I2" s="23"/>
      <c r="J2" s="23"/>
      <c r="K2" s="23"/>
      <c r="L2" s="23"/>
      <c r="M2" s="23"/>
      <c r="N2" s="23"/>
      <c r="O2" s="23"/>
      <c r="P2" s="23"/>
      <c r="Q2" s="23"/>
    </row>
    <row r="3" spans="2:17" ht="14.4" customHeight="1" x14ac:dyDescent="0.3">
      <c r="B3" s="23"/>
      <c r="C3" s="227" t="str">
        <f>CONCATENATE("ANALIZA SI PROGNOZA CERERII DE APA SI APA UZATA PENTRU OPERATORUL"," ",'Date generale'!D4)</f>
        <v>ANALIZA SI PROGNOZA CERERII DE APA SI APA UZATA PENTRU OPERATORUL SEVICIUL PUBLIC DE ALIMENTARE CU APA, CANALIZARE SI SALUBRIZARE</v>
      </c>
      <c r="D3" s="227"/>
      <c r="E3" s="227"/>
      <c r="F3" s="227"/>
      <c r="G3" s="227"/>
      <c r="H3" s="227"/>
      <c r="I3" s="227"/>
      <c r="J3" s="227"/>
      <c r="K3" s="227"/>
      <c r="L3" s="227"/>
      <c r="Q3" s="23"/>
    </row>
    <row r="4" spans="2:17" x14ac:dyDescent="0.3">
      <c r="B4" s="23"/>
      <c r="C4" s="227"/>
      <c r="D4" s="227"/>
      <c r="E4" s="227"/>
      <c r="F4" s="227"/>
      <c r="G4" s="227"/>
      <c r="H4" s="227"/>
      <c r="I4" s="227"/>
      <c r="J4" s="227"/>
      <c r="K4" s="227"/>
      <c r="L4" s="227"/>
      <c r="Q4" s="23"/>
    </row>
    <row r="5" spans="2:17" x14ac:dyDescent="0.3">
      <c r="B5" s="23"/>
      <c r="Q5" s="23"/>
    </row>
    <row r="6" spans="2:17" x14ac:dyDescent="0.3">
      <c r="B6" s="23"/>
      <c r="C6" s="81" t="s">
        <v>73</v>
      </c>
      <c r="D6" s="81"/>
      <c r="E6" s="82">
        <f>F6-1</f>
        <v>2022</v>
      </c>
      <c r="F6" s="82">
        <f>G6-1</f>
        <v>2023</v>
      </c>
      <c r="G6" s="177">
        <f>'Date generale'!D8</f>
        <v>2024</v>
      </c>
      <c r="H6" s="178">
        <f t="shared" ref="H6:O6" si="0">G6+1</f>
        <v>2025</v>
      </c>
      <c r="I6" s="178">
        <f t="shared" si="0"/>
        <v>2026</v>
      </c>
      <c r="J6" s="178">
        <f t="shared" si="0"/>
        <v>2027</v>
      </c>
      <c r="K6" s="178">
        <f t="shared" si="0"/>
        <v>2028</v>
      </c>
      <c r="L6" s="178">
        <f t="shared" si="0"/>
        <v>2029</v>
      </c>
      <c r="M6" s="178">
        <f t="shared" si="0"/>
        <v>2030</v>
      </c>
      <c r="N6" s="178">
        <f t="shared" si="0"/>
        <v>2031</v>
      </c>
      <c r="O6" s="178">
        <f t="shared" si="0"/>
        <v>2032</v>
      </c>
      <c r="Q6" s="23"/>
    </row>
    <row r="7" spans="2:17" x14ac:dyDescent="0.3">
      <c r="B7" s="23"/>
      <c r="C7" s="81"/>
      <c r="D7" s="81"/>
      <c r="E7" s="18">
        <f>F7-1</f>
        <v>-3</v>
      </c>
      <c r="F7" s="18">
        <f>G7-1</f>
        <v>-2</v>
      </c>
      <c r="G7" s="55">
        <v>-1</v>
      </c>
      <c r="H7" s="55">
        <v>0</v>
      </c>
      <c r="I7" s="55">
        <f t="shared" ref="I7:O7" si="1">H7+1</f>
        <v>1</v>
      </c>
      <c r="J7" s="55">
        <f t="shared" si="1"/>
        <v>2</v>
      </c>
      <c r="K7" s="55">
        <f t="shared" si="1"/>
        <v>3</v>
      </c>
      <c r="L7" s="55">
        <f t="shared" si="1"/>
        <v>4</v>
      </c>
      <c r="M7" s="55">
        <f t="shared" si="1"/>
        <v>5</v>
      </c>
      <c r="N7" s="55">
        <f t="shared" si="1"/>
        <v>6</v>
      </c>
      <c r="O7" s="55">
        <f t="shared" si="1"/>
        <v>7</v>
      </c>
      <c r="Q7" s="23"/>
    </row>
    <row r="8" spans="2:17" s="24" customFormat="1" ht="28.8" x14ac:dyDescent="0.3">
      <c r="B8" s="61"/>
      <c r="C8" s="86" t="s">
        <v>74</v>
      </c>
      <c r="D8" s="94" t="s">
        <v>75</v>
      </c>
      <c r="E8" s="179">
        <f t="shared" ref="E8:O8" si="2">SUM(E9:E10)</f>
        <v>12018</v>
      </c>
      <c r="F8" s="179">
        <f t="shared" si="2"/>
        <v>12025</v>
      </c>
      <c r="G8" s="179">
        <f t="shared" si="2"/>
        <v>12040</v>
      </c>
      <c r="H8" s="179">
        <f t="shared" si="2"/>
        <v>12160.4</v>
      </c>
      <c r="I8" s="179">
        <f t="shared" si="2"/>
        <v>12160.4</v>
      </c>
      <c r="J8" s="179">
        <f t="shared" si="2"/>
        <v>12160.4</v>
      </c>
      <c r="K8" s="179">
        <f t="shared" si="2"/>
        <v>12160.4</v>
      </c>
      <c r="L8" s="179">
        <f t="shared" si="2"/>
        <v>12160.4</v>
      </c>
      <c r="M8" s="179">
        <f t="shared" si="2"/>
        <v>12160.4</v>
      </c>
      <c r="N8" s="179">
        <f t="shared" si="2"/>
        <v>12160.4</v>
      </c>
      <c r="O8" s="179">
        <f t="shared" si="2"/>
        <v>12160.4</v>
      </c>
      <c r="Q8" s="61"/>
    </row>
    <row r="9" spans="2:17" x14ac:dyDescent="0.3">
      <c r="B9" s="23"/>
      <c r="C9" s="48" t="s">
        <v>76</v>
      </c>
      <c r="D9" s="43" t="s">
        <v>75</v>
      </c>
      <c r="E9" s="87">
        <v>12018</v>
      </c>
      <c r="F9" s="87">
        <v>12025</v>
      </c>
      <c r="G9" s="87">
        <v>12040</v>
      </c>
      <c r="H9" s="88">
        <f t="shared" ref="H9:O10" si="3">G9*(1+H$14)</f>
        <v>12160.4</v>
      </c>
      <c r="I9" s="88">
        <f t="shared" si="3"/>
        <v>12160.4</v>
      </c>
      <c r="J9" s="88">
        <f t="shared" si="3"/>
        <v>12160.4</v>
      </c>
      <c r="K9" s="88">
        <f t="shared" si="3"/>
        <v>12160.4</v>
      </c>
      <c r="L9" s="88">
        <f t="shared" si="3"/>
        <v>12160.4</v>
      </c>
      <c r="M9" s="88">
        <f t="shared" si="3"/>
        <v>12160.4</v>
      </c>
      <c r="N9" s="88">
        <f t="shared" si="3"/>
        <v>12160.4</v>
      </c>
      <c r="O9" s="88">
        <f t="shared" si="3"/>
        <v>12160.4</v>
      </c>
      <c r="Q9" s="23"/>
    </row>
    <row r="10" spans="2:17" x14ac:dyDescent="0.3">
      <c r="B10" s="23"/>
      <c r="C10" s="48" t="s">
        <v>77</v>
      </c>
      <c r="D10" s="43" t="s">
        <v>75</v>
      </c>
      <c r="E10" s="87">
        <v>0</v>
      </c>
      <c r="F10" s="87">
        <v>0</v>
      </c>
      <c r="G10" s="87"/>
      <c r="H10" s="88">
        <f t="shared" si="3"/>
        <v>0</v>
      </c>
      <c r="I10" s="88">
        <f t="shared" si="3"/>
        <v>0</v>
      </c>
      <c r="J10" s="88">
        <f t="shared" si="3"/>
        <v>0</v>
      </c>
      <c r="K10" s="88">
        <f t="shared" si="3"/>
        <v>0</v>
      </c>
      <c r="L10" s="88">
        <f t="shared" si="3"/>
        <v>0</v>
      </c>
      <c r="M10" s="88">
        <f t="shared" si="3"/>
        <v>0</v>
      </c>
      <c r="N10" s="88">
        <f t="shared" si="3"/>
        <v>0</v>
      </c>
      <c r="O10" s="88">
        <f t="shared" si="3"/>
        <v>0</v>
      </c>
      <c r="Q10" s="23"/>
    </row>
    <row r="11" spans="2:17" s="24" customFormat="1" ht="28.8" x14ac:dyDescent="0.3">
      <c r="B11" s="61"/>
      <c r="C11" s="42" t="s">
        <v>78</v>
      </c>
      <c r="D11" s="51" t="s">
        <v>75</v>
      </c>
      <c r="E11" s="62">
        <f t="shared" ref="E11:O11" si="4">SUM(E12:E13)</f>
        <v>12018</v>
      </c>
      <c r="F11" s="62">
        <f t="shared" si="4"/>
        <v>12025</v>
      </c>
      <c r="G11" s="62">
        <f t="shared" si="4"/>
        <v>12040</v>
      </c>
      <c r="H11" s="62">
        <f t="shared" si="4"/>
        <v>12160.4</v>
      </c>
      <c r="I11" s="62">
        <f t="shared" si="4"/>
        <v>12160.4</v>
      </c>
      <c r="J11" s="62">
        <f t="shared" si="4"/>
        <v>12160.4</v>
      </c>
      <c r="K11" s="62">
        <f t="shared" si="4"/>
        <v>12160.4</v>
      </c>
      <c r="L11" s="62">
        <f t="shared" si="4"/>
        <v>12160.4</v>
      </c>
      <c r="M11" s="62">
        <f t="shared" si="4"/>
        <v>12160.4</v>
      </c>
      <c r="N11" s="62">
        <f t="shared" si="4"/>
        <v>12160.4</v>
      </c>
      <c r="O11" s="62">
        <f t="shared" si="4"/>
        <v>12160.4</v>
      </c>
      <c r="Q11" s="61"/>
    </row>
    <row r="12" spans="2:17" x14ac:dyDescent="0.3">
      <c r="B12" s="23"/>
      <c r="C12" s="48" t="s">
        <v>76</v>
      </c>
      <c r="D12" s="43" t="s">
        <v>75</v>
      </c>
      <c r="E12" s="87">
        <v>12018</v>
      </c>
      <c r="F12" s="87">
        <v>12025</v>
      </c>
      <c r="G12" s="87">
        <v>12040</v>
      </c>
      <c r="H12" s="88">
        <f t="shared" ref="H12:O12" si="5">G12*(1+H$14)</f>
        <v>12160.4</v>
      </c>
      <c r="I12" s="88">
        <f t="shared" si="5"/>
        <v>12160.4</v>
      </c>
      <c r="J12" s="88">
        <f t="shared" si="5"/>
        <v>12160.4</v>
      </c>
      <c r="K12" s="88">
        <f t="shared" si="5"/>
        <v>12160.4</v>
      </c>
      <c r="L12" s="88">
        <f t="shared" si="5"/>
        <v>12160.4</v>
      </c>
      <c r="M12" s="88">
        <f t="shared" si="5"/>
        <v>12160.4</v>
      </c>
      <c r="N12" s="88">
        <f t="shared" si="5"/>
        <v>12160.4</v>
      </c>
      <c r="O12" s="88">
        <f t="shared" si="5"/>
        <v>12160.4</v>
      </c>
      <c r="Q12" s="23"/>
    </row>
    <row r="13" spans="2:17" x14ac:dyDescent="0.3">
      <c r="B13" s="23"/>
      <c r="C13" s="48" t="s">
        <v>77</v>
      </c>
      <c r="D13" s="43" t="s">
        <v>75</v>
      </c>
      <c r="E13" s="87">
        <v>0</v>
      </c>
      <c r="F13" s="87">
        <v>0</v>
      </c>
      <c r="G13" s="87"/>
      <c r="H13" s="88">
        <f t="shared" ref="H13:O13" si="6">G13*(1+H$14)</f>
        <v>0</v>
      </c>
      <c r="I13" s="88">
        <f t="shared" si="6"/>
        <v>0</v>
      </c>
      <c r="J13" s="88">
        <f t="shared" si="6"/>
        <v>0</v>
      </c>
      <c r="K13" s="88">
        <f t="shared" si="6"/>
        <v>0</v>
      </c>
      <c r="L13" s="88">
        <f t="shared" si="6"/>
        <v>0</v>
      </c>
      <c r="M13" s="88">
        <f t="shared" si="6"/>
        <v>0</v>
      </c>
      <c r="N13" s="88">
        <f t="shared" si="6"/>
        <v>0</v>
      </c>
      <c r="O13" s="88">
        <f t="shared" si="6"/>
        <v>0</v>
      </c>
      <c r="Q13" s="23"/>
    </row>
    <row r="14" spans="2:17" x14ac:dyDescent="0.3">
      <c r="B14" s="23"/>
      <c r="C14" s="50" t="s">
        <v>79</v>
      </c>
      <c r="D14" s="43" t="s">
        <v>47</v>
      </c>
      <c r="E14" s="43"/>
      <c r="F14" s="43"/>
      <c r="G14" s="43"/>
      <c r="H14" s="159">
        <v>0.01</v>
      </c>
      <c r="I14" s="159"/>
      <c r="J14" s="159"/>
      <c r="K14" s="159"/>
      <c r="L14" s="159"/>
      <c r="M14" s="159"/>
      <c r="N14" s="159"/>
      <c r="O14" s="159"/>
      <c r="Q14" s="23"/>
    </row>
    <row r="15" spans="2:17" x14ac:dyDescent="0.3">
      <c r="B15" s="23"/>
      <c r="C15" s="48"/>
      <c r="D15" s="43"/>
      <c r="E15" s="43"/>
      <c r="F15" s="43"/>
      <c r="G15" s="43"/>
      <c r="H15" s="43"/>
      <c r="I15" s="88"/>
      <c r="J15" s="88"/>
      <c r="K15" s="88"/>
      <c r="L15" s="88"/>
      <c r="M15" s="88"/>
      <c r="N15" s="88"/>
      <c r="O15" s="88"/>
      <c r="Q15" s="23"/>
    </row>
    <row r="16" spans="2:17" x14ac:dyDescent="0.3">
      <c r="B16" s="23"/>
      <c r="C16" s="86" t="s">
        <v>80</v>
      </c>
      <c r="D16" s="167" t="s">
        <v>75</v>
      </c>
      <c r="E16" s="179">
        <f>SUM(E17:E18)</f>
        <v>11938</v>
      </c>
      <c r="F16" s="179">
        <f>SUM(F17:F18)</f>
        <v>11960</v>
      </c>
      <c r="G16" s="179">
        <f>SUM(G17:G18)</f>
        <v>11980</v>
      </c>
      <c r="H16" s="179">
        <f>SUM(H17:H18)</f>
        <v>12099.598</v>
      </c>
      <c r="I16" s="179">
        <f t="shared" ref="I16:O16" si="7">SUM(I17:I18)</f>
        <v>12099.598</v>
      </c>
      <c r="J16" s="179">
        <f t="shared" si="7"/>
        <v>12160.4</v>
      </c>
      <c r="K16" s="179">
        <f t="shared" si="7"/>
        <v>12160.4</v>
      </c>
      <c r="L16" s="179">
        <f t="shared" si="7"/>
        <v>12160.4</v>
      </c>
      <c r="M16" s="179">
        <f t="shared" si="7"/>
        <v>12160.4</v>
      </c>
      <c r="N16" s="179">
        <f t="shared" si="7"/>
        <v>12160.4</v>
      </c>
      <c r="O16" s="179">
        <f t="shared" si="7"/>
        <v>12160.4</v>
      </c>
      <c r="Q16" s="23"/>
    </row>
    <row r="17" spans="2:17" x14ac:dyDescent="0.3">
      <c r="B17" s="23"/>
      <c r="C17" s="48" t="s">
        <v>76</v>
      </c>
      <c r="D17" s="43" t="s">
        <v>75</v>
      </c>
      <c r="E17" s="87">
        <v>11938</v>
      </c>
      <c r="F17" s="87">
        <v>11960</v>
      </c>
      <c r="G17" s="87">
        <v>11980</v>
      </c>
      <c r="H17" s="88">
        <f>H9*H20</f>
        <v>12099.598</v>
      </c>
      <c r="I17" s="88">
        <f t="shared" ref="H17:O18" si="8">I9*I20</f>
        <v>12099.598</v>
      </c>
      <c r="J17" s="88">
        <f t="shared" si="8"/>
        <v>12160.4</v>
      </c>
      <c r="K17" s="88">
        <f t="shared" si="8"/>
        <v>12160.4</v>
      </c>
      <c r="L17" s="88">
        <f t="shared" si="8"/>
        <v>12160.4</v>
      </c>
      <c r="M17" s="88">
        <f t="shared" si="8"/>
        <v>12160.4</v>
      </c>
      <c r="N17" s="88">
        <f t="shared" si="8"/>
        <v>12160.4</v>
      </c>
      <c r="O17" s="88">
        <f t="shared" si="8"/>
        <v>12160.4</v>
      </c>
      <c r="Q17" s="23"/>
    </row>
    <row r="18" spans="2:17" x14ac:dyDescent="0.3">
      <c r="B18" s="23"/>
      <c r="C18" s="48" t="s">
        <v>77</v>
      </c>
      <c r="D18" s="43" t="s">
        <v>75</v>
      </c>
      <c r="E18" s="87">
        <v>0</v>
      </c>
      <c r="F18" s="87">
        <v>0</v>
      </c>
      <c r="G18" s="87">
        <v>0</v>
      </c>
      <c r="H18" s="88">
        <f t="shared" si="8"/>
        <v>0</v>
      </c>
      <c r="I18" s="88">
        <f t="shared" si="8"/>
        <v>0</v>
      </c>
      <c r="J18" s="88">
        <f t="shared" si="8"/>
        <v>0</v>
      </c>
      <c r="K18" s="88">
        <f t="shared" si="8"/>
        <v>0</v>
      </c>
      <c r="L18" s="88">
        <f t="shared" si="8"/>
        <v>0</v>
      </c>
      <c r="M18" s="88">
        <f t="shared" si="8"/>
        <v>0</v>
      </c>
      <c r="N18" s="88">
        <f t="shared" si="8"/>
        <v>0</v>
      </c>
      <c r="O18" s="88">
        <f t="shared" si="8"/>
        <v>0</v>
      </c>
      <c r="Q18" s="23"/>
    </row>
    <row r="19" spans="2:17" x14ac:dyDescent="0.3">
      <c r="B19" s="23"/>
      <c r="C19" s="180" t="s">
        <v>81</v>
      </c>
      <c r="D19" s="94" t="s">
        <v>47</v>
      </c>
      <c r="E19" s="181">
        <f t="shared" ref="E19:O19" si="9">IF(E8&lt;&gt;0,E16/E8,0)</f>
        <v>0.99334331835579959</v>
      </c>
      <c r="F19" s="181">
        <f t="shared" si="9"/>
        <v>0.99459459459459465</v>
      </c>
      <c r="G19" s="181">
        <f t="shared" si="9"/>
        <v>0.99501661129568109</v>
      </c>
      <c r="H19" s="181">
        <f t="shared" si="9"/>
        <v>0.995</v>
      </c>
      <c r="I19" s="181">
        <f t="shared" si="9"/>
        <v>0.995</v>
      </c>
      <c r="J19" s="181">
        <f t="shared" si="9"/>
        <v>1</v>
      </c>
      <c r="K19" s="181">
        <f t="shared" si="9"/>
        <v>1</v>
      </c>
      <c r="L19" s="181">
        <f t="shared" si="9"/>
        <v>1</v>
      </c>
      <c r="M19" s="181">
        <f t="shared" si="9"/>
        <v>1</v>
      </c>
      <c r="N19" s="181">
        <f t="shared" si="9"/>
        <v>1</v>
      </c>
      <c r="O19" s="181">
        <f t="shared" si="9"/>
        <v>1</v>
      </c>
      <c r="Q19" s="23"/>
    </row>
    <row r="20" spans="2:17" x14ac:dyDescent="0.3">
      <c r="B20" s="23"/>
      <c r="C20" s="48" t="s">
        <v>76</v>
      </c>
      <c r="D20" s="43" t="s">
        <v>47</v>
      </c>
      <c r="E20" s="182">
        <f t="shared" ref="E20:G21" si="10">IF(E9&lt;&gt;0,E17/E9,0)</f>
        <v>0.99334331835579959</v>
      </c>
      <c r="F20" s="182">
        <f t="shared" si="10"/>
        <v>0.99459459459459465</v>
      </c>
      <c r="G20" s="182">
        <f t="shared" si="10"/>
        <v>0.99501661129568109</v>
      </c>
      <c r="H20" s="183">
        <v>0.995</v>
      </c>
      <c r="I20" s="183">
        <v>0.995</v>
      </c>
      <c r="J20" s="183">
        <v>1</v>
      </c>
      <c r="K20" s="183">
        <v>1</v>
      </c>
      <c r="L20" s="183">
        <v>1</v>
      </c>
      <c r="M20" s="183">
        <v>1</v>
      </c>
      <c r="N20" s="183">
        <v>1</v>
      </c>
      <c r="O20" s="183">
        <v>1</v>
      </c>
      <c r="Q20" s="23"/>
    </row>
    <row r="21" spans="2:17" x14ac:dyDescent="0.3">
      <c r="B21" s="23"/>
      <c r="C21" s="48" t="s">
        <v>77</v>
      </c>
      <c r="D21" s="43" t="s">
        <v>47</v>
      </c>
      <c r="E21" s="182">
        <f t="shared" si="10"/>
        <v>0</v>
      </c>
      <c r="F21" s="182">
        <f t="shared" si="10"/>
        <v>0</v>
      </c>
      <c r="G21" s="182">
        <f t="shared" si="10"/>
        <v>0</v>
      </c>
      <c r="H21" s="183"/>
      <c r="I21" s="183"/>
      <c r="J21" s="183"/>
      <c r="K21" s="183"/>
      <c r="L21" s="183"/>
      <c r="M21" s="183"/>
      <c r="N21" s="183"/>
      <c r="O21" s="183"/>
      <c r="Q21" s="23"/>
    </row>
    <row r="22" spans="2:17" x14ac:dyDescent="0.3">
      <c r="B22" s="23"/>
      <c r="C22" s="48"/>
      <c r="D22" s="43"/>
      <c r="E22" s="182"/>
      <c r="F22" s="182"/>
      <c r="G22" s="182"/>
      <c r="H22" s="182"/>
      <c r="I22" s="182"/>
      <c r="J22" s="182"/>
      <c r="K22" s="182"/>
      <c r="L22" s="182"/>
      <c r="M22" s="182"/>
      <c r="N22" s="182"/>
      <c r="O22" s="182"/>
      <c r="Q22" s="23"/>
    </row>
    <row r="23" spans="2:17" s="24" customFormat="1" ht="28.8" x14ac:dyDescent="0.3">
      <c r="B23" s="61"/>
      <c r="C23" s="180" t="s">
        <v>82</v>
      </c>
      <c r="D23" s="94" t="s">
        <v>83</v>
      </c>
      <c r="E23" s="184">
        <f>E24+E25</f>
        <v>395210</v>
      </c>
      <c r="F23" s="184">
        <f>F24+F25</f>
        <v>381930</v>
      </c>
      <c r="G23" s="184">
        <f>G24+G25</f>
        <v>390975</v>
      </c>
      <c r="H23" s="184">
        <f>H24+H25</f>
        <v>394878.15760016697</v>
      </c>
      <c r="I23" s="184">
        <f t="shared" ref="I23:O23" si="11">I24+I25</f>
        <v>394878.15760016697</v>
      </c>
      <c r="J23" s="184">
        <f t="shared" si="11"/>
        <v>396862.46994991653</v>
      </c>
      <c r="K23" s="184">
        <f t="shared" si="11"/>
        <v>396862.46994991653</v>
      </c>
      <c r="L23" s="184">
        <f t="shared" si="11"/>
        <v>396862.46994991653</v>
      </c>
      <c r="M23" s="184">
        <f t="shared" si="11"/>
        <v>396862.46994991653</v>
      </c>
      <c r="N23" s="184">
        <f t="shared" si="11"/>
        <v>396862.46994991653</v>
      </c>
      <c r="O23" s="184">
        <f t="shared" si="11"/>
        <v>396862.46994991653</v>
      </c>
      <c r="Q23" s="61"/>
    </row>
    <row r="24" spans="2:17" x14ac:dyDescent="0.3">
      <c r="B24" s="23"/>
      <c r="C24" s="48" t="s">
        <v>76</v>
      </c>
      <c r="D24" s="43" t="s">
        <v>83</v>
      </c>
      <c r="E24" s="87">
        <v>395210</v>
      </c>
      <c r="F24" s="87">
        <v>381930</v>
      </c>
      <c r="G24" s="87">
        <f>390975</f>
        <v>390975</v>
      </c>
      <c r="H24" s="49">
        <f t="shared" ref="H24:O25" si="12">H17*H28*365/1000</f>
        <v>394878.15760016697</v>
      </c>
      <c r="I24" s="49">
        <f t="shared" si="12"/>
        <v>394878.15760016697</v>
      </c>
      <c r="J24" s="49">
        <f t="shared" si="12"/>
        <v>396862.46994991653</v>
      </c>
      <c r="K24" s="49">
        <f t="shared" si="12"/>
        <v>396862.46994991653</v>
      </c>
      <c r="L24" s="49">
        <f t="shared" si="12"/>
        <v>396862.46994991653</v>
      </c>
      <c r="M24" s="49">
        <f t="shared" si="12"/>
        <v>396862.46994991653</v>
      </c>
      <c r="N24" s="49">
        <f t="shared" si="12"/>
        <v>396862.46994991653</v>
      </c>
      <c r="O24" s="49">
        <f t="shared" si="12"/>
        <v>396862.46994991653</v>
      </c>
      <c r="Q24" s="23"/>
    </row>
    <row r="25" spans="2:17" x14ac:dyDescent="0.3">
      <c r="B25" s="23"/>
      <c r="C25" s="48" t="s">
        <v>77</v>
      </c>
      <c r="D25" s="43" t="s">
        <v>83</v>
      </c>
      <c r="E25" s="87"/>
      <c r="F25" s="87"/>
      <c r="G25" s="87">
        <v>0</v>
      </c>
      <c r="H25" s="49">
        <f t="shared" si="12"/>
        <v>0</v>
      </c>
      <c r="I25" s="49">
        <f t="shared" si="12"/>
        <v>0</v>
      </c>
      <c r="J25" s="49">
        <f t="shared" si="12"/>
        <v>0</v>
      </c>
      <c r="K25" s="49">
        <f t="shared" si="12"/>
        <v>0</v>
      </c>
      <c r="L25" s="49">
        <f t="shared" si="12"/>
        <v>0</v>
      </c>
      <c r="M25" s="49">
        <f t="shared" si="12"/>
        <v>0</v>
      </c>
      <c r="N25" s="49">
        <f t="shared" si="12"/>
        <v>0</v>
      </c>
      <c r="O25" s="49">
        <f t="shared" si="12"/>
        <v>0</v>
      </c>
      <c r="Q25" s="23"/>
    </row>
    <row r="26" spans="2:17" x14ac:dyDescent="0.3">
      <c r="B26" s="23"/>
      <c r="C26" s="22"/>
      <c r="D26" s="123"/>
      <c r="E26" s="123"/>
      <c r="F26" s="123"/>
      <c r="G26" s="123"/>
      <c r="H26" s="123"/>
      <c r="I26" s="123"/>
      <c r="J26" s="123"/>
      <c r="K26" s="123"/>
      <c r="L26" s="123"/>
      <c r="M26" s="123"/>
      <c r="N26" s="123"/>
      <c r="O26" s="123"/>
      <c r="Q26" s="23"/>
    </row>
    <row r="27" spans="2:17" s="24" customFormat="1" x14ac:dyDescent="0.3">
      <c r="B27" s="61"/>
      <c r="C27" s="180" t="s">
        <v>84</v>
      </c>
      <c r="D27" s="185"/>
      <c r="E27" s="186">
        <f t="shared" ref="E27:G29" si="13">IF(E16&lt;&gt;0,(E23*1000/E16/365),0)</f>
        <v>90.699206172530666</v>
      </c>
      <c r="F27" s="186">
        <f t="shared" si="13"/>
        <v>87.490264351491277</v>
      </c>
      <c r="G27" s="186">
        <f t="shared" si="13"/>
        <v>89.412719829853415</v>
      </c>
      <c r="H27" s="186">
        <f t="shared" ref="H27:O27" si="14">IF(H16&lt;&gt;0,(H23*1000/H16/365),0)</f>
        <v>89.412719829853415</v>
      </c>
      <c r="I27" s="186">
        <f t="shared" si="14"/>
        <v>89.412719829853415</v>
      </c>
      <c r="J27" s="186">
        <f t="shared" si="14"/>
        <v>89.412719829853415</v>
      </c>
      <c r="K27" s="186">
        <f t="shared" si="14"/>
        <v>89.412719829853415</v>
      </c>
      <c r="L27" s="186">
        <f t="shared" si="14"/>
        <v>89.412719829853415</v>
      </c>
      <c r="M27" s="186">
        <f t="shared" si="14"/>
        <v>89.412719829853415</v>
      </c>
      <c r="N27" s="186">
        <f t="shared" si="14"/>
        <v>89.412719829853415</v>
      </c>
      <c r="O27" s="186">
        <f t="shared" si="14"/>
        <v>89.412719829853415</v>
      </c>
      <c r="Q27" s="61"/>
    </row>
    <row r="28" spans="2:17" x14ac:dyDescent="0.3">
      <c r="B28" s="23"/>
      <c r="C28" s="48" t="s">
        <v>76</v>
      </c>
      <c r="D28" s="187" t="s">
        <v>85</v>
      </c>
      <c r="E28" s="88">
        <f t="shared" si="13"/>
        <v>90.699206172530666</v>
      </c>
      <c r="F28" s="88">
        <f t="shared" si="13"/>
        <v>87.490264351491277</v>
      </c>
      <c r="G28" s="88">
        <f t="shared" si="13"/>
        <v>89.412719829853415</v>
      </c>
      <c r="H28" s="87">
        <f>G28</f>
        <v>89.412719829853415</v>
      </c>
      <c r="I28" s="87">
        <f t="shared" ref="I28:O28" si="15">H28</f>
        <v>89.412719829853415</v>
      </c>
      <c r="J28" s="87">
        <f t="shared" si="15"/>
        <v>89.412719829853415</v>
      </c>
      <c r="K28" s="87">
        <f t="shared" si="15"/>
        <v>89.412719829853415</v>
      </c>
      <c r="L28" s="87">
        <f t="shared" si="15"/>
        <v>89.412719829853415</v>
      </c>
      <c r="M28" s="87">
        <f t="shared" si="15"/>
        <v>89.412719829853415</v>
      </c>
      <c r="N28" s="87">
        <f t="shared" si="15"/>
        <v>89.412719829853415</v>
      </c>
      <c r="O28" s="87">
        <f t="shared" si="15"/>
        <v>89.412719829853415</v>
      </c>
      <c r="Q28" s="23"/>
    </row>
    <row r="29" spans="2:17" x14ac:dyDescent="0.3">
      <c r="B29" s="23"/>
      <c r="C29" s="48" t="s">
        <v>77</v>
      </c>
      <c r="D29" s="187" t="s">
        <v>85</v>
      </c>
      <c r="E29" s="88">
        <f t="shared" si="13"/>
        <v>0</v>
      </c>
      <c r="F29" s="88">
        <f t="shared" si="13"/>
        <v>0</v>
      </c>
      <c r="G29" s="88">
        <f t="shared" si="13"/>
        <v>0</v>
      </c>
      <c r="H29" s="87">
        <f>G29</f>
        <v>0</v>
      </c>
      <c r="I29" s="87">
        <f t="shared" ref="I29:O29" si="16">H29</f>
        <v>0</v>
      </c>
      <c r="J29" s="87">
        <f t="shared" si="16"/>
        <v>0</v>
      </c>
      <c r="K29" s="87">
        <f t="shared" si="16"/>
        <v>0</v>
      </c>
      <c r="L29" s="87">
        <f t="shared" si="16"/>
        <v>0</v>
      </c>
      <c r="M29" s="87">
        <f t="shared" si="16"/>
        <v>0</v>
      </c>
      <c r="N29" s="87">
        <f t="shared" si="16"/>
        <v>0</v>
      </c>
      <c r="O29" s="87">
        <f t="shared" si="16"/>
        <v>0</v>
      </c>
      <c r="Q29" s="23"/>
    </row>
    <row r="30" spans="2:17" x14ac:dyDescent="0.3">
      <c r="B30" s="23"/>
      <c r="C30" s="22"/>
      <c r="D30" s="123"/>
      <c r="E30" s="123"/>
      <c r="F30" s="123"/>
      <c r="G30" s="123"/>
      <c r="H30" s="123"/>
      <c r="I30" s="123"/>
      <c r="J30" s="123"/>
      <c r="K30" s="123"/>
      <c r="L30" s="123"/>
      <c r="M30" s="123"/>
      <c r="N30" s="123"/>
      <c r="O30" s="123"/>
      <c r="Q30" s="23"/>
    </row>
    <row r="31" spans="2:17" ht="28.8" x14ac:dyDescent="0.3">
      <c r="B31" s="23"/>
      <c r="C31" s="89" t="s">
        <v>86</v>
      </c>
      <c r="D31" s="169" t="s">
        <v>75</v>
      </c>
      <c r="E31" s="188">
        <f t="shared" ref="E31:O31" si="17">SUM(E32:E33)</f>
        <v>11570</v>
      </c>
      <c r="F31" s="188">
        <f t="shared" si="17"/>
        <v>11592</v>
      </c>
      <c r="G31" s="188">
        <f t="shared" si="17"/>
        <v>11612</v>
      </c>
      <c r="H31" s="188">
        <f t="shared" si="17"/>
        <v>11734.786</v>
      </c>
      <c r="I31" s="188">
        <f t="shared" si="17"/>
        <v>11795.588</v>
      </c>
      <c r="J31" s="188">
        <f t="shared" si="17"/>
        <v>12160.4</v>
      </c>
      <c r="K31" s="188">
        <f t="shared" si="17"/>
        <v>12160.4</v>
      </c>
      <c r="L31" s="188">
        <f t="shared" si="17"/>
        <v>12160.4</v>
      </c>
      <c r="M31" s="188">
        <f t="shared" si="17"/>
        <v>12160.4</v>
      </c>
      <c r="N31" s="188">
        <f t="shared" si="17"/>
        <v>12160.4</v>
      </c>
      <c r="O31" s="188">
        <f t="shared" si="17"/>
        <v>12099.598</v>
      </c>
      <c r="Q31" s="23"/>
    </row>
    <row r="32" spans="2:17" x14ac:dyDescent="0.3">
      <c r="B32" s="23"/>
      <c r="C32" s="48" t="s">
        <v>76</v>
      </c>
      <c r="D32" s="43" t="s">
        <v>75</v>
      </c>
      <c r="E32" s="87">
        <v>11570</v>
      </c>
      <c r="F32" s="87">
        <v>11592</v>
      </c>
      <c r="G32" s="87">
        <v>11612</v>
      </c>
      <c r="H32" s="88">
        <f>H12*H35</f>
        <v>11734.786</v>
      </c>
      <c r="I32" s="88">
        <f t="shared" ref="I32:O32" si="18">I12*I35</f>
        <v>11795.588</v>
      </c>
      <c r="J32" s="88">
        <f t="shared" si="18"/>
        <v>12160.4</v>
      </c>
      <c r="K32" s="88">
        <f t="shared" si="18"/>
        <v>12160.4</v>
      </c>
      <c r="L32" s="88">
        <f t="shared" si="18"/>
        <v>12160.4</v>
      </c>
      <c r="M32" s="88">
        <f t="shared" si="18"/>
        <v>12160.4</v>
      </c>
      <c r="N32" s="88">
        <f t="shared" si="18"/>
        <v>12160.4</v>
      </c>
      <c r="O32" s="88">
        <f t="shared" si="18"/>
        <v>12099.598</v>
      </c>
      <c r="Q32" s="23"/>
    </row>
    <row r="33" spans="2:17" x14ac:dyDescent="0.3">
      <c r="B33" s="23"/>
      <c r="C33" s="48" t="s">
        <v>77</v>
      </c>
      <c r="D33" s="43" t="s">
        <v>75</v>
      </c>
      <c r="E33" s="87">
        <v>0</v>
      </c>
      <c r="F33" s="87">
        <v>0</v>
      </c>
      <c r="G33" s="87">
        <v>0</v>
      </c>
      <c r="H33" s="88">
        <f>H13*H36</f>
        <v>0</v>
      </c>
      <c r="I33" s="88">
        <f t="shared" ref="I33:O33" si="19">I13*I36</f>
        <v>0</v>
      </c>
      <c r="J33" s="88">
        <f t="shared" si="19"/>
        <v>0</v>
      </c>
      <c r="K33" s="88">
        <f t="shared" si="19"/>
        <v>0</v>
      </c>
      <c r="L33" s="88">
        <f t="shared" si="19"/>
        <v>0</v>
      </c>
      <c r="M33" s="88">
        <f t="shared" si="19"/>
        <v>0</v>
      </c>
      <c r="N33" s="88">
        <f t="shared" si="19"/>
        <v>0</v>
      </c>
      <c r="O33" s="88">
        <f t="shared" si="19"/>
        <v>0</v>
      </c>
      <c r="Q33" s="23"/>
    </row>
    <row r="34" spans="2:17" ht="28.8" x14ac:dyDescent="0.3">
      <c r="B34" s="23"/>
      <c r="C34" s="189" t="s">
        <v>87</v>
      </c>
      <c r="D34" s="111" t="s">
        <v>47</v>
      </c>
      <c r="E34" s="190">
        <f>IF(E11&lt;&gt;0,E31/E11,0)</f>
        <v>0.96272258279247791</v>
      </c>
      <c r="F34" s="190">
        <f>IF(F11&lt;&gt;0,F31/F11,0)</f>
        <v>0.963991683991684</v>
      </c>
      <c r="G34" s="190">
        <f>IF(G11&lt;&gt;0,G31/G11,0)</f>
        <v>0.96445182724252487</v>
      </c>
      <c r="H34" s="190">
        <f>IF(H11&lt;&gt;0,H31/H11,0)</f>
        <v>0.96500000000000008</v>
      </c>
      <c r="I34" s="190">
        <f t="shared" ref="I34:O34" si="20">IF(I11&lt;&gt;0,I31/I11,0)</f>
        <v>0.97</v>
      </c>
      <c r="J34" s="190">
        <f t="shared" si="20"/>
        <v>1</v>
      </c>
      <c r="K34" s="190">
        <f t="shared" si="20"/>
        <v>1</v>
      </c>
      <c r="L34" s="190">
        <f t="shared" si="20"/>
        <v>1</v>
      </c>
      <c r="M34" s="190">
        <f t="shared" si="20"/>
        <v>1</v>
      </c>
      <c r="N34" s="190">
        <f t="shared" si="20"/>
        <v>1</v>
      </c>
      <c r="O34" s="190">
        <f t="shared" si="20"/>
        <v>0.995</v>
      </c>
      <c r="Q34" s="23"/>
    </row>
    <row r="35" spans="2:17" x14ac:dyDescent="0.3">
      <c r="B35" s="23"/>
      <c r="C35" s="48" t="s">
        <v>76</v>
      </c>
      <c r="D35" s="43" t="s">
        <v>47</v>
      </c>
      <c r="E35" s="182">
        <f t="shared" ref="E35:G36" si="21">IF(E12&lt;&gt;0,E32/E12,0)</f>
        <v>0.96272258279247791</v>
      </c>
      <c r="F35" s="182">
        <f t="shared" si="21"/>
        <v>0.963991683991684</v>
      </c>
      <c r="G35" s="182">
        <f t="shared" si="21"/>
        <v>0.96445182724252487</v>
      </c>
      <c r="H35" s="183">
        <v>0.96499999999999997</v>
      </c>
      <c r="I35" s="183">
        <v>0.97</v>
      </c>
      <c r="J35" s="183">
        <v>1</v>
      </c>
      <c r="K35" s="183">
        <v>1</v>
      </c>
      <c r="L35" s="183">
        <v>1</v>
      </c>
      <c r="M35" s="183">
        <v>1</v>
      </c>
      <c r="N35" s="183">
        <v>1</v>
      </c>
      <c r="O35" s="183">
        <v>0.995</v>
      </c>
      <c r="Q35" s="23"/>
    </row>
    <row r="36" spans="2:17" x14ac:dyDescent="0.3">
      <c r="B36" s="23"/>
      <c r="C36" s="48" t="s">
        <v>77</v>
      </c>
      <c r="D36" s="43" t="s">
        <v>47</v>
      </c>
      <c r="E36" s="182">
        <f t="shared" si="21"/>
        <v>0</v>
      </c>
      <c r="F36" s="182">
        <f t="shared" si="21"/>
        <v>0</v>
      </c>
      <c r="G36" s="182">
        <f t="shared" si="21"/>
        <v>0</v>
      </c>
      <c r="H36" s="183"/>
      <c r="I36" s="183"/>
      <c r="J36" s="183"/>
      <c r="K36" s="183"/>
      <c r="L36" s="183"/>
      <c r="M36" s="183"/>
      <c r="N36" s="183"/>
      <c r="O36" s="183"/>
      <c r="Q36" s="23"/>
    </row>
    <row r="37" spans="2:17" x14ac:dyDescent="0.3">
      <c r="B37" s="23"/>
      <c r="C37" s="48"/>
      <c r="D37" s="43"/>
      <c r="E37" s="182"/>
      <c r="F37" s="182"/>
      <c r="G37" s="182"/>
      <c r="H37" s="182"/>
      <c r="I37" s="182"/>
      <c r="J37" s="182"/>
      <c r="K37" s="182"/>
      <c r="L37" s="182"/>
      <c r="M37" s="182"/>
      <c r="N37" s="182"/>
      <c r="O37" s="182"/>
      <c r="Q37" s="23"/>
    </row>
    <row r="38" spans="2:17" s="24" customFormat="1" ht="28.8" x14ac:dyDescent="0.3">
      <c r="B38" s="61"/>
      <c r="C38" s="189" t="s">
        <v>88</v>
      </c>
      <c r="D38" s="111" t="s">
        <v>83</v>
      </c>
      <c r="E38" s="191">
        <f t="shared" ref="E38:O38" si="22">SUM(E39:E40)</f>
        <v>299399</v>
      </c>
      <c r="F38" s="191">
        <f t="shared" si="22"/>
        <v>346845</v>
      </c>
      <c r="G38" s="191">
        <f t="shared" si="22"/>
        <v>363202</v>
      </c>
      <c r="H38" s="191">
        <f t="shared" si="22"/>
        <v>367042.52021805028</v>
      </c>
      <c r="I38" s="191">
        <f t="shared" si="22"/>
        <v>368944.29493420594</v>
      </c>
      <c r="J38" s="191">
        <f t="shared" si="22"/>
        <v>380354.94323114021</v>
      </c>
      <c r="K38" s="191">
        <f t="shared" si="22"/>
        <v>380354.94323114021</v>
      </c>
      <c r="L38" s="191">
        <f t="shared" si="22"/>
        <v>380354.94323114021</v>
      </c>
      <c r="M38" s="191">
        <f t="shared" si="22"/>
        <v>380354.94323114021</v>
      </c>
      <c r="N38" s="191">
        <f t="shared" si="22"/>
        <v>380354.94323114021</v>
      </c>
      <c r="O38" s="191">
        <f t="shared" si="22"/>
        <v>378453.16851498449</v>
      </c>
      <c r="Q38" s="61"/>
    </row>
    <row r="39" spans="2:17" x14ac:dyDescent="0.3">
      <c r="B39" s="23"/>
      <c r="C39" s="48" t="s">
        <v>76</v>
      </c>
      <c r="D39" s="43" t="s">
        <v>83</v>
      </c>
      <c r="E39" s="87">
        <v>299399</v>
      </c>
      <c r="F39" s="87">
        <v>346845</v>
      </c>
      <c r="G39" s="87">
        <v>363202</v>
      </c>
      <c r="H39" s="49">
        <f>H32*H43*365/1000</f>
        <v>367042.52021805028</v>
      </c>
      <c r="I39" s="49">
        <f t="shared" ref="H39:O40" si="23">I32*I43*365/1000</f>
        <v>368944.29493420594</v>
      </c>
      <c r="J39" s="49">
        <f t="shared" si="23"/>
        <v>380354.94323114021</v>
      </c>
      <c r="K39" s="49">
        <f t="shared" si="23"/>
        <v>380354.94323114021</v>
      </c>
      <c r="L39" s="49">
        <f t="shared" si="23"/>
        <v>380354.94323114021</v>
      </c>
      <c r="M39" s="49">
        <f t="shared" si="23"/>
        <v>380354.94323114021</v>
      </c>
      <c r="N39" s="49">
        <f t="shared" si="23"/>
        <v>380354.94323114021</v>
      </c>
      <c r="O39" s="49">
        <f t="shared" si="23"/>
        <v>378453.16851498449</v>
      </c>
      <c r="Q39" s="23"/>
    </row>
    <row r="40" spans="2:17" x14ac:dyDescent="0.3">
      <c r="B40" s="23"/>
      <c r="C40" s="48" t="s">
        <v>77</v>
      </c>
      <c r="D40" s="43" t="s">
        <v>83</v>
      </c>
      <c r="E40" s="87"/>
      <c r="F40" s="87"/>
      <c r="G40" s="87">
        <v>0</v>
      </c>
      <c r="H40" s="49">
        <f t="shared" si="23"/>
        <v>0</v>
      </c>
      <c r="I40" s="49">
        <f t="shared" si="23"/>
        <v>0</v>
      </c>
      <c r="J40" s="49">
        <f t="shared" si="23"/>
        <v>0</v>
      </c>
      <c r="K40" s="49">
        <f t="shared" si="23"/>
        <v>0</v>
      </c>
      <c r="L40" s="49">
        <f t="shared" si="23"/>
        <v>0</v>
      </c>
      <c r="M40" s="49">
        <f t="shared" si="23"/>
        <v>0</v>
      </c>
      <c r="N40" s="49">
        <f t="shared" si="23"/>
        <v>0</v>
      </c>
      <c r="O40" s="49">
        <f t="shared" si="23"/>
        <v>0</v>
      </c>
      <c r="Q40" s="23"/>
    </row>
    <row r="41" spans="2:17" x14ac:dyDescent="0.3">
      <c r="B41" s="23"/>
      <c r="C41" s="22"/>
      <c r="D41" s="123"/>
      <c r="E41" s="123"/>
      <c r="F41" s="123"/>
      <c r="G41" s="123"/>
      <c r="H41" s="123"/>
      <c r="I41" s="123"/>
      <c r="J41" s="123"/>
      <c r="K41" s="123"/>
      <c r="L41" s="123"/>
      <c r="M41" s="123"/>
      <c r="N41" s="123"/>
      <c r="O41" s="123"/>
      <c r="Q41" s="23"/>
    </row>
    <row r="42" spans="2:17" s="24" customFormat="1" x14ac:dyDescent="0.3">
      <c r="B42" s="61"/>
      <c r="C42" s="189" t="s">
        <v>89</v>
      </c>
      <c r="D42" s="192"/>
      <c r="E42" s="193">
        <f t="shared" ref="E42:G44" si="24">IF(E31&lt;&gt;0,(E38*1000/E31/365),0)</f>
        <v>70.896390049845493</v>
      </c>
      <c r="F42" s="193">
        <f t="shared" si="24"/>
        <v>81.975523979693136</v>
      </c>
      <c r="G42" s="193">
        <f t="shared" si="24"/>
        <v>85.693590475606243</v>
      </c>
      <c r="H42" s="193">
        <f t="shared" ref="H42:O42" si="25">IF(H31&lt;&gt;0,(H38*1000/H31/365),0)</f>
        <v>85.693590475606257</v>
      </c>
      <c r="I42" s="193">
        <f t="shared" si="25"/>
        <v>85.693590475606243</v>
      </c>
      <c r="J42" s="193">
        <f t="shared" si="25"/>
        <v>85.693590475606257</v>
      </c>
      <c r="K42" s="193">
        <f t="shared" si="25"/>
        <v>85.693590475606257</v>
      </c>
      <c r="L42" s="193">
        <f t="shared" si="25"/>
        <v>85.693590475606257</v>
      </c>
      <c r="M42" s="193">
        <f t="shared" si="25"/>
        <v>85.693590475606257</v>
      </c>
      <c r="N42" s="193">
        <f t="shared" si="25"/>
        <v>85.693590475606257</v>
      </c>
      <c r="O42" s="193">
        <f t="shared" si="25"/>
        <v>85.693590475606243</v>
      </c>
      <c r="Q42" s="61"/>
    </row>
    <row r="43" spans="2:17" x14ac:dyDescent="0.3">
      <c r="B43" s="23"/>
      <c r="C43" s="48" t="s">
        <v>76</v>
      </c>
      <c r="D43" s="187" t="s">
        <v>85</v>
      </c>
      <c r="E43" s="88">
        <f t="shared" si="24"/>
        <v>70.896390049845493</v>
      </c>
      <c r="F43" s="88">
        <f t="shared" si="24"/>
        <v>81.975523979693136</v>
      </c>
      <c r="G43" s="88">
        <f t="shared" si="24"/>
        <v>85.693590475606243</v>
      </c>
      <c r="H43" s="87">
        <f>G43</f>
        <v>85.693590475606243</v>
      </c>
      <c r="I43" s="87">
        <f t="shared" ref="I43:O43" si="26">H43</f>
        <v>85.693590475606243</v>
      </c>
      <c r="J43" s="87">
        <f t="shared" si="26"/>
        <v>85.693590475606243</v>
      </c>
      <c r="K43" s="87">
        <f t="shared" si="26"/>
        <v>85.693590475606243</v>
      </c>
      <c r="L43" s="87">
        <f t="shared" si="26"/>
        <v>85.693590475606243</v>
      </c>
      <c r="M43" s="87">
        <f t="shared" si="26"/>
        <v>85.693590475606243</v>
      </c>
      <c r="N43" s="87">
        <f t="shared" si="26"/>
        <v>85.693590475606243</v>
      </c>
      <c r="O43" s="87">
        <f t="shared" si="26"/>
        <v>85.693590475606243</v>
      </c>
      <c r="Q43" s="23"/>
    </row>
    <row r="44" spans="2:17" x14ac:dyDescent="0.3">
      <c r="B44" s="23"/>
      <c r="C44" s="48" t="s">
        <v>77</v>
      </c>
      <c r="D44" s="187" t="s">
        <v>85</v>
      </c>
      <c r="E44" s="88">
        <f t="shared" si="24"/>
        <v>0</v>
      </c>
      <c r="F44" s="88">
        <f t="shared" si="24"/>
        <v>0</v>
      </c>
      <c r="G44" s="88">
        <f t="shared" si="24"/>
        <v>0</v>
      </c>
      <c r="H44" s="87">
        <f>G44</f>
        <v>0</v>
      </c>
      <c r="I44" s="87">
        <f t="shared" ref="I44:O44" si="27">H44</f>
        <v>0</v>
      </c>
      <c r="J44" s="87">
        <f t="shared" si="27"/>
        <v>0</v>
      </c>
      <c r="K44" s="87">
        <f t="shared" si="27"/>
        <v>0</v>
      </c>
      <c r="L44" s="87">
        <f t="shared" si="27"/>
        <v>0</v>
      </c>
      <c r="M44" s="87">
        <f t="shared" si="27"/>
        <v>0</v>
      </c>
      <c r="N44" s="87">
        <f t="shared" si="27"/>
        <v>0</v>
      </c>
      <c r="O44" s="87">
        <f t="shared" si="27"/>
        <v>0</v>
      </c>
      <c r="Q44" s="23"/>
    </row>
    <row r="45" spans="2:17" x14ac:dyDescent="0.3">
      <c r="B45" s="23"/>
      <c r="Q45" s="23"/>
    </row>
    <row r="46" spans="2:17" s="53" customFormat="1" ht="28.35" customHeight="1" x14ac:dyDescent="0.3">
      <c r="B46" s="23"/>
      <c r="C46" s="86" t="s">
        <v>90</v>
      </c>
      <c r="D46" s="94" t="s">
        <v>83</v>
      </c>
      <c r="E46" s="179">
        <f>SUM(E47:E48)</f>
        <v>83357</v>
      </c>
      <c r="F46" s="179">
        <f>SUM(F47:F48)</f>
        <v>85261</v>
      </c>
      <c r="G46" s="179">
        <f>SUM(G47:G48)</f>
        <v>72835</v>
      </c>
      <c r="H46" s="179">
        <f t="shared" ref="H46:O46" si="28">SUM(H47:H48)</f>
        <v>75020.05</v>
      </c>
      <c r="I46" s="179">
        <f t="shared" si="28"/>
        <v>82522.055000000008</v>
      </c>
      <c r="J46" s="179">
        <f t="shared" si="28"/>
        <v>82522.055000000008</v>
      </c>
      <c r="K46" s="179">
        <f t="shared" si="28"/>
        <v>82522.055000000008</v>
      </c>
      <c r="L46" s="179">
        <f t="shared" si="28"/>
        <v>82522.055000000008</v>
      </c>
      <c r="M46" s="179">
        <f t="shared" si="28"/>
        <v>82522.055000000008</v>
      </c>
      <c r="N46" s="179">
        <f t="shared" si="28"/>
        <v>82522.055000000008</v>
      </c>
      <c r="O46" s="179">
        <f t="shared" si="28"/>
        <v>82522.055000000008</v>
      </c>
      <c r="Q46" s="23"/>
    </row>
    <row r="47" spans="2:17" s="22" customFormat="1" x14ac:dyDescent="0.3">
      <c r="B47" s="23"/>
      <c r="C47" s="48" t="s">
        <v>76</v>
      </c>
      <c r="D47" s="43" t="s">
        <v>83</v>
      </c>
      <c r="E47" s="87">
        <v>83357</v>
      </c>
      <c r="F47" s="87">
        <v>85261</v>
      </c>
      <c r="G47" s="87">
        <v>72835</v>
      </c>
      <c r="H47" s="194">
        <f t="shared" ref="H47:O48" si="29">G47*(1+H50)</f>
        <v>75020.05</v>
      </c>
      <c r="I47" s="194">
        <f t="shared" si="29"/>
        <v>82522.055000000008</v>
      </c>
      <c r="J47" s="194">
        <f t="shared" si="29"/>
        <v>82522.055000000008</v>
      </c>
      <c r="K47" s="194">
        <f t="shared" si="29"/>
        <v>82522.055000000008</v>
      </c>
      <c r="L47" s="194">
        <f t="shared" si="29"/>
        <v>82522.055000000008</v>
      </c>
      <c r="M47" s="194">
        <f t="shared" si="29"/>
        <v>82522.055000000008</v>
      </c>
      <c r="N47" s="194">
        <f t="shared" si="29"/>
        <v>82522.055000000008</v>
      </c>
      <c r="O47" s="194">
        <f t="shared" si="29"/>
        <v>82522.055000000008</v>
      </c>
      <c r="Q47" s="23"/>
    </row>
    <row r="48" spans="2:17" s="22" customFormat="1" x14ac:dyDescent="0.3">
      <c r="B48" s="23"/>
      <c r="C48" s="48" t="s">
        <v>77</v>
      </c>
      <c r="D48" s="43" t="s">
        <v>83</v>
      </c>
      <c r="E48" s="87">
        <v>0</v>
      </c>
      <c r="F48" s="87">
        <v>0</v>
      </c>
      <c r="G48" s="87">
        <v>0</v>
      </c>
      <c r="H48" s="194">
        <f t="shared" si="29"/>
        <v>0</v>
      </c>
      <c r="I48" s="194">
        <f t="shared" si="29"/>
        <v>0</v>
      </c>
      <c r="J48" s="194">
        <f t="shared" si="29"/>
        <v>0</v>
      </c>
      <c r="K48" s="194">
        <f t="shared" si="29"/>
        <v>0</v>
      </c>
      <c r="L48" s="194">
        <f t="shared" si="29"/>
        <v>0</v>
      </c>
      <c r="M48" s="194">
        <f t="shared" si="29"/>
        <v>0</v>
      </c>
      <c r="N48" s="194">
        <f t="shared" si="29"/>
        <v>0</v>
      </c>
      <c r="O48" s="194">
        <f t="shared" si="29"/>
        <v>0</v>
      </c>
      <c r="Q48" s="23"/>
    </row>
    <row r="49" spans="2:17" s="53" customFormat="1" x14ac:dyDescent="0.3">
      <c r="B49" s="23"/>
      <c r="C49" s="66" t="s">
        <v>91</v>
      </c>
      <c r="D49" s="51" t="s">
        <v>47</v>
      </c>
      <c r="E49" s="195" t="s">
        <v>92</v>
      </c>
      <c r="F49" s="196">
        <f t="shared" ref="F49:O49" si="30">IF(E46&lt;&gt;0,F46/E46-1,"n/a")</f>
        <v>2.2841513010305015E-2</v>
      </c>
      <c r="G49" s="196">
        <f t="shared" si="30"/>
        <v>-0.14574072553688089</v>
      </c>
      <c r="H49" s="196">
        <f t="shared" si="30"/>
        <v>3.0000000000000027E-2</v>
      </c>
      <c r="I49" s="196">
        <f t="shared" si="30"/>
        <v>0.10000000000000009</v>
      </c>
      <c r="J49" s="196">
        <f t="shared" si="30"/>
        <v>0</v>
      </c>
      <c r="K49" s="196">
        <f t="shared" si="30"/>
        <v>0</v>
      </c>
      <c r="L49" s="196">
        <f t="shared" si="30"/>
        <v>0</v>
      </c>
      <c r="M49" s="196">
        <f t="shared" si="30"/>
        <v>0</v>
      </c>
      <c r="N49" s="196">
        <f t="shared" si="30"/>
        <v>0</v>
      </c>
      <c r="O49" s="196">
        <f t="shared" si="30"/>
        <v>0</v>
      </c>
      <c r="Q49" s="23"/>
    </row>
    <row r="50" spans="2:17" s="22" customFormat="1" x14ac:dyDescent="0.3">
      <c r="B50" s="23"/>
      <c r="C50" s="48" t="s">
        <v>76</v>
      </c>
      <c r="D50" s="43" t="s">
        <v>47</v>
      </c>
      <c r="E50" s="92" t="s">
        <v>92</v>
      </c>
      <c r="F50" s="197">
        <f>IF(E47&lt;&gt;0,F47/E47-1,"n/a")</f>
        <v>2.2841513010305015E-2</v>
      </c>
      <c r="G50" s="197">
        <f>IF(F47&lt;&gt;0,G47/F47-1,"n/a")</f>
        <v>-0.14574072553688089</v>
      </c>
      <c r="H50" s="198">
        <v>0.03</v>
      </c>
      <c r="I50" s="198">
        <v>0.1</v>
      </c>
      <c r="J50" s="198"/>
      <c r="K50" s="198"/>
      <c r="L50" s="198"/>
      <c r="M50" s="198"/>
      <c r="N50" s="198"/>
      <c r="O50" s="198"/>
      <c r="Q50" s="23"/>
    </row>
    <row r="51" spans="2:17" s="22" customFormat="1" x14ac:dyDescent="0.3">
      <c r="B51" s="23"/>
      <c r="C51" s="48" t="s">
        <v>77</v>
      </c>
      <c r="D51" s="43" t="s">
        <v>47</v>
      </c>
      <c r="E51" s="92" t="s">
        <v>92</v>
      </c>
      <c r="F51" s="197" t="str">
        <f>IF(E48&lt;&gt;0,F48/E48-1,"n/a")</f>
        <v>n/a</v>
      </c>
      <c r="G51" s="197" t="str">
        <f>IF(F48&lt;&gt;0,G48/F48-1,"n/a")</f>
        <v>n/a</v>
      </c>
      <c r="H51" s="198"/>
      <c r="I51" s="198"/>
      <c r="J51" s="198"/>
      <c r="K51" s="198"/>
      <c r="L51" s="198"/>
      <c r="M51" s="198"/>
      <c r="N51" s="198"/>
      <c r="O51" s="198"/>
      <c r="Q51" s="23"/>
    </row>
    <row r="52" spans="2:17" s="22" customFormat="1" x14ac:dyDescent="0.3">
      <c r="B52" s="23"/>
      <c r="C52" s="48"/>
      <c r="D52" s="43"/>
      <c r="E52" s="40"/>
      <c r="F52" s="40"/>
      <c r="G52" s="40"/>
      <c r="H52" s="40"/>
      <c r="I52" s="40"/>
      <c r="J52" s="40"/>
      <c r="K52" s="40"/>
      <c r="L52" s="40"/>
      <c r="M52" s="40"/>
      <c r="N52" s="40"/>
      <c r="O52" s="40"/>
      <c r="Q52" s="23"/>
    </row>
    <row r="53" spans="2:17" s="53" customFormat="1" ht="28.35" customHeight="1" x14ac:dyDescent="0.3">
      <c r="B53" s="23"/>
      <c r="C53" s="89" t="s">
        <v>93</v>
      </c>
      <c r="D53" s="111" t="s">
        <v>83</v>
      </c>
      <c r="E53" s="188">
        <f t="shared" ref="E53:O53" si="31">SUM(E54:E55)</f>
        <v>71377</v>
      </c>
      <c r="F53" s="188">
        <f t="shared" si="31"/>
        <v>81880</v>
      </c>
      <c r="G53" s="188">
        <f t="shared" si="31"/>
        <v>73700</v>
      </c>
      <c r="H53" s="188">
        <f t="shared" si="31"/>
        <v>75020</v>
      </c>
      <c r="I53" s="188">
        <f t="shared" si="31"/>
        <v>82522</v>
      </c>
      <c r="J53" s="188">
        <f t="shared" si="31"/>
        <v>82522</v>
      </c>
      <c r="K53" s="188">
        <f t="shared" si="31"/>
        <v>82522</v>
      </c>
      <c r="L53" s="188">
        <f t="shared" si="31"/>
        <v>82522</v>
      </c>
      <c r="M53" s="188">
        <f t="shared" si="31"/>
        <v>82522</v>
      </c>
      <c r="N53" s="188">
        <f t="shared" si="31"/>
        <v>82522</v>
      </c>
      <c r="O53" s="188">
        <f t="shared" si="31"/>
        <v>86648.1</v>
      </c>
      <c r="Q53" s="23"/>
    </row>
    <row r="54" spans="2:17" s="22" customFormat="1" x14ac:dyDescent="0.3">
      <c r="B54" s="23"/>
      <c r="C54" s="48" t="s">
        <v>76</v>
      </c>
      <c r="D54" s="43" t="s">
        <v>83</v>
      </c>
      <c r="E54" s="87">
        <v>71377</v>
      </c>
      <c r="F54" s="87">
        <v>81880</v>
      </c>
      <c r="G54" s="87">
        <v>73700</v>
      </c>
      <c r="H54" s="194">
        <f t="shared" ref="H54:O55" si="32">G54*(1+H57)</f>
        <v>75020</v>
      </c>
      <c r="I54" s="194">
        <f t="shared" si="32"/>
        <v>82522</v>
      </c>
      <c r="J54" s="194">
        <f t="shared" si="32"/>
        <v>82522</v>
      </c>
      <c r="K54" s="194">
        <f t="shared" si="32"/>
        <v>82522</v>
      </c>
      <c r="L54" s="194">
        <f t="shared" si="32"/>
        <v>82522</v>
      </c>
      <c r="M54" s="194">
        <f t="shared" si="32"/>
        <v>82522</v>
      </c>
      <c r="N54" s="194">
        <f t="shared" si="32"/>
        <v>82522</v>
      </c>
      <c r="O54" s="194">
        <f t="shared" si="32"/>
        <v>86648.1</v>
      </c>
      <c r="Q54" s="23"/>
    </row>
    <row r="55" spans="2:17" s="22" customFormat="1" x14ac:dyDescent="0.3">
      <c r="B55" s="23"/>
      <c r="C55" s="48" t="s">
        <v>77</v>
      </c>
      <c r="D55" s="43" t="s">
        <v>83</v>
      </c>
      <c r="E55" s="87">
        <v>0</v>
      </c>
      <c r="F55" s="87">
        <v>0</v>
      </c>
      <c r="G55" s="87">
        <v>0</v>
      </c>
      <c r="H55" s="194">
        <f t="shared" si="32"/>
        <v>0</v>
      </c>
      <c r="I55" s="194">
        <f t="shared" si="32"/>
        <v>0</v>
      </c>
      <c r="J55" s="194">
        <f t="shared" si="32"/>
        <v>0</v>
      </c>
      <c r="K55" s="194">
        <f t="shared" si="32"/>
        <v>0</v>
      </c>
      <c r="L55" s="194">
        <f t="shared" si="32"/>
        <v>0</v>
      </c>
      <c r="M55" s="194">
        <f t="shared" si="32"/>
        <v>0</v>
      </c>
      <c r="N55" s="194">
        <f t="shared" si="32"/>
        <v>0</v>
      </c>
      <c r="O55" s="194">
        <f t="shared" si="32"/>
        <v>0</v>
      </c>
      <c r="Q55" s="23"/>
    </row>
    <row r="56" spans="2:17" s="53" customFormat="1" x14ac:dyDescent="0.3">
      <c r="B56" s="23"/>
      <c r="C56" s="66" t="s">
        <v>94</v>
      </c>
      <c r="D56" s="51" t="s">
        <v>47</v>
      </c>
      <c r="E56" s="195" t="s">
        <v>92</v>
      </c>
      <c r="F56" s="196">
        <f t="shared" ref="F56:O56" si="33">IF(E53&lt;&gt;0,F53/E53-1,"n/a")</f>
        <v>0.14714824103002377</v>
      </c>
      <c r="G56" s="196">
        <f t="shared" si="33"/>
        <v>-9.9902296042989724E-2</v>
      </c>
      <c r="H56" s="196">
        <f t="shared" si="33"/>
        <v>1.7910447761193993E-2</v>
      </c>
      <c r="I56" s="196">
        <f t="shared" si="33"/>
        <v>0.10000000000000009</v>
      </c>
      <c r="J56" s="196">
        <f t="shared" si="33"/>
        <v>0</v>
      </c>
      <c r="K56" s="196">
        <f t="shared" si="33"/>
        <v>0</v>
      </c>
      <c r="L56" s="196">
        <f t="shared" si="33"/>
        <v>0</v>
      </c>
      <c r="M56" s="196">
        <f t="shared" si="33"/>
        <v>0</v>
      </c>
      <c r="N56" s="196">
        <f t="shared" si="33"/>
        <v>0</v>
      </c>
      <c r="O56" s="196">
        <f t="shared" si="33"/>
        <v>5.0000000000000044E-2</v>
      </c>
      <c r="Q56" s="23"/>
    </row>
    <row r="57" spans="2:17" s="22" customFormat="1" x14ac:dyDescent="0.3">
      <c r="B57" s="23"/>
      <c r="C57" s="48" t="s">
        <v>76</v>
      </c>
      <c r="D57" s="43" t="s">
        <v>47</v>
      </c>
      <c r="E57" s="92" t="s">
        <v>92</v>
      </c>
      <c r="F57" s="197">
        <f>IF(E54&lt;&gt;0,F54/E54-1,"n/a")</f>
        <v>0.14714824103002377</v>
      </c>
      <c r="G57" s="197">
        <f>IF(F54&lt;&gt;0,G54/F54-1,"n/a")</f>
        <v>-9.9902296042989724E-2</v>
      </c>
      <c r="H57" s="198">
        <v>1.7910447761194059E-2</v>
      </c>
      <c r="I57" s="198">
        <f>I50</f>
        <v>0.1</v>
      </c>
      <c r="J57" s="198"/>
      <c r="K57" s="198"/>
      <c r="L57" s="198"/>
      <c r="M57" s="198"/>
      <c r="N57" s="198"/>
      <c r="O57" s="198">
        <v>0.05</v>
      </c>
      <c r="Q57" s="23"/>
    </row>
    <row r="58" spans="2:17" s="22" customFormat="1" x14ac:dyDescent="0.3">
      <c r="B58" s="23"/>
      <c r="C58" s="48" t="s">
        <v>77</v>
      </c>
      <c r="D58" s="43" t="s">
        <v>47</v>
      </c>
      <c r="E58" s="92" t="s">
        <v>92</v>
      </c>
      <c r="F58" s="197" t="str">
        <f>IF(E55&lt;&gt;0,F55/E55-1,"n/a")</f>
        <v>n/a</v>
      </c>
      <c r="G58" s="197" t="str">
        <f>IF(F55&lt;&gt;0,G55/F55-1,"n/a")</f>
        <v>n/a</v>
      </c>
      <c r="H58" s="198"/>
      <c r="I58" s="198"/>
      <c r="J58" s="198"/>
      <c r="K58" s="198"/>
      <c r="L58" s="198"/>
      <c r="M58" s="198"/>
      <c r="N58" s="198"/>
      <c r="O58" s="198"/>
      <c r="Q58" s="23"/>
    </row>
    <row r="59" spans="2:17" s="22" customFormat="1" x14ac:dyDescent="0.3">
      <c r="B59" s="23"/>
      <c r="C59" s="40"/>
      <c r="D59" s="40"/>
      <c r="E59" s="40"/>
      <c r="F59" s="40"/>
      <c r="G59" s="40"/>
      <c r="H59" s="40"/>
      <c r="I59" s="40"/>
      <c r="J59" s="40"/>
      <c r="K59" s="40"/>
      <c r="L59" s="40"/>
      <c r="M59" s="40"/>
      <c r="N59" s="40"/>
      <c r="O59" s="40"/>
      <c r="Q59" s="23"/>
    </row>
    <row r="60" spans="2:17" s="22" customFormat="1" x14ac:dyDescent="0.3">
      <c r="B60" s="23"/>
      <c r="Q60" s="23"/>
    </row>
    <row r="61" spans="2:17" s="22" customFormat="1" x14ac:dyDescent="0.3">
      <c r="B61" s="23"/>
      <c r="C61" s="199" t="s">
        <v>95</v>
      </c>
      <c r="D61" s="200"/>
      <c r="E61" s="200"/>
      <c r="F61" s="200"/>
      <c r="G61" s="200"/>
      <c r="H61" s="200"/>
      <c r="I61" s="200"/>
      <c r="J61" s="200"/>
      <c r="K61" s="200"/>
      <c r="L61" s="200"/>
      <c r="M61" s="200"/>
      <c r="N61" s="200"/>
      <c r="O61" s="200"/>
      <c r="Q61" s="23"/>
    </row>
    <row r="62" spans="2:17" s="22" customFormat="1" ht="28.8" x14ac:dyDescent="0.3">
      <c r="B62" s="23"/>
      <c r="C62" s="201" t="s">
        <v>96</v>
      </c>
      <c r="D62" s="51" t="s">
        <v>83</v>
      </c>
      <c r="E62" s="87">
        <v>0</v>
      </c>
      <c r="F62" s="87">
        <v>0</v>
      </c>
      <c r="G62" s="87">
        <v>0</v>
      </c>
      <c r="H62" s="202">
        <f>G62*(1+H63)</f>
        <v>0</v>
      </c>
      <c r="I62" s="202">
        <f t="shared" ref="I62:O62" si="34">H62*(1+I63)</f>
        <v>0</v>
      </c>
      <c r="J62" s="202">
        <f t="shared" si="34"/>
        <v>0</v>
      </c>
      <c r="K62" s="202">
        <f t="shared" si="34"/>
        <v>0</v>
      </c>
      <c r="L62" s="202">
        <f t="shared" si="34"/>
        <v>0</v>
      </c>
      <c r="M62" s="202">
        <f t="shared" si="34"/>
        <v>0</v>
      </c>
      <c r="N62" s="202">
        <f t="shared" si="34"/>
        <v>0</v>
      </c>
      <c r="O62" s="202">
        <f t="shared" si="34"/>
        <v>0</v>
      </c>
      <c r="Q62" s="23"/>
    </row>
    <row r="63" spans="2:17" s="22" customFormat="1" ht="43.2" x14ac:dyDescent="0.3">
      <c r="B63" s="23"/>
      <c r="C63" s="40" t="s">
        <v>97</v>
      </c>
      <c r="D63" s="43" t="s">
        <v>47</v>
      </c>
      <c r="E63" s="203" t="s">
        <v>92</v>
      </c>
      <c r="F63" s="203" t="str">
        <f>IF(E62&lt;&gt;0,F62/E62-1,"n/a")</f>
        <v>n/a</v>
      </c>
      <c r="G63" s="203" t="str">
        <f>IF(F62&lt;&gt;0,G62/F62-1,"n/a")</f>
        <v>n/a</v>
      </c>
      <c r="H63" s="198"/>
      <c r="I63" s="198"/>
      <c r="J63" s="198"/>
      <c r="K63" s="198"/>
      <c r="L63" s="198"/>
      <c r="M63" s="198"/>
      <c r="N63" s="198"/>
      <c r="O63" s="198"/>
      <c r="Q63" s="23"/>
    </row>
    <row r="64" spans="2:17" s="22" customFormat="1" x14ac:dyDescent="0.3">
      <c r="B64" s="23"/>
      <c r="C64" s="201" t="s">
        <v>98</v>
      </c>
      <c r="D64" s="51" t="s">
        <v>83</v>
      </c>
      <c r="E64" s="87">
        <v>0</v>
      </c>
      <c r="F64" s="87">
        <v>0</v>
      </c>
      <c r="G64" s="87">
        <v>0</v>
      </c>
      <c r="H64" s="202">
        <f t="shared" ref="H64:O64" si="35">G64*(1+H65)</f>
        <v>0</v>
      </c>
      <c r="I64" s="202">
        <f t="shared" si="35"/>
        <v>0</v>
      </c>
      <c r="J64" s="202">
        <f t="shared" si="35"/>
        <v>0</v>
      </c>
      <c r="K64" s="202">
        <f t="shared" si="35"/>
        <v>0</v>
      </c>
      <c r="L64" s="202">
        <f t="shared" si="35"/>
        <v>0</v>
      </c>
      <c r="M64" s="202">
        <f t="shared" si="35"/>
        <v>0</v>
      </c>
      <c r="N64" s="202">
        <f t="shared" si="35"/>
        <v>0</v>
      </c>
      <c r="O64" s="202">
        <f t="shared" si="35"/>
        <v>0</v>
      </c>
      <c r="Q64" s="23"/>
    </row>
    <row r="65" spans="2:17" s="22" customFormat="1" ht="28.8" x14ac:dyDescent="0.3">
      <c r="B65" s="23"/>
      <c r="C65" s="40" t="s">
        <v>99</v>
      </c>
      <c r="D65" s="43" t="s">
        <v>47</v>
      </c>
      <c r="E65" s="203" t="s">
        <v>92</v>
      </c>
      <c r="F65" s="203" t="str">
        <f>IF(E64&lt;&gt;0,F64/E64-1,"n/a")</f>
        <v>n/a</v>
      </c>
      <c r="G65" s="203" t="str">
        <f>IF(F64&lt;&gt;0,G64/F64-1,"n/a")</f>
        <v>n/a</v>
      </c>
      <c r="H65" s="198"/>
      <c r="I65" s="198"/>
      <c r="J65" s="198"/>
      <c r="K65" s="198"/>
      <c r="L65" s="198"/>
      <c r="M65" s="198"/>
      <c r="N65" s="198"/>
      <c r="O65" s="198"/>
      <c r="Q65" s="23"/>
    </row>
    <row r="66" spans="2:17" s="22" customFormat="1" x14ac:dyDescent="0.3">
      <c r="B66" s="23"/>
      <c r="C66" s="201" t="s">
        <v>100</v>
      </c>
      <c r="D66" s="51" t="s">
        <v>83</v>
      </c>
      <c r="E66" s="87">
        <v>0</v>
      </c>
      <c r="F66" s="87">
        <v>0</v>
      </c>
      <c r="G66" s="87">
        <v>0</v>
      </c>
      <c r="H66" s="202">
        <f t="shared" ref="H66:O66" si="36">G66*(1+H67)</f>
        <v>0</v>
      </c>
      <c r="I66" s="202">
        <f t="shared" si="36"/>
        <v>0</v>
      </c>
      <c r="J66" s="202">
        <f t="shared" si="36"/>
        <v>0</v>
      </c>
      <c r="K66" s="202">
        <f t="shared" si="36"/>
        <v>0</v>
      </c>
      <c r="L66" s="202">
        <f t="shared" si="36"/>
        <v>0</v>
      </c>
      <c r="M66" s="202">
        <f t="shared" si="36"/>
        <v>0</v>
      </c>
      <c r="N66" s="202">
        <f t="shared" si="36"/>
        <v>0</v>
      </c>
      <c r="O66" s="202">
        <f t="shared" si="36"/>
        <v>0</v>
      </c>
      <c r="Q66" s="23"/>
    </row>
    <row r="67" spans="2:17" s="22" customFormat="1" x14ac:dyDescent="0.3">
      <c r="B67" s="23"/>
      <c r="C67" s="40" t="s">
        <v>101</v>
      </c>
      <c r="D67" s="43" t="s">
        <v>47</v>
      </c>
      <c r="E67" s="203" t="s">
        <v>92</v>
      </c>
      <c r="F67" s="203" t="str">
        <f>IF(E66&lt;&gt;0,F66/E66-1,"n/a")</f>
        <v>n/a</v>
      </c>
      <c r="G67" s="203" t="str">
        <f>IF(F66&lt;&gt;0,G66/F66-1,"n/a")</f>
        <v>n/a</v>
      </c>
      <c r="H67" s="198"/>
      <c r="I67" s="198"/>
      <c r="J67" s="198"/>
      <c r="K67" s="198"/>
      <c r="L67" s="198"/>
      <c r="M67" s="198"/>
      <c r="N67" s="198"/>
      <c r="O67" s="198"/>
      <c r="Q67" s="23"/>
    </row>
    <row r="68" spans="2:17" s="22" customFormat="1" x14ac:dyDescent="0.3">
      <c r="B68" s="23"/>
      <c r="Q68" s="23"/>
    </row>
    <row r="69" spans="2:17" s="22" customFormat="1" ht="28.8" x14ac:dyDescent="0.3">
      <c r="B69" s="23"/>
      <c r="C69" s="204" t="s">
        <v>102</v>
      </c>
      <c r="D69" s="205"/>
      <c r="E69" s="205"/>
      <c r="F69" s="205"/>
      <c r="G69" s="205"/>
      <c r="H69" s="205"/>
      <c r="I69" s="205"/>
      <c r="J69" s="205"/>
      <c r="K69" s="205"/>
      <c r="L69" s="205"/>
      <c r="M69" s="205"/>
      <c r="N69" s="205"/>
      <c r="O69" s="205"/>
      <c r="Q69" s="23"/>
    </row>
    <row r="70" spans="2:17" s="22" customFormat="1" ht="28.8" x14ac:dyDescent="0.3">
      <c r="B70" s="23"/>
      <c r="C70" s="201" t="s">
        <v>103</v>
      </c>
      <c r="D70" s="51" t="s">
        <v>83</v>
      </c>
      <c r="E70" s="87">
        <v>0</v>
      </c>
      <c r="F70" s="87">
        <v>0</v>
      </c>
      <c r="G70" s="87">
        <v>0</v>
      </c>
      <c r="H70" s="202">
        <f t="shared" ref="H70:O70" si="37">G70*(1+H71)</f>
        <v>0</v>
      </c>
      <c r="I70" s="202">
        <f t="shared" si="37"/>
        <v>0</v>
      </c>
      <c r="J70" s="202">
        <f t="shared" si="37"/>
        <v>0</v>
      </c>
      <c r="K70" s="202">
        <f t="shared" si="37"/>
        <v>0</v>
      </c>
      <c r="L70" s="202">
        <f t="shared" si="37"/>
        <v>0</v>
      </c>
      <c r="M70" s="202">
        <f t="shared" si="37"/>
        <v>0</v>
      </c>
      <c r="N70" s="202">
        <f t="shared" si="37"/>
        <v>0</v>
      </c>
      <c r="O70" s="202">
        <f t="shared" si="37"/>
        <v>0</v>
      </c>
      <c r="Q70" s="23"/>
    </row>
    <row r="71" spans="2:17" s="22" customFormat="1" ht="28.8" x14ac:dyDescent="0.3">
      <c r="B71" s="23"/>
      <c r="C71" s="40" t="s">
        <v>104</v>
      </c>
      <c r="D71" s="43" t="s">
        <v>47</v>
      </c>
      <c r="E71" s="203" t="s">
        <v>92</v>
      </c>
      <c r="F71" s="203" t="str">
        <f>IF(E70&lt;&gt;0,F70/E70-1,"n/a")</f>
        <v>n/a</v>
      </c>
      <c r="G71" s="203" t="str">
        <f>IF(F70&lt;&gt;0,G70/F70-1,"n/a")</f>
        <v>n/a</v>
      </c>
      <c r="H71" s="198"/>
      <c r="I71" s="198"/>
      <c r="J71" s="198"/>
      <c r="K71" s="198"/>
      <c r="L71" s="198"/>
      <c r="M71" s="198"/>
      <c r="N71" s="198"/>
      <c r="O71" s="198"/>
      <c r="Q71" s="23"/>
    </row>
    <row r="72" spans="2:17" s="22" customFormat="1" ht="28.8" x14ac:dyDescent="0.3">
      <c r="B72" s="23"/>
      <c r="C72" s="201" t="s">
        <v>105</v>
      </c>
      <c r="D72" s="51" t="s">
        <v>83</v>
      </c>
      <c r="E72" s="87">
        <v>0</v>
      </c>
      <c r="F72" s="87">
        <v>0</v>
      </c>
      <c r="G72" s="87">
        <v>0</v>
      </c>
      <c r="H72" s="202">
        <f t="shared" ref="H72:O72" si="38">G72*(1+H73)</f>
        <v>0</v>
      </c>
      <c r="I72" s="202">
        <f t="shared" si="38"/>
        <v>0</v>
      </c>
      <c r="J72" s="202">
        <f t="shared" si="38"/>
        <v>0</v>
      </c>
      <c r="K72" s="202">
        <f t="shared" si="38"/>
        <v>0</v>
      </c>
      <c r="L72" s="202">
        <f t="shared" si="38"/>
        <v>0</v>
      </c>
      <c r="M72" s="202">
        <f t="shared" si="38"/>
        <v>0</v>
      </c>
      <c r="N72" s="202">
        <f t="shared" si="38"/>
        <v>0</v>
      </c>
      <c r="O72" s="202">
        <f t="shared" si="38"/>
        <v>0</v>
      </c>
      <c r="Q72" s="23"/>
    </row>
    <row r="73" spans="2:17" s="22" customFormat="1" ht="28.8" x14ac:dyDescent="0.3">
      <c r="B73" s="23"/>
      <c r="C73" s="40" t="s">
        <v>106</v>
      </c>
      <c r="D73" s="43" t="s">
        <v>47</v>
      </c>
      <c r="E73" s="203" t="s">
        <v>92</v>
      </c>
      <c r="F73" s="203" t="str">
        <f>IF(E72&lt;&gt;0,F72/E72-1,"n/a")</f>
        <v>n/a</v>
      </c>
      <c r="G73" s="203" t="str">
        <f>IF(F72&lt;&gt;0,G72/F72-1,"n/a")</f>
        <v>n/a</v>
      </c>
      <c r="H73" s="198"/>
      <c r="I73" s="198"/>
      <c r="J73" s="198"/>
      <c r="K73" s="198"/>
      <c r="L73" s="198"/>
      <c r="M73" s="198"/>
      <c r="N73" s="198"/>
      <c r="O73" s="198"/>
      <c r="Q73" s="23"/>
    </row>
    <row r="74" spans="2:17" s="22" customFormat="1" ht="28.8" x14ac:dyDescent="0.3">
      <c r="B74" s="23"/>
      <c r="C74" s="201" t="s">
        <v>107</v>
      </c>
      <c r="D74" s="51" t="s">
        <v>83</v>
      </c>
      <c r="E74" s="87">
        <v>0</v>
      </c>
      <c r="F74" s="87">
        <v>0</v>
      </c>
      <c r="G74" s="87">
        <v>0</v>
      </c>
      <c r="H74" s="202">
        <f t="shared" ref="H74:O74" si="39">G74*(1+H75)</f>
        <v>0</v>
      </c>
      <c r="I74" s="202">
        <f t="shared" si="39"/>
        <v>0</v>
      </c>
      <c r="J74" s="202">
        <f t="shared" si="39"/>
        <v>0</v>
      </c>
      <c r="K74" s="202">
        <f t="shared" si="39"/>
        <v>0</v>
      </c>
      <c r="L74" s="202">
        <f t="shared" si="39"/>
        <v>0</v>
      </c>
      <c r="M74" s="202">
        <f t="shared" si="39"/>
        <v>0</v>
      </c>
      <c r="N74" s="202">
        <f t="shared" si="39"/>
        <v>0</v>
      </c>
      <c r="O74" s="202">
        <f t="shared" si="39"/>
        <v>0</v>
      </c>
      <c r="Q74" s="23"/>
    </row>
    <row r="75" spans="2:17" s="22" customFormat="1" ht="43.2" x14ac:dyDescent="0.3">
      <c r="B75" s="23"/>
      <c r="C75" s="40" t="s">
        <v>108</v>
      </c>
      <c r="D75" s="43" t="s">
        <v>47</v>
      </c>
      <c r="E75" s="203" t="s">
        <v>92</v>
      </c>
      <c r="F75" s="203" t="str">
        <f>IF(E74&lt;&gt;0,F74/E74-1,"n/a")</f>
        <v>n/a</v>
      </c>
      <c r="G75" s="203" t="str">
        <f>IF(F74&lt;&gt;0,G74/F74-1,"n/a")</f>
        <v>n/a</v>
      </c>
      <c r="H75" s="198"/>
      <c r="I75" s="198"/>
      <c r="J75" s="198"/>
      <c r="K75" s="198"/>
      <c r="L75" s="198"/>
      <c r="M75" s="198"/>
      <c r="N75" s="198"/>
      <c r="O75" s="198"/>
      <c r="Q75" s="23"/>
    </row>
    <row r="76" spans="2:17" s="22" customFormat="1" ht="28.8" x14ac:dyDescent="0.3">
      <c r="B76" s="23"/>
      <c r="C76" s="201" t="s">
        <v>109</v>
      </c>
      <c r="D76" s="51" t="s">
        <v>83</v>
      </c>
      <c r="E76" s="87">
        <v>0</v>
      </c>
      <c r="F76" s="87">
        <v>0</v>
      </c>
      <c r="G76" s="87">
        <v>0</v>
      </c>
      <c r="H76" s="202">
        <f t="shared" ref="H76:O76" si="40">G76*(1+H77)</f>
        <v>0</v>
      </c>
      <c r="I76" s="202">
        <f t="shared" si="40"/>
        <v>0</v>
      </c>
      <c r="J76" s="202">
        <f t="shared" si="40"/>
        <v>0</v>
      </c>
      <c r="K76" s="202">
        <f t="shared" si="40"/>
        <v>0</v>
      </c>
      <c r="L76" s="202">
        <f t="shared" si="40"/>
        <v>0</v>
      </c>
      <c r="M76" s="202">
        <f t="shared" si="40"/>
        <v>0</v>
      </c>
      <c r="N76" s="202">
        <f t="shared" si="40"/>
        <v>0</v>
      </c>
      <c r="O76" s="202">
        <f t="shared" si="40"/>
        <v>0</v>
      </c>
      <c r="Q76" s="23"/>
    </row>
    <row r="77" spans="2:17" s="22" customFormat="1" ht="28.8" x14ac:dyDescent="0.3">
      <c r="B77" s="23"/>
      <c r="C77" s="40" t="s">
        <v>110</v>
      </c>
      <c r="D77" s="43" t="s">
        <v>47</v>
      </c>
      <c r="E77" s="203" t="s">
        <v>92</v>
      </c>
      <c r="F77" s="203" t="str">
        <f>IF(E76&lt;&gt;0,F76/E76-1,"n/a")</f>
        <v>n/a</v>
      </c>
      <c r="G77" s="203" t="str">
        <f>IF(F76&lt;&gt;0,G76/F76-1,"n/a")</f>
        <v>n/a</v>
      </c>
      <c r="H77" s="198"/>
      <c r="I77" s="198"/>
      <c r="J77" s="198"/>
      <c r="K77" s="198"/>
      <c r="L77" s="198"/>
      <c r="M77" s="198"/>
      <c r="N77" s="198"/>
      <c r="O77" s="198"/>
      <c r="Q77" s="23"/>
    </row>
    <row r="78" spans="2:17" x14ac:dyDescent="0.3">
      <c r="B78" s="23"/>
      <c r="Q78" s="23"/>
    </row>
    <row r="79" spans="2:17" x14ac:dyDescent="0.3">
      <c r="B79" s="23"/>
      <c r="C79" s="97" t="s">
        <v>111</v>
      </c>
      <c r="D79" s="82" t="s">
        <v>83</v>
      </c>
      <c r="E79" s="91">
        <f>E23+E46+E62+E64+E66</f>
        <v>478567</v>
      </c>
      <c r="F79" s="91">
        <f t="shared" ref="F79:O79" si="41">F23+F46+F62+F64+F66</f>
        <v>467191</v>
      </c>
      <c r="G79" s="91">
        <f t="shared" si="41"/>
        <v>463810</v>
      </c>
      <c r="H79" s="91">
        <f t="shared" si="41"/>
        <v>469898.20760016696</v>
      </c>
      <c r="I79" s="91">
        <f t="shared" si="41"/>
        <v>477400.21260016697</v>
      </c>
      <c r="J79" s="91">
        <f t="shared" si="41"/>
        <v>479384.52494991652</v>
      </c>
      <c r="K79" s="91">
        <f t="shared" si="41"/>
        <v>479384.52494991652</v>
      </c>
      <c r="L79" s="91">
        <f t="shared" si="41"/>
        <v>479384.52494991652</v>
      </c>
      <c r="M79" s="91">
        <f t="shared" si="41"/>
        <v>479384.52494991652</v>
      </c>
      <c r="N79" s="91">
        <f t="shared" si="41"/>
        <v>479384.52494991652</v>
      </c>
      <c r="O79" s="91">
        <f t="shared" si="41"/>
        <v>479384.52494991652</v>
      </c>
      <c r="Q79" s="23"/>
    </row>
    <row r="80" spans="2:17" x14ac:dyDescent="0.3">
      <c r="B80" s="23"/>
      <c r="C80" s="14" t="s">
        <v>112</v>
      </c>
      <c r="D80" s="18" t="s">
        <v>47</v>
      </c>
      <c r="E80" s="206" t="s">
        <v>92</v>
      </c>
      <c r="F80" s="203">
        <f>IF(E79&lt;&gt;0,F79/E79-1,"n/a")</f>
        <v>-2.3770966238792046E-2</v>
      </c>
      <c r="G80" s="203">
        <f>IF(F79&lt;&gt;0,G79/F79-1,"n/a")</f>
        <v>-7.2368688609155685E-3</v>
      </c>
      <c r="H80" s="203">
        <f>IF(G79&lt;&gt;0,H79/G79-1,"n/a")</f>
        <v>1.3126512149731484E-2</v>
      </c>
      <c r="I80" s="203">
        <f t="shared" ref="I80:O80" si="42">IF(H79&lt;&gt;0,I79/H79-1,"n/a")</f>
        <v>1.5965170495784164E-2</v>
      </c>
      <c r="J80" s="203">
        <f t="shared" si="42"/>
        <v>4.1564965774563145E-3</v>
      </c>
      <c r="K80" s="203">
        <f t="shared" si="42"/>
        <v>0</v>
      </c>
      <c r="L80" s="203">
        <f t="shared" si="42"/>
        <v>0</v>
      </c>
      <c r="M80" s="203">
        <f t="shared" si="42"/>
        <v>0</v>
      </c>
      <c r="N80" s="203">
        <f t="shared" si="42"/>
        <v>0</v>
      </c>
      <c r="O80" s="203">
        <f t="shared" si="42"/>
        <v>0</v>
      </c>
      <c r="Q80" s="23"/>
    </row>
    <row r="81" spans="2:17" x14ac:dyDescent="0.3">
      <c r="B81" s="23"/>
      <c r="Q81" s="23"/>
    </row>
    <row r="82" spans="2:17" x14ac:dyDescent="0.3">
      <c r="B82" s="23"/>
      <c r="C82" s="114" t="s">
        <v>113</v>
      </c>
      <c r="D82" s="82" t="s">
        <v>83</v>
      </c>
      <c r="E82" s="91">
        <f>E38+E53+E70+E72+E74+E76</f>
        <v>370776</v>
      </c>
      <c r="F82" s="91">
        <f t="shared" ref="F82:O82" si="43">F38+F53+F70+F72+F74+F76</f>
        <v>428725</v>
      </c>
      <c r="G82" s="91">
        <f t="shared" si="43"/>
        <v>436902</v>
      </c>
      <c r="H82" s="91">
        <f t="shared" si="43"/>
        <v>442062.52021805028</v>
      </c>
      <c r="I82" s="91">
        <f t="shared" si="43"/>
        <v>451466.29493420594</v>
      </c>
      <c r="J82" s="91">
        <f t="shared" si="43"/>
        <v>462876.94323114021</v>
      </c>
      <c r="K82" s="91">
        <f t="shared" si="43"/>
        <v>462876.94323114021</v>
      </c>
      <c r="L82" s="91">
        <f t="shared" si="43"/>
        <v>462876.94323114021</v>
      </c>
      <c r="M82" s="91">
        <f t="shared" si="43"/>
        <v>462876.94323114021</v>
      </c>
      <c r="N82" s="91">
        <f t="shared" si="43"/>
        <v>462876.94323114021</v>
      </c>
      <c r="O82" s="91">
        <f t="shared" si="43"/>
        <v>465101.26851498452</v>
      </c>
      <c r="Q82" s="23"/>
    </row>
    <row r="83" spans="2:17" x14ac:dyDescent="0.3">
      <c r="B83" s="23"/>
      <c r="C83" s="14" t="s">
        <v>114</v>
      </c>
      <c r="D83" s="18" t="s">
        <v>47</v>
      </c>
      <c r="E83" s="206" t="s">
        <v>92</v>
      </c>
      <c r="F83" s="203">
        <f t="shared" ref="F83:O83" si="44">IF(E82&lt;&gt;0,F82/E82-1,"n/a")</f>
        <v>0.15629112995447381</v>
      </c>
      <c r="G83" s="203">
        <f t="shared" si="44"/>
        <v>1.9072832235115689E-2</v>
      </c>
      <c r="H83" s="203">
        <f t="shared" si="44"/>
        <v>1.1811619580707422E-2</v>
      </c>
      <c r="I83" s="203">
        <f t="shared" si="44"/>
        <v>2.1272499445366133E-2</v>
      </c>
      <c r="J83" s="203">
        <f t="shared" si="44"/>
        <v>2.5274640488050615E-2</v>
      </c>
      <c r="K83" s="203">
        <f t="shared" si="44"/>
        <v>0</v>
      </c>
      <c r="L83" s="203">
        <f t="shared" si="44"/>
        <v>0</v>
      </c>
      <c r="M83" s="203">
        <f t="shared" si="44"/>
        <v>0</v>
      </c>
      <c r="N83" s="203">
        <f t="shared" si="44"/>
        <v>0</v>
      </c>
      <c r="O83" s="203">
        <f t="shared" si="44"/>
        <v>4.8054354756088546E-3</v>
      </c>
      <c r="Q83" s="23"/>
    </row>
    <row r="84" spans="2:17" x14ac:dyDescent="0.3">
      <c r="B84" s="23"/>
      <c r="Q84" s="23"/>
    </row>
    <row r="85" spans="2:17" x14ac:dyDescent="0.3">
      <c r="B85" s="23"/>
      <c r="C85" s="120" t="s">
        <v>115</v>
      </c>
      <c r="D85" s="121"/>
      <c r="E85" s="121"/>
      <c r="F85" s="121"/>
      <c r="G85" s="121"/>
      <c r="H85" s="121"/>
      <c r="I85" s="121"/>
      <c r="J85" s="121"/>
      <c r="K85" s="121"/>
      <c r="L85" s="121"/>
      <c r="M85" s="121"/>
      <c r="N85" s="121"/>
      <c r="O85" s="121"/>
      <c r="Q85" s="23"/>
    </row>
    <row r="86" spans="2:17" s="22" customFormat="1" x14ac:dyDescent="0.3">
      <c r="B86" s="23"/>
      <c r="C86" s="40" t="s">
        <v>116</v>
      </c>
      <c r="D86" s="43" t="s">
        <v>83</v>
      </c>
      <c r="E86" s="88">
        <f>E79</f>
        <v>478567</v>
      </c>
      <c r="F86" s="88">
        <f>F79</f>
        <v>467191</v>
      </c>
      <c r="G86" s="88">
        <f>G79</f>
        <v>463810</v>
      </c>
      <c r="H86" s="88">
        <f>H79</f>
        <v>469898.20760016696</v>
      </c>
      <c r="I86" s="88">
        <f t="shared" ref="I86:O86" si="45">I79</f>
        <v>477400.21260016697</v>
      </c>
      <c r="J86" s="88">
        <f t="shared" si="45"/>
        <v>479384.52494991652</v>
      </c>
      <c r="K86" s="88">
        <f t="shared" si="45"/>
        <v>479384.52494991652</v>
      </c>
      <c r="L86" s="88">
        <f t="shared" si="45"/>
        <v>479384.52494991652</v>
      </c>
      <c r="M86" s="88">
        <f t="shared" si="45"/>
        <v>479384.52494991652</v>
      </c>
      <c r="N86" s="88">
        <f t="shared" si="45"/>
        <v>479384.52494991652</v>
      </c>
      <c r="O86" s="88">
        <f t="shared" si="45"/>
        <v>479384.52494991652</v>
      </c>
      <c r="Q86" s="23"/>
    </row>
    <row r="87" spans="2:17" s="22" customFormat="1" ht="28.8" x14ac:dyDescent="0.3">
      <c r="B87" s="23"/>
      <c r="C87" s="40" t="s">
        <v>117</v>
      </c>
      <c r="D87" s="43" t="s">
        <v>83</v>
      </c>
      <c r="E87" s="87">
        <v>725626</v>
      </c>
      <c r="F87" s="87">
        <v>695839</v>
      </c>
      <c r="G87" s="87">
        <v>645507</v>
      </c>
      <c r="H87" s="207">
        <f>ROUND(H86/(1-H92),0)</f>
        <v>634998</v>
      </c>
      <c r="I87" s="207">
        <f t="shared" ref="I87:O87" si="46">ROUND(I86/(1-I92),0)</f>
        <v>628158</v>
      </c>
      <c r="J87" s="207">
        <f t="shared" si="46"/>
        <v>606816</v>
      </c>
      <c r="K87" s="207">
        <f t="shared" si="46"/>
        <v>599231</v>
      </c>
      <c r="L87" s="207">
        <f t="shared" si="46"/>
        <v>591833</v>
      </c>
      <c r="M87" s="207">
        <f t="shared" si="46"/>
        <v>591833</v>
      </c>
      <c r="N87" s="207">
        <f t="shared" si="46"/>
        <v>591833</v>
      </c>
      <c r="O87" s="207">
        <f t="shared" si="46"/>
        <v>591833</v>
      </c>
      <c r="Q87" s="23"/>
    </row>
    <row r="88" spans="2:17" s="22" customFormat="1" x14ac:dyDescent="0.3">
      <c r="B88" s="23"/>
      <c r="C88" s="40" t="s">
        <v>118</v>
      </c>
      <c r="D88" s="43" t="s">
        <v>83</v>
      </c>
      <c r="E88" s="73">
        <f>E87-E86</f>
        <v>247059</v>
      </c>
      <c r="F88" s="73">
        <f>F87-F86</f>
        <v>228648</v>
      </c>
      <c r="G88" s="73">
        <f>G87-G86</f>
        <v>181697</v>
      </c>
      <c r="H88" s="73">
        <f>ROUND(H87-H86,0)</f>
        <v>165100</v>
      </c>
      <c r="I88" s="73">
        <f t="shared" ref="I88:O88" si="47">ROUND(I87-I86,0)</f>
        <v>150758</v>
      </c>
      <c r="J88" s="73">
        <f t="shared" si="47"/>
        <v>127431</v>
      </c>
      <c r="K88" s="73">
        <f t="shared" si="47"/>
        <v>119846</v>
      </c>
      <c r="L88" s="73">
        <f t="shared" si="47"/>
        <v>112448</v>
      </c>
      <c r="M88" s="73">
        <f t="shared" si="47"/>
        <v>112448</v>
      </c>
      <c r="N88" s="73">
        <f t="shared" si="47"/>
        <v>112448</v>
      </c>
      <c r="O88" s="73">
        <f t="shared" si="47"/>
        <v>112448</v>
      </c>
      <c r="Q88" s="23"/>
    </row>
    <row r="89" spans="2:17" s="22" customFormat="1" x14ac:dyDescent="0.3">
      <c r="B89" s="23"/>
      <c r="C89" s="40" t="s">
        <v>119</v>
      </c>
      <c r="D89" s="43" t="s">
        <v>83</v>
      </c>
      <c r="E89" s="87">
        <v>36281</v>
      </c>
      <c r="F89" s="87">
        <v>34792</v>
      </c>
      <c r="G89" s="87">
        <v>53887</v>
      </c>
      <c r="H89" s="88">
        <f>ROUND(H87*H93,0)</f>
        <v>44450</v>
      </c>
      <c r="I89" s="88">
        <f t="shared" ref="I89:O89" si="48">ROUND(I87*I93,0)</f>
        <v>43971</v>
      </c>
      <c r="J89" s="88">
        <f t="shared" si="48"/>
        <v>42477</v>
      </c>
      <c r="K89" s="88">
        <f t="shared" si="48"/>
        <v>41946</v>
      </c>
      <c r="L89" s="88">
        <f t="shared" si="48"/>
        <v>41428</v>
      </c>
      <c r="M89" s="88">
        <f t="shared" si="48"/>
        <v>41428</v>
      </c>
      <c r="N89" s="88">
        <f t="shared" si="48"/>
        <v>41428</v>
      </c>
      <c r="O89" s="88">
        <f t="shared" si="48"/>
        <v>41428</v>
      </c>
      <c r="Q89" s="23"/>
    </row>
    <row r="90" spans="2:17" s="22" customFormat="1" ht="29.1" customHeight="1" x14ac:dyDescent="0.3">
      <c r="B90" s="23"/>
      <c r="C90" s="40" t="s">
        <v>120</v>
      </c>
      <c r="D90" s="43" t="s">
        <v>83</v>
      </c>
      <c r="E90" s="88">
        <f t="shared" ref="E90:O90" si="49">E88-E89</f>
        <v>210778</v>
      </c>
      <c r="F90" s="88">
        <f t="shared" si="49"/>
        <v>193856</v>
      </c>
      <c r="G90" s="88">
        <f t="shared" si="49"/>
        <v>127810</v>
      </c>
      <c r="H90" s="88">
        <f t="shared" si="49"/>
        <v>120650</v>
      </c>
      <c r="I90" s="88">
        <f t="shared" si="49"/>
        <v>106787</v>
      </c>
      <c r="J90" s="88">
        <f t="shared" si="49"/>
        <v>84954</v>
      </c>
      <c r="K90" s="88">
        <f t="shared" si="49"/>
        <v>77900</v>
      </c>
      <c r="L90" s="88">
        <f t="shared" si="49"/>
        <v>71020</v>
      </c>
      <c r="M90" s="88">
        <f t="shared" si="49"/>
        <v>71020</v>
      </c>
      <c r="N90" s="88">
        <f t="shared" si="49"/>
        <v>71020</v>
      </c>
      <c r="O90" s="88">
        <f t="shared" si="49"/>
        <v>71020</v>
      </c>
      <c r="Q90" s="23"/>
    </row>
    <row r="91" spans="2:17" s="22" customFormat="1" x14ac:dyDescent="0.3">
      <c r="B91" s="23"/>
      <c r="C91" s="40" t="s">
        <v>23</v>
      </c>
      <c r="D91" s="43" t="s">
        <v>21</v>
      </c>
      <c r="E91" s="40">
        <f>'Date de context'!E12</f>
        <v>38</v>
      </c>
      <c r="F91" s="40">
        <f>'Date de context'!F12</f>
        <v>38</v>
      </c>
      <c r="G91" s="40">
        <f>'Date de context'!G12</f>
        <v>38</v>
      </c>
      <c r="H91" s="208">
        <v>38</v>
      </c>
      <c r="I91" s="208">
        <v>42.3</v>
      </c>
      <c r="J91" s="208">
        <v>42.3</v>
      </c>
      <c r="K91" s="208">
        <v>42.3</v>
      </c>
      <c r="L91" s="208">
        <v>42.3</v>
      </c>
      <c r="M91" s="208">
        <v>42.3</v>
      </c>
      <c r="N91" s="208">
        <v>42.3</v>
      </c>
      <c r="O91" s="208">
        <v>42.3</v>
      </c>
      <c r="Q91" s="23"/>
    </row>
    <row r="92" spans="2:17" s="22" customFormat="1" x14ac:dyDescent="0.3">
      <c r="B92" s="23"/>
      <c r="C92" s="40" t="s">
        <v>118</v>
      </c>
      <c r="D92" s="43" t="s">
        <v>47</v>
      </c>
      <c r="E92" s="209">
        <f>E88/E87</f>
        <v>0.34047705016082663</v>
      </c>
      <c r="F92" s="209">
        <f>F88/F87</f>
        <v>0.3285932521747128</v>
      </c>
      <c r="G92" s="209">
        <f>G88/G87</f>
        <v>0.28147951919963687</v>
      </c>
      <c r="H92" s="209">
        <f>'Masuri de crestere a eficientei'!H47</f>
        <v>0.26</v>
      </c>
      <c r="I92" s="209">
        <f>'Masuri de crestere a eficientei'!I47</f>
        <v>0.24</v>
      </c>
      <c r="J92" s="209">
        <f>'Masuri de crestere a eficientei'!J47</f>
        <v>0.21</v>
      </c>
      <c r="K92" s="209">
        <f>'Masuri de crestere a eficientei'!K47</f>
        <v>0.2</v>
      </c>
      <c r="L92" s="209">
        <f>'Masuri de crestere a eficientei'!L47</f>
        <v>0.19</v>
      </c>
      <c r="M92" s="209">
        <f>'Masuri de crestere a eficientei'!M47</f>
        <v>0.19</v>
      </c>
      <c r="N92" s="209">
        <f>'Masuri de crestere a eficientei'!N47</f>
        <v>0.19</v>
      </c>
      <c r="O92" s="209">
        <f>'Masuri de crestere a eficientei'!O47</f>
        <v>0.19</v>
      </c>
      <c r="Q92" s="23"/>
    </row>
    <row r="93" spans="2:17" s="22" customFormat="1" x14ac:dyDescent="0.3">
      <c r="B93" s="23"/>
      <c r="C93" s="40" t="s">
        <v>119</v>
      </c>
      <c r="D93" s="43" t="s">
        <v>47</v>
      </c>
      <c r="E93" s="209">
        <f t="shared" ref="E93:G94" si="50">E89/E$87</f>
        <v>4.9999586563877256E-2</v>
      </c>
      <c r="F93" s="209">
        <f t="shared" si="50"/>
        <v>5.0000071855702252E-2</v>
      </c>
      <c r="G93" s="209">
        <f t="shared" si="50"/>
        <v>8.3480117179209515E-2</v>
      </c>
      <c r="H93" s="209">
        <f>'Masuri de crestere a eficientei'!H48</f>
        <v>7.0000000000000007E-2</v>
      </c>
      <c r="I93" s="209">
        <f>'Masuri de crestere a eficientei'!I48</f>
        <v>7.0000000000000007E-2</v>
      </c>
      <c r="J93" s="209">
        <f>'Masuri de crestere a eficientei'!J48</f>
        <v>7.0000000000000007E-2</v>
      </c>
      <c r="K93" s="209">
        <f>'Masuri de crestere a eficientei'!K48</f>
        <v>7.0000000000000007E-2</v>
      </c>
      <c r="L93" s="209">
        <f>'Masuri de crestere a eficientei'!L48</f>
        <v>7.0000000000000007E-2</v>
      </c>
      <c r="M93" s="209">
        <f>'Masuri de crestere a eficientei'!M48</f>
        <v>7.0000000000000007E-2</v>
      </c>
      <c r="N93" s="209">
        <f>'Masuri de crestere a eficientei'!N48</f>
        <v>7.0000000000000007E-2</v>
      </c>
      <c r="O93" s="209">
        <f>'Masuri de crestere a eficientei'!O48</f>
        <v>7.0000000000000007E-2</v>
      </c>
      <c r="Q93" s="23"/>
    </row>
    <row r="94" spans="2:17" s="22" customFormat="1" ht="32.4" customHeight="1" x14ac:dyDescent="0.3">
      <c r="B94" s="23"/>
      <c r="C94" s="40" t="s">
        <v>120</v>
      </c>
      <c r="D94" s="43" t="s">
        <v>47</v>
      </c>
      <c r="E94" s="209">
        <f t="shared" si="50"/>
        <v>0.29047746359694937</v>
      </c>
      <c r="F94" s="209">
        <f t="shared" si="50"/>
        <v>0.27859318031901059</v>
      </c>
      <c r="G94" s="209">
        <f t="shared" si="50"/>
        <v>0.19799940202042735</v>
      </c>
      <c r="H94" s="209">
        <f>'Masuri de crestere a eficientei'!H49</f>
        <v>0.19</v>
      </c>
      <c r="I94" s="209">
        <f>'Masuri de crestere a eficientei'!I49</f>
        <v>0.1699999999999999</v>
      </c>
      <c r="J94" s="209">
        <f>'Masuri de crestere a eficientei'!J49</f>
        <v>0.13999999999999999</v>
      </c>
      <c r="K94" s="209">
        <f>'Masuri de crestere a eficientei'!K49</f>
        <v>0.12999999999999989</v>
      </c>
      <c r="L94" s="209">
        <f>'Masuri de crestere a eficientei'!L49</f>
        <v>0.12</v>
      </c>
      <c r="M94" s="209">
        <f>'Masuri de crestere a eficientei'!M49</f>
        <v>0.12</v>
      </c>
      <c r="N94" s="209">
        <f>'Masuri de crestere a eficientei'!N49</f>
        <v>0.12</v>
      </c>
      <c r="O94" s="209">
        <f>'Masuri de crestere a eficientei'!O49</f>
        <v>0.12</v>
      </c>
      <c r="Q94" s="23"/>
    </row>
    <row r="95" spans="2:17" s="22" customFormat="1" ht="28.35" customHeight="1" x14ac:dyDescent="0.3">
      <c r="B95" s="23"/>
      <c r="C95" s="40" t="s">
        <v>120</v>
      </c>
      <c r="D95" s="43" t="s">
        <v>121</v>
      </c>
      <c r="E95" s="150">
        <f>E90/E91/365</f>
        <v>15.196683489545784</v>
      </c>
      <c r="F95" s="150">
        <f>F90/F91/365</f>
        <v>13.976640230713771</v>
      </c>
      <c r="G95" s="150">
        <f>G90/G91/365</f>
        <v>9.2148521989906271</v>
      </c>
      <c r="H95" s="150">
        <f t="array" ref="H95">IF(H91&lt;&gt;0,H90/H91/365,n/a)</f>
        <v>8.6986301369863011</v>
      </c>
      <c r="I95" s="150">
        <f t="array" ref="I95">IF(I91&lt;&gt;0,I90/I91/365,n/a)</f>
        <v>6.916480455973316</v>
      </c>
      <c r="J95" s="150">
        <f t="array" ref="J95">IF(J91&lt;&gt;0,J90/J91/365,n/a)</f>
        <v>5.5023802584280581</v>
      </c>
      <c r="K95" s="150">
        <f t="array" ref="K95">IF(K91&lt;&gt;0,K90/K91/365,n/a)</f>
        <v>5.045500178114577</v>
      </c>
      <c r="L95" s="150">
        <f t="array" ref="L95">IF(L91&lt;&gt;0,L90/L91/365,n/a)</f>
        <v>4.5998898928074095</v>
      </c>
      <c r="M95" s="150">
        <f t="array" ref="M95">IF(M91&lt;&gt;0,M90/M91/365,n/a)</f>
        <v>4.5998898928074095</v>
      </c>
      <c r="N95" s="150">
        <f t="array" ref="N95">IF(N91&lt;&gt;0,N90/N91/365,n/a)</f>
        <v>4.5998898928074095</v>
      </c>
      <c r="O95" s="150">
        <f t="array" ref="O95">IF(O91&lt;&gt;0,O90/O91/365,n/a)</f>
        <v>4.5998898928074095</v>
      </c>
      <c r="Q95" s="23"/>
    </row>
    <row r="96" spans="2:17" s="22" customFormat="1" x14ac:dyDescent="0.3">
      <c r="B96" s="23"/>
      <c r="Q96" s="23"/>
    </row>
    <row r="97" spans="2:17" x14ac:dyDescent="0.3">
      <c r="B97" s="23"/>
      <c r="C97" s="143" t="s">
        <v>122</v>
      </c>
      <c r="D97" s="144"/>
      <c r="E97" s="144"/>
      <c r="F97" s="144"/>
      <c r="G97" s="144"/>
      <c r="H97" s="144"/>
      <c r="I97" s="144"/>
      <c r="J97" s="144"/>
      <c r="K97" s="144"/>
      <c r="L97" s="144"/>
      <c r="M97" s="144"/>
      <c r="N97" s="144"/>
      <c r="O97" s="144"/>
      <c r="Q97" s="23"/>
    </row>
    <row r="98" spans="2:17" s="22" customFormat="1" x14ac:dyDescent="0.3">
      <c r="B98" s="23"/>
      <c r="C98" s="40" t="s">
        <v>123</v>
      </c>
      <c r="D98" s="43" t="s">
        <v>83</v>
      </c>
      <c r="E98" s="88">
        <f>E82</f>
        <v>370776</v>
      </c>
      <c r="F98" s="88">
        <f t="shared" ref="F98:O98" si="51">F82</f>
        <v>428725</v>
      </c>
      <c r="G98" s="88">
        <f t="shared" si="51"/>
        <v>436902</v>
      </c>
      <c r="H98" s="88">
        <f t="shared" si="51"/>
        <v>442062.52021805028</v>
      </c>
      <c r="I98" s="88">
        <f t="shared" si="51"/>
        <v>451466.29493420594</v>
      </c>
      <c r="J98" s="88">
        <f t="shared" si="51"/>
        <v>462876.94323114021</v>
      </c>
      <c r="K98" s="88">
        <f t="shared" si="51"/>
        <v>462876.94323114021</v>
      </c>
      <c r="L98" s="88">
        <f t="shared" si="51"/>
        <v>462876.94323114021</v>
      </c>
      <c r="M98" s="88">
        <f t="shared" si="51"/>
        <v>462876.94323114021</v>
      </c>
      <c r="N98" s="88">
        <f t="shared" si="51"/>
        <v>462876.94323114021</v>
      </c>
      <c r="O98" s="88">
        <f t="shared" si="51"/>
        <v>465101.26851498452</v>
      </c>
      <c r="Q98" s="23"/>
    </row>
    <row r="99" spans="2:17" s="22" customFormat="1" ht="31.35" customHeight="1" x14ac:dyDescent="0.3">
      <c r="B99" s="23"/>
      <c r="C99" s="40" t="s">
        <v>124</v>
      </c>
      <c r="D99" s="43" t="s">
        <v>83</v>
      </c>
      <c r="E99" s="87">
        <v>30212</v>
      </c>
      <c r="F99" s="87">
        <v>29689</v>
      </c>
      <c r="G99" s="87">
        <v>27308</v>
      </c>
      <c r="H99" s="88">
        <f>H100-H98</f>
        <v>25728.506467717234</v>
      </c>
      <c r="I99" s="88">
        <f t="shared" ref="I99:O99" si="52">I100-I98</f>
        <v>23761.383943905588</v>
      </c>
      <c r="J99" s="88">
        <f t="shared" si="52"/>
        <v>19286.539301297511</v>
      </c>
      <c r="K99" s="88">
        <f t="shared" si="52"/>
        <v>14315.781749416725</v>
      </c>
      <c r="L99" s="88">
        <f t="shared" si="52"/>
        <v>9446.4682292069774</v>
      </c>
      <c r="M99" s="88">
        <f t="shared" si="52"/>
        <v>7048.8874603727018</v>
      </c>
      <c r="N99" s="88">
        <f t="shared" si="52"/>
        <v>4675.524679102411</v>
      </c>
      <c r="O99" s="88">
        <f t="shared" si="52"/>
        <v>29687.315011594794</v>
      </c>
      <c r="Q99" s="23"/>
    </row>
    <row r="100" spans="2:17" s="22" customFormat="1" x14ac:dyDescent="0.3">
      <c r="B100" s="23"/>
      <c r="C100" s="40" t="s">
        <v>125</v>
      </c>
      <c r="D100" s="43" t="s">
        <v>83</v>
      </c>
      <c r="E100" s="73">
        <f>E98+E99</f>
        <v>400988</v>
      </c>
      <c r="F100" s="73">
        <f>F98+F99</f>
        <v>458414</v>
      </c>
      <c r="G100" s="73">
        <f>G98+G99</f>
        <v>464210</v>
      </c>
      <c r="H100" s="73">
        <f>H98/(1-H102)</f>
        <v>467791.02668576752</v>
      </c>
      <c r="I100" s="73">
        <f t="shared" ref="I100:O100" si="53">I98/(1-I102)</f>
        <v>475227.67887811153</v>
      </c>
      <c r="J100" s="73">
        <f t="shared" si="53"/>
        <v>482163.48253243772</v>
      </c>
      <c r="K100" s="73">
        <f t="shared" si="53"/>
        <v>477192.72498055693</v>
      </c>
      <c r="L100" s="73">
        <f t="shared" si="53"/>
        <v>472323.41146034718</v>
      </c>
      <c r="M100" s="73">
        <f t="shared" si="53"/>
        <v>469925.83069151291</v>
      </c>
      <c r="N100" s="73">
        <f t="shared" si="53"/>
        <v>467552.46791024262</v>
      </c>
      <c r="O100" s="73">
        <f t="shared" si="53"/>
        <v>494788.58352657931</v>
      </c>
      <c r="Q100" s="23"/>
    </row>
    <row r="101" spans="2:17" s="22" customFormat="1" x14ac:dyDescent="0.3">
      <c r="B101" s="23"/>
      <c r="C101" s="40" t="s">
        <v>126</v>
      </c>
      <c r="D101" s="43" t="s">
        <v>21</v>
      </c>
      <c r="E101" s="88">
        <f>'Date de context'!E20</f>
        <v>29</v>
      </c>
      <c r="F101" s="88">
        <f>'Date de context'!F20</f>
        <v>29</v>
      </c>
      <c r="G101" s="88">
        <f>'Date de context'!G20</f>
        <v>29</v>
      </c>
      <c r="H101" s="87">
        <f t="shared" ref="H101:O101" si="54">G101</f>
        <v>29</v>
      </c>
      <c r="I101" s="87">
        <v>38.4</v>
      </c>
      <c r="J101" s="87">
        <v>38.4</v>
      </c>
      <c r="K101" s="87">
        <f t="shared" si="54"/>
        <v>38.4</v>
      </c>
      <c r="L101" s="87">
        <f t="shared" si="54"/>
        <v>38.4</v>
      </c>
      <c r="M101" s="87">
        <f t="shared" si="54"/>
        <v>38.4</v>
      </c>
      <c r="N101" s="87">
        <f t="shared" si="54"/>
        <v>38.4</v>
      </c>
      <c r="O101" s="87">
        <f t="shared" si="54"/>
        <v>38.4</v>
      </c>
      <c r="Q101" s="23"/>
    </row>
    <row r="102" spans="2:17" s="22" customFormat="1" ht="30" customHeight="1" x14ac:dyDescent="0.3">
      <c r="B102" s="23"/>
      <c r="C102" s="40" t="s">
        <v>127</v>
      </c>
      <c r="D102" s="43" t="s">
        <v>47</v>
      </c>
      <c r="E102" s="210">
        <f>IF(E99&lt;&gt;0,E99/E100,"n/a")</f>
        <v>7.5343900565602959E-2</v>
      </c>
      <c r="F102" s="210">
        <f>IF(F99&lt;&gt;0,F99/F100,"n/a")</f>
        <v>6.4764601430148297E-2</v>
      </c>
      <c r="G102" s="210">
        <f>IF(G99&lt;&gt;0,G99/G100,"n/a")</f>
        <v>5.8826824066693956E-2</v>
      </c>
      <c r="H102" s="149">
        <v>5.5E-2</v>
      </c>
      <c r="I102" s="149">
        <v>0.05</v>
      </c>
      <c r="J102" s="149">
        <v>0.04</v>
      </c>
      <c r="K102" s="149">
        <v>0.03</v>
      </c>
      <c r="L102" s="149">
        <v>0.02</v>
      </c>
      <c r="M102" s="149">
        <v>1.4999999999999999E-2</v>
      </c>
      <c r="N102" s="149">
        <v>0.01</v>
      </c>
      <c r="O102" s="149">
        <v>0.06</v>
      </c>
      <c r="Q102" s="23"/>
    </row>
    <row r="103" spans="2:17" s="22" customFormat="1" ht="36.75" customHeight="1" x14ac:dyDescent="0.3">
      <c r="B103" s="23"/>
      <c r="C103" s="40" t="s">
        <v>127</v>
      </c>
      <c r="D103" s="43" t="s">
        <v>121</v>
      </c>
      <c r="E103" s="211">
        <f>IF(E101&lt;&gt;0,E99/E101/365,"n/a")</f>
        <v>2.8542276806802076</v>
      </c>
      <c r="F103" s="211">
        <f>IF(F101&lt;&gt;0,F99/F101/365,"n/a")</f>
        <v>2.8048181388757674</v>
      </c>
      <c r="G103" s="211">
        <f>IF(G101&lt;&gt;0,G99/G101/365,"n/a")</f>
        <v>2.5798771846953237</v>
      </c>
      <c r="H103" s="211">
        <f>IF(H101&lt;&gt;0,H99/H101/365,"n/a")</f>
        <v>2.4306572005401259</v>
      </c>
      <c r="I103" s="211">
        <f>IF(I101&lt;&gt;0,I99/I101/365,"n/a")</f>
        <v>1.6953042197421226</v>
      </c>
      <c r="J103" s="211">
        <f t="shared" ref="J103:O103" si="55">IF(J101&lt;&gt;0,J99/J101/365,"n/a")</f>
        <v>1.3760373359944</v>
      </c>
      <c r="K103" s="211">
        <f t="shared" si="55"/>
        <v>1.0213885380577001</v>
      </c>
      <c r="L103" s="211">
        <f t="shared" si="55"/>
        <v>0.67397747069113711</v>
      </c>
      <c r="M103" s="211">
        <f t="shared" si="55"/>
        <v>0.50291719894211628</v>
      </c>
      <c r="N103" s="211">
        <f t="shared" si="55"/>
        <v>0.33358480872591401</v>
      </c>
      <c r="O103" s="211">
        <f t="shared" si="55"/>
        <v>2.1181018130418661</v>
      </c>
      <c r="Q103" s="23"/>
    </row>
    <row r="104" spans="2:17" ht="9.75" customHeight="1" x14ac:dyDescent="0.3">
      <c r="B104" s="23"/>
      <c r="Q104" s="23"/>
    </row>
    <row r="105" spans="2:17" ht="8.1" customHeight="1" x14ac:dyDescent="0.3">
      <c r="B105" s="23"/>
      <c r="C105" s="23"/>
      <c r="D105" s="23"/>
      <c r="E105" s="23"/>
      <c r="F105" s="23"/>
      <c r="G105" s="23"/>
      <c r="H105" s="23"/>
      <c r="I105" s="23"/>
      <c r="J105" s="23"/>
      <c r="K105" s="23"/>
      <c r="L105" s="23"/>
      <c r="M105" s="23"/>
      <c r="N105" s="23"/>
      <c r="O105" s="23"/>
      <c r="P105" s="23"/>
      <c r="Q105" s="23"/>
    </row>
  </sheetData>
  <sheetProtection sheet="1" objects="1" scenarios="1"/>
  <mergeCells count="1">
    <mergeCell ref="C3:L4"/>
  </mergeCells>
  <pageMargins left="0.7" right="0.7" top="0.4" bottom="0.36" header="0.3" footer="0.3"/>
  <pageSetup paperSize="9" scale="49" fitToHeight="2" orientation="landscape"/>
  <headerFooter>
    <oddFooter>&amp;L&amp;F
Sheet: &amp;A&amp;R&amp;P din &amp;N</oddFooter>
  </headerFooter>
  <rowBreaks count="1" manualBreakCount="1">
    <brk id="60" min="1" max="16" man="1"/>
  </rowBreaks>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B570"/>
  <sheetViews>
    <sheetView topLeftCell="A10" zoomScale="90" zoomScaleSheetLayoutView="30" workbookViewId="0">
      <selection activeCell="H42" sqref="H42"/>
    </sheetView>
  </sheetViews>
  <sheetFormatPr defaultColWidth="9.109375" defaultRowHeight="14.4" x14ac:dyDescent="0.3"/>
  <cols>
    <col min="1" max="1" width="2.5546875" customWidth="1"/>
    <col min="2" max="2" width="1.44140625" customWidth="1"/>
    <col min="3" max="3" width="41" customWidth="1"/>
    <col min="4" max="4" width="16.44140625" bestFit="1" customWidth="1"/>
    <col min="5" max="7" width="14.5546875" customWidth="1"/>
    <col min="8" max="15" width="15.5546875" customWidth="1"/>
    <col min="16" max="16" width="3.5546875" customWidth="1"/>
    <col min="17" max="17" width="1.5546875" customWidth="1"/>
    <col min="18" max="18" width="3" customWidth="1"/>
    <col min="19" max="28" width="36.44140625" customWidth="1"/>
    <col min="29" max="33" width="30.5546875" customWidth="1"/>
  </cols>
  <sheetData>
    <row r="2" spans="2:28" ht="8.1" customHeight="1" x14ac:dyDescent="0.3">
      <c r="B2" s="23"/>
      <c r="C2" s="23"/>
      <c r="D2" s="23"/>
      <c r="E2" s="23"/>
      <c r="F2" s="23"/>
      <c r="G2" s="23"/>
      <c r="H2" s="23"/>
      <c r="I2" s="23"/>
      <c r="J2" s="23"/>
      <c r="K2" s="23"/>
      <c r="L2" s="23"/>
      <c r="M2" s="23"/>
      <c r="N2" s="23"/>
      <c r="O2" s="23"/>
      <c r="P2" s="23"/>
      <c r="Q2" s="23"/>
    </row>
    <row r="3" spans="2:28" ht="14.4" customHeight="1" x14ac:dyDescent="0.3">
      <c r="B3" s="23"/>
      <c r="C3" s="227" t="str">
        <f>CONCATENATE("ANALIZA SI PROGNOZA CHELTUIELILOR OPERAȚIONALE DE EXPLOATARE"," ",'Date generale'!D4)</f>
        <v>ANALIZA SI PROGNOZA CHELTUIELILOR OPERAȚIONALE DE EXPLOATARE SEVICIUL PUBLIC DE ALIMENTARE CU APA, CANALIZARE SI SALUBRIZARE</v>
      </c>
      <c r="D3" s="227"/>
      <c r="E3" s="51">
        <f>F3-1</f>
        <v>2022</v>
      </c>
      <c r="F3" s="51">
        <f>G3-1</f>
        <v>2023</v>
      </c>
      <c r="G3" s="46">
        <f>'Date generale'!$D$8</f>
        <v>2024</v>
      </c>
      <c r="H3" s="54">
        <f t="shared" ref="H3:O3" si="0">G3+1</f>
        <v>2025</v>
      </c>
      <c r="I3" s="54">
        <f t="shared" si="0"/>
        <v>2026</v>
      </c>
      <c r="J3" s="54">
        <f t="shared" si="0"/>
        <v>2027</v>
      </c>
      <c r="K3" s="54">
        <f t="shared" si="0"/>
        <v>2028</v>
      </c>
      <c r="L3" s="54">
        <f t="shared" si="0"/>
        <v>2029</v>
      </c>
      <c r="M3" s="54">
        <f t="shared" si="0"/>
        <v>2030</v>
      </c>
      <c r="N3" s="54">
        <f t="shared" si="0"/>
        <v>2031</v>
      </c>
      <c r="O3" s="54">
        <f t="shared" si="0"/>
        <v>2032</v>
      </c>
      <c r="Q3" s="23"/>
    </row>
    <row r="4" spans="2:28" x14ac:dyDescent="0.3">
      <c r="B4" s="23"/>
      <c r="C4" s="227"/>
      <c r="D4" s="227"/>
      <c r="E4" s="18">
        <f>F4-1</f>
        <v>-3</v>
      </c>
      <c r="F4" s="18">
        <f>G4-1</f>
        <v>-2</v>
      </c>
      <c r="G4" s="55">
        <v>-1</v>
      </c>
      <c r="H4" s="55">
        <v>0</v>
      </c>
      <c r="I4" s="55">
        <f t="shared" ref="I4:O4" si="1">H4+1</f>
        <v>1</v>
      </c>
      <c r="J4" s="55">
        <f t="shared" si="1"/>
        <v>2</v>
      </c>
      <c r="K4" s="55">
        <f t="shared" si="1"/>
        <v>3</v>
      </c>
      <c r="L4" s="55">
        <f t="shared" si="1"/>
        <v>4</v>
      </c>
      <c r="M4" s="55">
        <f t="shared" si="1"/>
        <v>5</v>
      </c>
      <c r="N4" s="55">
        <f t="shared" si="1"/>
        <v>6</v>
      </c>
      <c r="O4" s="55">
        <f t="shared" si="1"/>
        <v>7</v>
      </c>
      <c r="Q4" s="23"/>
    </row>
    <row r="5" spans="2:28" ht="8.1" customHeight="1" x14ac:dyDescent="0.3">
      <c r="B5" s="23"/>
      <c r="C5" s="23"/>
      <c r="D5" s="23"/>
      <c r="E5" s="23"/>
      <c r="F5" s="23"/>
      <c r="G5" s="23"/>
      <c r="H5" s="23"/>
      <c r="I5" s="23"/>
      <c r="J5" s="23"/>
      <c r="K5" s="23"/>
      <c r="L5" s="23"/>
      <c r="M5" s="23"/>
      <c r="N5" s="23"/>
      <c r="O5" s="23"/>
      <c r="P5" s="23"/>
      <c r="Q5" s="23"/>
    </row>
    <row r="7" spans="2:28" ht="8.1" customHeight="1" x14ac:dyDescent="0.3">
      <c r="B7" s="23"/>
      <c r="C7" s="23"/>
      <c r="D7" s="23"/>
      <c r="E7" s="23"/>
      <c r="F7" s="23"/>
      <c r="G7" s="23"/>
      <c r="H7" s="23"/>
      <c r="I7" s="23"/>
      <c r="J7" s="23"/>
      <c r="K7" s="23"/>
      <c r="L7" s="23"/>
      <c r="M7" s="23"/>
      <c r="N7" s="23"/>
      <c r="O7" s="23"/>
      <c r="P7" s="23"/>
      <c r="Q7" s="23"/>
    </row>
    <row r="8" spans="2:28" x14ac:dyDescent="0.3">
      <c r="B8" s="23"/>
      <c r="Q8" s="23"/>
    </row>
    <row r="9" spans="2:28" s="22" customFormat="1" ht="70.5" customHeight="1" x14ac:dyDescent="0.3">
      <c r="B9" s="35"/>
      <c r="C9" s="86" t="s">
        <v>128</v>
      </c>
      <c r="D9" s="86"/>
      <c r="E9" s="94">
        <f>F9-1</f>
        <v>2022</v>
      </c>
      <c r="F9" s="94">
        <f>G9-1</f>
        <v>2023</v>
      </c>
      <c r="G9" s="95">
        <f>'Date generale'!$D$8</f>
        <v>2024</v>
      </c>
      <c r="H9" s="96">
        <f t="shared" ref="H9:O10" si="2">G9+1</f>
        <v>2025</v>
      </c>
      <c r="I9" s="96">
        <f t="shared" si="2"/>
        <v>2026</v>
      </c>
      <c r="J9" s="96">
        <f t="shared" si="2"/>
        <v>2027</v>
      </c>
      <c r="K9" s="96">
        <f t="shared" si="2"/>
        <v>2028</v>
      </c>
      <c r="L9" s="96">
        <f t="shared" si="2"/>
        <v>2029</v>
      </c>
      <c r="M9" s="96">
        <f t="shared" si="2"/>
        <v>2030</v>
      </c>
      <c r="N9" s="96">
        <f t="shared" si="2"/>
        <v>2031</v>
      </c>
      <c r="O9" s="96">
        <f t="shared" si="2"/>
        <v>2032</v>
      </c>
      <c r="Q9" s="35"/>
      <c r="S9" s="234" t="s">
        <v>129</v>
      </c>
      <c r="T9" s="234"/>
      <c r="U9" s="234"/>
      <c r="V9" s="234"/>
      <c r="W9" s="234"/>
      <c r="X9" s="234"/>
      <c r="Y9" s="234"/>
      <c r="Z9" s="234"/>
      <c r="AA9" s="234"/>
      <c r="AB9" s="234"/>
    </row>
    <row r="10" spans="2:28" x14ac:dyDescent="0.3">
      <c r="B10" s="23"/>
      <c r="C10" s="97"/>
      <c r="D10" s="97"/>
      <c r="E10" s="98">
        <f>F10-1</f>
        <v>-3</v>
      </c>
      <c r="F10" s="98">
        <f>G10-1</f>
        <v>-2</v>
      </c>
      <c r="G10" s="99">
        <v>-1</v>
      </c>
      <c r="H10" s="99">
        <v>0</v>
      </c>
      <c r="I10" s="99">
        <f t="shared" si="2"/>
        <v>1</v>
      </c>
      <c r="J10" s="99">
        <f t="shared" si="2"/>
        <v>2</v>
      </c>
      <c r="K10" s="99">
        <f t="shared" si="2"/>
        <v>3</v>
      </c>
      <c r="L10" s="99">
        <f t="shared" si="2"/>
        <v>4</v>
      </c>
      <c r="M10" s="99">
        <f t="shared" si="2"/>
        <v>5</v>
      </c>
      <c r="N10" s="99">
        <f t="shared" si="2"/>
        <v>6</v>
      </c>
      <c r="O10" s="99">
        <f t="shared" si="2"/>
        <v>7</v>
      </c>
      <c r="Q10" s="35"/>
      <c r="S10" s="167" t="s">
        <v>130</v>
      </c>
      <c r="T10" s="167" t="s">
        <v>131</v>
      </c>
      <c r="U10" s="167" t="s">
        <v>132</v>
      </c>
      <c r="V10" s="167" t="s">
        <v>133</v>
      </c>
      <c r="W10" s="167" t="s">
        <v>134</v>
      </c>
      <c r="X10" s="167" t="s">
        <v>135</v>
      </c>
      <c r="Y10" s="167" t="s">
        <v>136</v>
      </c>
      <c r="Z10" s="167" t="s">
        <v>137</v>
      </c>
      <c r="AA10" s="167" t="s">
        <v>138</v>
      </c>
      <c r="AB10" s="167" t="s">
        <v>139</v>
      </c>
    </row>
    <row r="11" spans="2:28" s="24" customFormat="1" x14ac:dyDescent="0.3">
      <c r="B11" s="61"/>
      <c r="C11" s="42"/>
      <c r="D11" s="51"/>
      <c r="E11" s="62"/>
      <c r="F11" s="62"/>
      <c r="G11" s="62"/>
      <c r="H11" s="62"/>
      <c r="I11" s="62"/>
      <c r="J11" s="62"/>
      <c r="K11" s="62"/>
      <c r="L11" s="62"/>
      <c r="M11" s="62"/>
      <c r="N11" s="62"/>
      <c r="O11" s="62"/>
      <c r="Q11" s="35"/>
      <c r="S11" s="238"/>
      <c r="T11" s="238"/>
      <c r="U11" s="238"/>
      <c r="V11" s="238"/>
      <c r="W11" s="238" t="s">
        <v>140</v>
      </c>
      <c r="X11" s="238"/>
      <c r="Y11" s="238"/>
      <c r="Z11" s="238"/>
      <c r="AA11" s="238"/>
      <c r="AB11" s="238"/>
    </row>
    <row r="12" spans="2:28" x14ac:dyDescent="0.3">
      <c r="B12" s="23"/>
      <c r="C12" s="50" t="s">
        <v>130</v>
      </c>
      <c r="D12" s="43" t="s">
        <v>141</v>
      </c>
      <c r="E12" s="153">
        <v>50233</v>
      </c>
      <c r="F12" s="153">
        <v>59330</v>
      </c>
      <c r="G12" s="153">
        <v>68322</v>
      </c>
      <c r="H12" s="154">
        <f>H36</f>
        <v>74522.11800202445</v>
      </c>
      <c r="I12" s="154">
        <f>I36</f>
        <v>76963.042154954775</v>
      </c>
      <c r="J12" s="154">
        <f t="shared" ref="J12:O12" si="3">J36</f>
        <v>76801.672136811059</v>
      </c>
      <c r="K12" s="154">
        <f t="shared" si="3"/>
        <v>78116.926844545684</v>
      </c>
      <c r="L12" s="154">
        <f t="shared" si="3"/>
        <v>79467.084346677075</v>
      </c>
      <c r="M12" s="154">
        <f t="shared" si="3"/>
        <v>81851.096877077391</v>
      </c>
      <c r="N12" s="154">
        <f t="shared" si="3"/>
        <v>84306.629783389712</v>
      </c>
      <c r="O12" s="154">
        <f t="shared" si="3"/>
        <v>86835.828676891411</v>
      </c>
      <c r="Q12" s="35"/>
      <c r="S12" s="238"/>
      <c r="T12" s="238"/>
      <c r="U12" s="238"/>
      <c r="V12" s="238"/>
      <c r="W12" s="238"/>
      <c r="X12" s="238"/>
      <c r="Y12" s="238"/>
      <c r="Z12" s="238"/>
      <c r="AA12" s="238"/>
      <c r="AB12" s="238"/>
    </row>
    <row r="13" spans="2:28" s="22" customFormat="1" x14ac:dyDescent="0.3">
      <c r="B13" s="35"/>
      <c r="C13" s="50" t="s">
        <v>131</v>
      </c>
      <c r="D13" s="43" t="s">
        <v>141</v>
      </c>
      <c r="E13" s="153">
        <v>0</v>
      </c>
      <c r="F13" s="153">
        <v>0</v>
      </c>
      <c r="G13" s="153"/>
      <c r="H13" s="154">
        <f>H30</f>
        <v>0</v>
      </c>
      <c r="I13" s="154">
        <f t="shared" ref="I13:O13" si="4">I30</f>
        <v>0</v>
      </c>
      <c r="J13" s="154">
        <f t="shared" si="4"/>
        <v>0</v>
      </c>
      <c r="K13" s="154">
        <f t="shared" si="4"/>
        <v>0</v>
      </c>
      <c r="L13" s="154">
        <f t="shared" si="4"/>
        <v>0</v>
      </c>
      <c r="M13" s="154">
        <f t="shared" si="4"/>
        <v>0</v>
      </c>
      <c r="N13" s="154">
        <f t="shared" si="4"/>
        <v>0</v>
      </c>
      <c r="O13" s="154">
        <f t="shared" si="4"/>
        <v>0</v>
      </c>
      <c r="Q13" s="35"/>
      <c r="S13" s="238"/>
      <c r="T13" s="238"/>
      <c r="U13" s="238"/>
      <c r="V13" s="238"/>
      <c r="W13" s="238"/>
      <c r="X13" s="238"/>
      <c r="Y13" s="238"/>
      <c r="Z13" s="238"/>
      <c r="AA13" s="238"/>
      <c r="AB13" s="238"/>
    </row>
    <row r="14" spans="2:28" s="53" customFormat="1" x14ac:dyDescent="0.3">
      <c r="B14" s="63"/>
      <c r="C14" s="40" t="s">
        <v>132</v>
      </c>
      <c r="D14" s="43" t="s">
        <v>141</v>
      </c>
      <c r="E14" s="153">
        <v>185480</v>
      </c>
      <c r="F14" s="153">
        <v>194640</v>
      </c>
      <c r="G14" s="153">
        <v>143928</v>
      </c>
      <c r="H14" s="154">
        <f>G14*(1+'Date macro-economice'!H$9)*(1+'Costuri operare'!H38)</f>
        <v>150260.83199999999</v>
      </c>
      <c r="I14" s="154">
        <f>H14*(1+'Date macro-economice'!I$9)*(1+'Costuri operare'!I38)</f>
        <v>155219.43945599999</v>
      </c>
      <c r="J14" s="154">
        <f>I14*(1+'Date macro-economice'!J$9)*(1+'Costuri operare'!J38)</f>
        <v>159876.02263967998</v>
      </c>
      <c r="K14" s="154">
        <f>J14*(1+'Date macro-economice'!K$9)*(1+'Costuri operare'!K38)</f>
        <v>164672.3033188704</v>
      </c>
      <c r="L14" s="154">
        <f>K14*(1+'Date macro-economice'!L$9)*(1+'Costuri operare'!L38)</f>
        <v>169612.47241843652</v>
      </c>
      <c r="M14" s="154">
        <f>L14*(1+'Date macro-economice'!M$9)*(1+'Costuri operare'!M38)</f>
        <v>174700.84659098962</v>
      </c>
      <c r="N14" s="154">
        <f>M14*(1+'Date macro-economice'!N$9)*(1+'Costuri operare'!N38)</f>
        <v>179941.8719887193</v>
      </c>
      <c r="O14" s="154">
        <f>N14*(1+'Date macro-economice'!O$9)*(1+'Costuri operare'!O38)</f>
        <v>185340.12814838087</v>
      </c>
      <c r="Q14" s="35"/>
      <c r="S14" s="238"/>
      <c r="T14" s="238"/>
      <c r="U14" s="238"/>
      <c r="V14" s="238"/>
      <c r="W14" s="238"/>
      <c r="X14" s="238"/>
      <c r="Y14" s="238"/>
      <c r="Z14" s="238"/>
      <c r="AA14" s="238"/>
      <c r="AB14" s="238"/>
    </row>
    <row r="15" spans="2:28" s="22" customFormat="1" x14ac:dyDescent="0.3">
      <c r="B15" s="35"/>
      <c r="C15" s="40" t="s">
        <v>133</v>
      </c>
      <c r="D15" s="43" t="s">
        <v>141</v>
      </c>
      <c r="E15" s="153">
        <v>438696</v>
      </c>
      <c r="F15" s="153">
        <v>445567</v>
      </c>
      <c r="G15" s="153">
        <v>388668</v>
      </c>
      <c r="H15" s="154">
        <f t="shared" ref="H15:O15" si="5">H45</f>
        <v>399163.37449666078</v>
      </c>
      <c r="I15" s="154">
        <f t="shared" si="5"/>
        <v>407894.21385260555</v>
      </c>
      <c r="J15" s="154">
        <f t="shared" si="5"/>
        <v>405856.86615688755</v>
      </c>
      <c r="K15" s="154">
        <f t="shared" si="5"/>
        <v>412807.30276884529</v>
      </c>
      <c r="L15" s="154">
        <f t="shared" si="5"/>
        <v>419942.18248418689</v>
      </c>
      <c r="M15" s="154">
        <f t="shared" si="5"/>
        <v>432540.44795871258</v>
      </c>
      <c r="N15" s="154">
        <f t="shared" si="5"/>
        <v>445516.66139747394</v>
      </c>
      <c r="O15" s="154">
        <f t="shared" si="5"/>
        <v>458882.16123939818</v>
      </c>
      <c r="Q15" s="35"/>
      <c r="S15" s="238"/>
      <c r="T15" s="238"/>
      <c r="U15" s="238"/>
      <c r="V15" s="238"/>
      <c r="W15" s="238"/>
      <c r="X15" s="238"/>
      <c r="Y15" s="238"/>
      <c r="Z15" s="238"/>
      <c r="AA15" s="238"/>
      <c r="AB15" s="238"/>
    </row>
    <row r="16" spans="2:28" s="22" customFormat="1" x14ac:dyDescent="0.3">
      <c r="B16" s="35"/>
      <c r="C16" s="40" t="s">
        <v>134</v>
      </c>
      <c r="D16" s="43" t="s">
        <v>141</v>
      </c>
      <c r="E16" s="153">
        <v>1371704</v>
      </c>
      <c r="F16" s="153">
        <v>1594549</v>
      </c>
      <c r="G16" s="153">
        <v>1893214</v>
      </c>
      <c r="H16" s="154">
        <f>H48+H49+H50</f>
        <v>2000233.6009920002</v>
      </c>
      <c r="I16" s="154">
        <f t="shared" ref="I16:O16" si="6">I48+I49+I50</f>
        <v>2117380.7822428984</v>
      </c>
      <c r="J16" s="154">
        <f t="shared" si="6"/>
        <v>2234879.5353015126</v>
      </c>
      <c r="K16" s="154">
        <f t="shared" si="6"/>
        <v>2353719.2545911698</v>
      </c>
      <c r="L16" s="154">
        <f t="shared" si="6"/>
        <v>2478878.2759540551</v>
      </c>
      <c r="M16" s="154">
        <f t="shared" si="6"/>
        <v>2610692.6282779118</v>
      </c>
      <c r="N16" s="154">
        <f t="shared" si="6"/>
        <v>2749516.20878659</v>
      </c>
      <c r="O16" s="154">
        <f t="shared" si="6"/>
        <v>2895721.7331888177</v>
      </c>
      <c r="Q16" s="35"/>
      <c r="S16" s="238"/>
      <c r="T16" s="238"/>
      <c r="U16" s="238"/>
      <c r="V16" s="238"/>
      <c r="W16" s="238"/>
      <c r="X16" s="238"/>
      <c r="Y16" s="238"/>
      <c r="Z16" s="238"/>
      <c r="AA16" s="238"/>
      <c r="AB16" s="238"/>
    </row>
    <row r="17" spans="2:28" s="22" customFormat="1" x14ac:dyDescent="0.3">
      <c r="B17" s="35"/>
      <c r="C17" s="40" t="s">
        <v>135</v>
      </c>
      <c r="D17" s="43" t="s">
        <v>141</v>
      </c>
      <c r="E17" s="153">
        <v>0</v>
      </c>
      <c r="F17" s="153">
        <v>0</v>
      </c>
      <c r="G17" s="153">
        <v>0</v>
      </c>
      <c r="H17" s="154">
        <f>G17*(1+H60)*(1+'Date macro-economice'!H$9)</f>
        <v>0</v>
      </c>
      <c r="I17" s="154">
        <f>H17*(1+I60)*(1+'Date macro-economice'!I$9)</f>
        <v>0</v>
      </c>
      <c r="J17" s="154">
        <f>I17*(1+J60)*(1+'Date macro-economice'!J$9)</f>
        <v>0</v>
      </c>
      <c r="K17" s="154">
        <f>J17*(1+K60)*(1+'Date macro-economice'!K$9)</f>
        <v>0</v>
      </c>
      <c r="L17" s="154">
        <f>K17*(1+L60)*(1+'Date macro-economice'!L$9)</f>
        <v>0</v>
      </c>
      <c r="M17" s="154">
        <f>L17*(1+M60)*(1+'Date macro-economice'!M$9)</f>
        <v>0</v>
      </c>
      <c r="N17" s="154">
        <f>M17*(1+N60)*(1+'Date macro-economice'!N$9)</f>
        <v>0</v>
      </c>
      <c r="O17" s="154">
        <f>N17*(1+O60)*(1+'Date macro-economice'!O$9)</f>
        <v>0</v>
      </c>
      <c r="Q17" s="35"/>
      <c r="S17" s="238"/>
      <c r="T17" s="238"/>
      <c r="U17" s="238"/>
      <c r="V17" s="238"/>
      <c r="W17" s="238"/>
      <c r="X17" s="238"/>
      <c r="Y17" s="238"/>
      <c r="Z17" s="238"/>
      <c r="AA17" s="238"/>
      <c r="AB17" s="238"/>
    </row>
    <row r="18" spans="2:28" s="22" customFormat="1" x14ac:dyDescent="0.3">
      <c r="B18" s="35"/>
      <c r="C18" s="40" t="s">
        <v>136</v>
      </c>
      <c r="D18" s="43" t="s">
        <v>141</v>
      </c>
      <c r="E18" s="153">
        <v>58529</v>
      </c>
      <c r="F18" s="153">
        <v>60507</v>
      </c>
      <c r="G18" s="153">
        <v>108564</v>
      </c>
      <c r="H18" s="154">
        <f>G18*(1+H61)*(1+'Date macro-economice'!H$9)</f>
        <v>113340.81600000001</v>
      </c>
      <c r="I18" s="154">
        <f>H18*(1+I61)*(1+'Date macro-economice'!I$9)</f>
        <v>117081.062928</v>
      </c>
      <c r="J18" s="154">
        <f>I18*(1+J61)*(1+'Date macro-economice'!J$9)</f>
        <v>120593.49481584001</v>
      </c>
      <c r="K18" s="154">
        <f>J18*(1+K61)*(1+'Date macro-economice'!K$9)</f>
        <v>124211.29966031521</v>
      </c>
      <c r="L18" s="154">
        <f>K18*(1+L61)*(1+'Date macro-economice'!L$9)</f>
        <v>127937.63865012467</v>
      </c>
      <c r="M18" s="154">
        <f>L18*(1+M61)*(1+'Date macro-economice'!M$9)</f>
        <v>131775.76780962842</v>
      </c>
      <c r="N18" s="154">
        <f>M18*(1+N61)*(1+'Date macro-economice'!N$9)</f>
        <v>135729.04084391729</v>
      </c>
      <c r="O18" s="154">
        <f>N18*(1+O61)*(1+'Date macro-economice'!O$9)</f>
        <v>139800.91206923482</v>
      </c>
      <c r="Q18" s="35"/>
      <c r="S18" s="238"/>
      <c r="T18" s="238"/>
      <c r="U18" s="238"/>
      <c r="V18" s="238"/>
      <c r="W18" s="238"/>
      <c r="X18" s="238"/>
      <c r="Y18" s="238"/>
      <c r="Z18" s="238"/>
      <c r="AA18" s="238"/>
      <c r="AB18" s="238"/>
    </row>
    <row r="19" spans="2:28" s="22" customFormat="1" x14ac:dyDescent="0.3">
      <c r="B19" s="35"/>
      <c r="C19" s="40" t="s">
        <v>137</v>
      </c>
      <c r="D19" s="43" t="s">
        <v>141</v>
      </c>
      <c r="E19" s="153">
        <v>44739</v>
      </c>
      <c r="F19" s="153">
        <v>79126</v>
      </c>
      <c r="G19" s="153">
        <v>119814</v>
      </c>
      <c r="H19" s="154">
        <f t="shared" ref="H19:O20" si="7">G19*(1+H64)</f>
        <v>119814</v>
      </c>
      <c r="I19" s="154">
        <f t="shared" si="7"/>
        <v>119814</v>
      </c>
      <c r="J19" s="154">
        <f t="shared" si="7"/>
        <v>119814</v>
      </c>
      <c r="K19" s="154">
        <f t="shared" si="7"/>
        <v>119814</v>
      </c>
      <c r="L19" s="154">
        <f t="shared" si="7"/>
        <v>119814</v>
      </c>
      <c r="M19" s="154">
        <f t="shared" si="7"/>
        <v>119814</v>
      </c>
      <c r="N19" s="154">
        <f t="shared" si="7"/>
        <v>119814</v>
      </c>
      <c r="O19" s="154">
        <f t="shared" si="7"/>
        <v>119814</v>
      </c>
      <c r="Q19" s="35"/>
      <c r="S19" s="238"/>
      <c r="T19" s="238"/>
      <c r="U19" s="238"/>
      <c r="V19" s="238"/>
      <c r="W19" s="238"/>
      <c r="X19" s="238"/>
      <c r="Y19" s="238"/>
      <c r="Z19" s="238"/>
      <c r="AA19" s="238"/>
      <c r="AB19" s="238"/>
    </row>
    <row r="20" spans="2:28" s="22" customFormat="1" x14ac:dyDescent="0.3">
      <c r="B20" s="35"/>
      <c r="C20" s="40" t="s">
        <v>138</v>
      </c>
      <c r="D20" s="43" t="s">
        <v>141</v>
      </c>
      <c r="E20" s="153">
        <v>0</v>
      </c>
      <c r="F20" s="153">
        <v>0</v>
      </c>
      <c r="G20" s="153">
        <v>0.1</v>
      </c>
      <c r="H20" s="154">
        <f t="shared" si="7"/>
        <v>379123.22139999998</v>
      </c>
      <c r="I20" s="154">
        <f t="shared" si="7"/>
        <v>417011.01266666665</v>
      </c>
      <c r="J20" s="154">
        <f t="shared" si="7"/>
        <v>445244.91266666667</v>
      </c>
      <c r="K20" s="154">
        <f t="shared" si="7"/>
        <v>479557.24600000004</v>
      </c>
      <c r="L20" s="154">
        <f t="shared" si="7"/>
        <v>524427.47933333344</v>
      </c>
      <c r="M20" s="154">
        <f t="shared" si="7"/>
        <v>557353.61266666674</v>
      </c>
      <c r="N20" s="154">
        <f t="shared" si="7"/>
        <v>827590.6333333333</v>
      </c>
      <c r="O20" s="154">
        <f t="shared" si="7"/>
        <v>835784.6</v>
      </c>
      <c r="Q20" s="35"/>
      <c r="S20" s="238"/>
      <c r="T20" s="238"/>
      <c r="U20" s="238"/>
      <c r="V20" s="238"/>
      <c r="W20" s="238"/>
      <c r="X20" s="238"/>
      <c r="Y20" s="238"/>
      <c r="Z20" s="238"/>
      <c r="AA20" s="238"/>
      <c r="AB20" s="238"/>
    </row>
    <row r="21" spans="2:28" s="22" customFormat="1" ht="28.8" x14ac:dyDescent="0.3">
      <c r="B21" s="35"/>
      <c r="C21" s="40" t="s">
        <v>142</v>
      </c>
      <c r="D21" s="43" t="s">
        <v>141</v>
      </c>
      <c r="E21" s="153">
        <v>0</v>
      </c>
      <c r="F21" s="153">
        <v>0</v>
      </c>
      <c r="G21" s="153">
        <v>0</v>
      </c>
      <c r="H21" s="153">
        <v>0</v>
      </c>
      <c r="I21" s="153">
        <v>0</v>
      </c>
      <c r="J21" s="153">
        <v>0</v>
      </c>
      <c r="K21" s="153">
        <v>0</v>
      </c>
      <c r="L21" s="153">
        <v>0</v>
      </c>
      <c r="M21" s="153">
        <v>0</v>
      </c>
      <c r="N21" s="153">
        <v>0</v>
      </c>
      <c r="O21" s="153">
        <v>0</v>
      </c>
      <c r="Q21" s="35"/>
      <c r="S21" s="238"/>
      <c r="T21" s="238"/>
      <c r="U21" s="238"/>
      <c r="V21" s="238"/>
      <c r="W21" s="238"/>
      <c r="X21" s="238"/>
      <c r="Y21" s="238"/>
      <c r="Z21" s="238"/>
      <c r="AA21" s="238"/>
      <c r="AB21" s="238"/>
    </row>
    <row r="22" spans="2:28" s="22" customFormat="1" x14ac:dyDescent="0.3">
      <c r="B22" s="35"/>
      <c r="C22" s="155" t="s">
        <v>143</v>
      </c>
      <c r="D22" s="129" t="s">
        <v>141</v>
      </c>
      <c r="E22" s="153">
        <v>101888</v>
      </c>
      <c r="F22" s="153">
        <v>82829</v>
      </c>
      <c r="G22" s="153">
        <f>20843+4404</f>
        <v>25247</v>
      </c>
      <c r="H22" s="154">
        <f>G22*(1+H62)*(1+'Date macro-economice'!H$9)</f>
        <v>26357.868000000002</v>
      </c>
      <c r="I22" s="154">
        <f>H22*(1+I62)*(1+'Date macro-economice'!I$9)</f>
        <v>27227.677643999999</v>
      </c>
      <c r="J22" s="154">
        <f>I22*(1+J62)*(1+'Date macro-economice'!J$9)</f>
        <v>28044.50797332</v>
      </c>
      <c r="K22" s="154">
        <f>J22*(1+K62)*(1+'Date macro-economice'!K$9)</f>
        <v>28885.843212519601</v>
      </c>
      <c r="L22" s="154">
        <f>K22*(1+L62)*(1+'Date macro-economice'!L$9)</f>
        <v>29752.418508895189</v>
      </c>
      <c r="M22" s="154">
        <f>L22*(1+M62)*(1+'Date macro-economice'!M$9)</f>
        <v>30644.991064162044</v>
      </c>
      <c r="N22" s="154">
        <f>M22*(1+N62)*(1+'Date macro-economice'!N$9)</f>
        <v>31564.340796086908</v>
      </c>
      <c r="O22" s="154">
        <f>N22*(1+O62)*(1+'Date macro-economice'!O$9)</f>
        <v>32511.271019969518</v>
      </c>
      <c r="Q22" s="35"/>
      <c r="S22" s="238"/>
      <c r="T22" s="238"/>
      <c r="U22" s="238"/>
      <c r="V22" s="238"/>
      <c r="W22" s="238"/>
      <c r="X22" s="238"/>
      <c r="Y22" s="238"/>
      <c r="Z22" s="238"/>
      <c r="AA22" s="238"/>
      <c r="AB22" s="238"/>
    </row>
    <row r="23" spans="2:28" s="22" customFormat="1" x14ac:dyDescent="0.3">
      <c r="B23" s="35"/>
      <c r="C23" s="42" t="s">
        <v>144</v>
      </c>
      <c r="D23" s="51" t="s">
        <v>141</v>
      </c>
      <c r="E23" s="156">
        <f t="shared" ref="E23:O23" si="8">SUM(E12:E22)</f>
        <v>2251269</v>
      </c>
      <c r="F23" s="156">
        <f t="shared" si="8"/>
        <v>2516548</v>
      </c>
      <c r="G23" s="156">
        <f t="shared" si="8"/>
        <v>2747757.1</v>
      </c>
      <c r="H23" s="156">
        <f t="shared" si="8"/>
        <v>3262815.8308906853</v>
      </c>
      <c r="I23" s="156">
        <f t="shared" si="8"/>
        <v>3438591.2309451248</v>
      </c>
      <c r="J23" s="156">
        <f t="shared" si="8"/>
        <v>3591111.0116907177</v>
      </c>
      <c r="K23" s="156">
        <f t="shared" si="8"/>
        <v>3761784.1763962666</v>
      </c>
      <c r="L23" s="156">
        <f t="shared" si="8"/>
        <v>3949831.5516957096</v>
      </c>
      <c r="M23" s="156">
        <f t="shared" si="8"/>
        <v>4139373.3912451481</v>
      </c>
      <c r="N23" s="156">
        <f t="shared" si="8"/>
        <v>4573979.3869295102</v>
      </c>
      <c r="O23" s="156">
        <f t="shared" si="8"/>
        <v>4754690.6343426919</v>
      </c>
      <c r="Q23" s="35"/>
      <c r="S23" s="238"/>
      <c r="T23" s="238"/>
      <c r="U23" s="238"/>
      <c r="V23" s="238"/>
      <c r="W23" s="238"/>
      <c r="X23" s="238"/>
      <c r="Y23" s="238"/>
      <c r="Z23" s="238"/>
      <c r="AA23" s="238"/>
      <c r="AB23" s="238"/>
    </row>
    <row r="24" spans="2:28" s="22" customFormat="1" x14ac:dyDescent="0.3">
      <c r="B24" s="35"/>
      <c r="Q24" s="35"/>
      <c r="S24" s="238"/>
      <c r="T24" s="238"/>
      <c r="U24" s="238"/>
      <c r="V24" s="238"/>
      <c r="W24" s="238"/>
      <c r="X24" s="238"/>
      <c r="Y24" s="238"/>
      <c r="Z24" s="238"/>
      <c r="AA24" s="238"/>
      <c r="AB24" s="238"/>
    </row>
    <row r="25" spans="2:28" s="22" customFormat="1" x14ac:dyDescent="0.3">
      <c r="B25" s="35"/>
      <c r="Q25" s="35"/>
      <c r="S25" s="238"/>
      <c r="T25" s="238"/>
      <c r="U25" s="238"/>
      <c r="V25" s="238"/>
      <c r="W25" s="238"/>
      <c r="X25" s="238"/>
      <c r="Y25" s="238"/>
      <c r="Z25" s="238"/>
      <c r="AA25" s="238"/>
      <c r="AB25" s="238"/>
    </row>
    <row r="26" spans="2:28" s="22" customFormat="1" x14ac:dyDescent="0.3">
      <c r="B26" s="35"/>
      <c r="C26" s="66" t="s">
        <v>145</v>
      </c>
      <c r="D26" s="40"/>
      <c r="E26" s="40"/>
      <c r="F26" s="40"/>
      <c r="G26" s="40"/>
      <c r="H26" s="40"/>
      <c r="I26" s="40"/>
      <c r="J26" s="40"/>
      <c r="K26" s="40"/>
      <c r="L26" s="40"/>
      <c r="M26" s="40"/>
      <c r="N26" s="40"/>
      <c r="O26" s="40"/>
      <c r="Q26" s="35"/>
      <c r="S26" s="238"/>
      <c r="T26" s="238"/>
      <c r="U26" s="238"/>
      <c r="V26" s="238"/>
      <c r="W26" s="238"/>
      <c r="X26" s="238"/>
      <c r="Y26" s="238"/>
      <c r="Z26" s="238"/>
      <c r="AA26" s="238"/>
      <c r="AB26" s="238"/>
    </row>
    <row r="27" spans="2:28" s="22" customFormat="1" x14ac:dyDescent="0.3">
      <c r="B27" s="35"/>
      <c r="C27" s="40" t="s">
        <v>146</v>
      </c>
      <c r="D27" s="43" t="s">
        <v>83</v>
      </c>
      <c r="E27" s="87">
        <v>0</v>
      </c>
      <c r="F27" s="87">
        <v>0</v>
      </c>
      <c r="G27" s="87">
        <v>0</v>
      </c>
      <c r="H27" s="87">
        <v>0</v>
      </c>
      <c r="I27" s="87">
        <v>0</v>
      </c>
      <c r="J27" s="87">
        <v>0</v>
      </c>
      <c r="K27" s="87">
        <v>0</v>
      </c>
      <c r="L27" s="87">
        <v>0</v>
      </c>
      <c r="M27" s="87">
        <v>0</v>
      </c>
      <c r="N27" s="87">
        <v>0</v>
      </c>
      <c r="O27" s="87">
        <v>0</v>
      </c>
      <c r="Q27" s="35"/>
      <c r="S27" s="238"/>
      <c r="T27" s="238"/>
      <c r="U27" s="238"/>
      <c r="V27" s="238"/>
      <c r="W27" s="238"/>
      <c r="X27" s="238"/>
      <c r="Y27" s="238"/>
      <c r="Z27" s="238"/>
      <c r="AA27" s="238"/>
      <c r="AB27" s="238"/>
    </row>
    <row r="28" spans="2:28" s="22" customFormat="1" x14ac:dyDescent="0.3">
      <c r="B28" s="35"/>
      <c r="C28" s="40" t="s">
        <v>147</v>
      </c>
      <c r="D28" s="43" t="s">
        <v>36</v>
      </c>
      <c r="E28" s="157" t="e">
        <f>E30/E27</f>
        <v>#DIV/0!</v>
      </c>
      <c r="F28" s="157" t="e">
        <f>F30/F27</f>
        <v>#DIV/0!</v>
      </c>
      <c r="G28" s="157">
        <f>IFERROR(G30/G27,0)</f>
        <v>0</v>
      </c>
      <c r="H28" s="157">
        <f>G28*(1+'Date macro-economice'!H$9)*(1+'Costuri operare'!H29)</f>
        <v>0</v>
      </c>
      <c r="I28" s="157">
        <f>H28*(1+'Date macro-economice'!I$9)*(1+'Costuri operare'!I29)</f>
        <v>0</v>
      </c>
      <c r="J28" s="157">
        <f>I28*(1+'Date macro-economice'!J$9)*(1+'Costuri operare'!J29)</f>
        <v>0</v>
      </c>
      <c r="K28" s="157">
        <f>J28*(1+'Date macro-economice'!K$9)*(1+'Costuri operare'!K29)</f>
        <v>0</v>
      </c>
      <c r="L28" s="157">
        <f>K28*(1+'Date macro-economice'!L$9)*(1+'Costuri operare'!L29)</f>
        <v>0</v>
      </c>
      <c r="M28" s="157">
        <f>L28*(1+'Date macro-economice'!M$9)*(1+'Costuri operare'!M29)</f>
        <v>0</v>
      </c>
      <c r="N28" s="157">
        <f>M28*(1+'Date macro-economice'!N$9)*(1+'Costuri operare'!N29)</f>
        <v>0</v>
      </c>
      <c r="O28" s="157">
        <f>N28*(1+'Date macro-economice'!O$9)*(1+'Costuri operare'!O29)</f>
        <v>0</v>
      </c>
      <c r="Q28" s="35"/>
      <c r="S28" s="238"/>
      <c r="T28" s="238"/>
      <c r="U28" s="238"/>
      <c r="V28" s="238"/>
      <c r="W28" s="238"/>
      <c r="X28" s="238"/>
      <c r="Y28" s="238"/>
      <c r="Z28" s="238"/>
      <c r="AA28" s="238"/>
      <c r="AB28" s="238"/>
    </row>
    <row r="29" spans="2:28" s="22" customFormat="1" x14ac:dyDescent="0.3">
      <c r="B29" s="35"/>
      <c r="C29" s="40" t="s">
        <v>148</v>
      </c>
      <c r="D29" s="43" t="s">
        <v>47</v>
      </c>
      <c r="E29" s="158" t="s">
        <v>92</v>
      </c>
      <c r="F29" s="36" t="e">
        <f>(F28/E28)/(1+'Date macro-economice'!F$9)-1</f>
        <v>#DIV/0!</v>
      </c>
      <c r="G29" s="36">
        <f>IFERROR((G28/F28)/(1+'Date macro-economice'!G$9)-1,0)</f>
        <v>0</v>
      </c>
      <c r="H29" s="159">
        <v>0</v>
      </c>
      <c r="I29" s="159">
        <v>0</v>
      </c>
      <c r="J29" s="159">
        <v>0</v>
      </c>
      <c r="K29" s="159">
        <v>0</v>
      </c>
      <c r="L29" s="159">
        <v>0</v>
      </c>
      <c r="M29" s="159">
        <v>0</v>
      </c>
      <c r="N29" s="159">
        <v>0</v>
      </c>
      <c r="O29" s="159">
        <v>0</v>
      </c>
      <c r="Q29" s="35"/>
      <c r="S29" s="238"/>
      <c r="T29" s="238"/>
      <c r="U29" s="238"/>
      <c r="V29" s="238"/>
      <c r="W29" s="238"/>
      <c r="X29" s="238"/>
      <c r="Y29" s="238"/>
      <c r="Z29" s="238"/>
      <c r="AA29" s="238"/>
      <c r="AB29" s="238"/>
    </row>
    <row r="30" spans="2:28" x14ac:dyDescent="0.3">
      <c r="B30" s="35"/>
      <c r="C30" s="81" t="s">
        <v>149</v>
      </c>
      <c r="D30" s="82" t="s">
        <v>141</v>
      </c>
      <c r="E30" s="91">
        <f>E13</f>
        <v>0</v>
      </c>
      <c r="F30" s="91">
        <f>F13</f>
        <v>0</v>
      </c>
      <c r="G30" s="91">
        <f>G13</f>
        <v>0</v>
      </c>
      <c r="H30" s="91">
        <f>H27*H28</f>
        <v>0</v>
      </c>
      <c r="I30" s="91">
        <f t="shared" ref="I30:O30" si="9">I27*I28</f>
        <v>0</v>
      </c>
      <c r="J30" s="91">
        <f t="shared" si="9"/>
        <v>0</v>
      </c>
      <c r="K30" s="91">
        <f t="shared" si="9"/>
        <v>0</v>
      </c>
      <c r="L30" s="91">
        <f t="shared" si="9"/>
        <v>0</v>
      </c>
      <c r="M30" s="91">
        <f t="shared" si="9"/>
        <v>0</v>
      </c>
      <c r="N30" s="91">
        <f t="shared" si="9"/>
        <v>0</v>
      </c>
      <c r="O30" s="91">
        <f t="shared" si="9"/>
        <v>0</v>
      </c>
      <c r="Q30" s="35"/>
      <c r="S30" s="238"/>
      <c r="T30" s="238"/>
      <c r="U30" s="238"/>
      <c r="V30" s="238"/>
      <c r="W30" s="238"/>
      <c r="X30" s="238"/>
      <c r="Y30" s="238"/>
      <c r="Z30" s="238"/>
      <c r="AA30" s="238"/>
      <c r="AB30" s="238"/>
    </row>
    <row r="31" spans="2:28" x14ac:dyDescent="0.3">
      <c r="B31" s="35"/>
      <c r="Q31" s="35"/>
      <c r="S31" s="238"/>
      <c r="T31" s="238"/>
      <c r="U31" s="238"/>
      <c r="V31" s="238"/>
      <c r="W31" s="238"/>
      <c r="X31" s="238"/>
      <c r="Y31" s="238"/>
      <c r="Z31" s="238"/>
      <c r="AA31" s="238"/>
      <c r="AB31" s="238"/>
    </row>
    <row r="32" spans="2:28" s="22" customFormat="1" ht="27.75" customHeight="1" x14ac:dyDescent="0.3">
      <c r="B32" s="35"/>
      <c r="C32" s="66" t="s">
        <v>150</v>
      </c>
      <c r="D32" s="40"/>
      <c r="E32" s="40"/>
      <c r="F32" s="40"/>
      <c r="G32" s="40"/>
      <c r="H32" s="40"/>
      <c r="I32" s="40"/>
      <c r="J32" s="40"/>
      <c r="K32" s="40"/>
      <c r="L32" s="40"/>
      <c r="M32" s="40"/>
      <c r="N32" s="40"/>
      <c r="O32" s="40"/>
      <c r="Q32" s="35"/>
      <c r="S32" s="238"/>
      <c r="T32" s="238"/>
      <c r="U32" s="238"/>
      <c r="V32" s="238"/>
      <c r="W32" s="238"/>
      <c r="X32" s="238"/>
      <c r="Y32" s="238"/>
      <c r="Z32" s="238"/>
      <c r="AA32" s="238"/>
      <c r="AB32" s="238"/>
    </row>
    <row r="33" spans="2:28" s="22" customFormat="1" x14ac:dyDescent="0.3">
      <c r="B33" s="35"/>
      <c r="C33" s="40" t="s">
        <v>151</v>
      </c>
      <c r="D33" s="43" t="s">
        <v>83</v>
      </c>
      <c r="E33" s="87">
        <f>Cererea!E87</f>
        <v>725626</v>
      </c>
      <c r="F33" s="87">
        <f>Cererea!F87</f>
        <v>695839</v>
      </c>
      <c r="G33" s="87">
        <f>Cererea!G87</f>
        <v>645507</v>
      </c>
      <c r="H33" s="160">
        <f>Cererea!H87</f>
        <v>634998</v>
      </c>
      <c r="I33" s="160">
        <f>Cererea!I87</f>
        <v>628158</v>
      </c>
      <c r="J33" s="160">
        <f>Cererea!J87</f>
        <v>606816</v>
      </c>
      <c r="K33" s="160">
        <f>Cererea!K87</f>
        <v>599231</v>
      </c>
      <c r="L33" s="160">
        <f>Cererea!L87</f>
        <v>591833</v>
      </c>
      <c r="M33" s="160">
        <f>Cererea!M87</f>
        <v>591833</v>
      </c>
      <c r="N33" s="160">
        <f>Cererea!N87</f>
        <v>591833</v>
      </c>
      <c r="O33" s="160">
        <f>Cererea!O87</f>
        <v>591833</v>
      </c>
      <c r="Q33" s="35"/>
      <c r="S33" s="238"/>
      <c r="T33" s="238"/>
      <c r="U33" s="238"/>
      <c r="V33" s="238"/>
      <c r="W33" s="238"/>
      <c r="X33" s="238"/>
      <c r="Y33" s="238"/>
      <c r="Z33" s="238"/>
      <c r="AA33" s="238"/>
      <c r="AB33" s="238"/>
    </row>
    <row r="34" spans="2:28" s="22" customFormat="1" x14ac:dyDescent="0.3">
      <c r="B34" s="35"/>
      <c r="C34" s="40" t="s">
        <v>147</v>
      </c>
      <c r="D34" s="43" t="s">
        <v>36</v>
      </c>
      <c r="E34" s="161">
        <f>E36/E33</f>
        <v>6.9227122512148132E-2</v>
      </c>
      <c r="F34" s="161">
        <f>F36/F33</f>
        <v>8.5263976293366711E-2</v>
      </c>
      <c r="G34" s="161">
        <f>IFERROR(G36/G33,0)</f>
        <v>0.10584238435834158</v>
      </c>
      <c r="H34" s="161">
        <f>G34*(1+'Date macro-economice'!G$9)*(1+'Costuri operare'!H35)</f>
        <v>0.11735803577652915</v>
      </c>
      <c r="I34" s="161">
        <f>H34*(1+'Date macro-economice'!H$9)*(1+'Costuri operare'!I35)</f>
        <v>0.12252178935069644</v>
      </c>
      <c r="J34" s="161">
        <f>I34*(1+'Date macro-economice'!I$9)*(1+'Costuri operare'!J35)</f>
        <v>0.1265650083992694</v>
      </c>
      <c r="K34" s="161">
        <f>J34*(1+'Date macro-economice'!J$9)*(1+'Costuri operare'!K35)</f>
        <v>0.1303619586512475</v>
      </c>
      <c r="L34" s="161">
        <f>K34*(1+'Date macro-economice'!K$9)*(1+'Costuri operare'!L35)</f>
        <v>0.13427281741078492</v>
      </c>
      <c r="M34" s="161">
        <f>L34*(1+'Date macro-economice'!L$9)*(1+'Costuri operare'!M35)</f>
        <v>0.13830100193310849</v>
      </c>
      <c r="N34" s="161">
        <f>M34*(1+'Date macro-economice'!M$9)*(1+'Costuri operare'!N35)</f>
        <v>0.14245003199110173</v>
      </c>
      <c r="O34" s="161">
        <f>N34*(1+'Date macro-economice'!N$9)*(1+'Costuri operare'!O35)</f>
        <v>0.14672353295083479</v>
      </c>
      <c r="Q34" s="35"/>
      <c r="S34" s="238"/>
      <c r="T34" s="238"/>
      <c r="U34" s="238"/>
      <c r="V34" s="238"/>
      <c r="W34" s="238"/>
      <c r="X34" s="238"/>
      <c r="Y34" s="238"/>
      <c r="Z34" s="238"/>
      <c r="AA34" s="238"/>
      <c r="AB34" s="238"/>
    </row>
    <row r="35" spans="2:28" s="22" customFormat="1" x14ac:dyDescent="0.3">
      <c r="B35" s="35"/>
      <c r="C35" s="40" t="s">
        <v>148</v>
      </c>
      <c r="D35" s="43" t="s">
        <v>47</v>
      </c>
      <c r="E35" s="158" t="s">
        <v>92</v>
      </c>
      <c r="F35" s="36">
        <f>(F34/E34)/(1+'Date macro-economice'!F$9)-1</f>
        <v>0.11563011406430279</v>
      </c>
      <c r="G35" s="36">
        <f>IFERROR((G34/F34)/(1+'Date macro-economice'!G$9)-1,0)</f>
        <v>0.17552024899132568</v>
      </c>
      <c r="H35" s="159">
        <v>0.05</v>
      </c>
      <c r="I35" s="159"/>
      <c r="J35" s="159"/>
      <c r="K35" s="159"/>
      <c r="L35" s="159"/>
      <c r="M35" s="159"/>
      <c r="N35" s="159"/>
      <c r="O35" s="159"/>
      <c r="Q35" s="35"/>
      <c r="S35" s="238"/>
      <c r="T35" s="238"/>
      <c r="U35" s="238"/>
      <c r="V35" s="238"/>
      <c r="W35" s="238"/>
      <c r="X35" s="238"/>
      <c r="Y35" s="238"/>
      <c r="Z35" s="238"/>
      <c r="AA35" s="238"/>
      <c r="AB35" s="238"/>
    </row>
    <row r="36" spans="2:28" x14ac:dyDescent="0.3">
      <c r="B36" s="35"/>
      <c r="C36" s="81" t="s">
        <v>149</v>
      </c>
      <c r="D36" s="82" t="s">
        <v>141</v>
      </c>
      <c r="E36" s="91">
        <f>E12</f>
        <v>50233</v>
      </c>
      <c r="F36" s="91">
        <f>F12</f>
        <v>59330</v>
      </c>
      <c r="G36" s="91">
        <f>G12</f>
        <v>68322</v>
      </c>
      <c r="H36" s="91">
        <f>H33*H34</f>
        <v>74522.11800202445</v>
      </c>
      <c r="I36" s="91">
        <f>I33*I34</f>
        <v>76963.042154954775</v>
      </c>
      <c r="J36" s="91">
        <f t="shared" ref="J36:O36" si="10">J33*J34</f>
        <v>76801.672136811059</v>
      </c>
      <c r="K36" s="91">
        <f t="shared" si="10"/>
        <v>78116.926844545684</v>
      </c>
      <c r="L36" s="91">
        <f t="shared" si="10"/>
        <v>79467.084346677075</v>
      </c>
      <c r="M36" s="91">
        <f t="shared" si="10"/>
        <v>81851.096877077391</v>
      </c>
      <c r="N36" s="91">
        <f t="shared" si="10"/>
        <v>84306.629783389712</v>
      </c>
      <c r="O36" s="91">
        <f t="shared" si="10"/>
        <v>86835.828676891411</v>
      </c>
      <c r="Q36" s="35"/>
      <c r="S36" s="238"/>
      <c r="T36" s="238"/>
      <c r="U36" s="238"/>
      <c r="V36" s="238"/>
      <c r="W36" s="238"/>
      <c r="X36" s="238"/>
      <c r="Y36" s="238"/>
      <c r="Z36" s="238"/>
      <c r="AA36" s="238"/>
      <c r="AB36" s="238"/>
    </row>
    <row r="37" spans="2:28" x14ac:dyDescent="0.3">
      <c r="B37" s="35"/>
      <c r="Q37" s="35"/>
      <c r="S37" s="238"/>
      <c r="T37" s="238"/>
      <c r="U37" s="238"/>
      <c r="V37" s="238"/>
      <c r="W37" s="238"/>
      <c r="X37" s="238"/>
      <c r="Y37" s="238"/>
      <c r="Z37" s="238"/>
      <c r="AA37" s="238"/>
      <c r="AB37" s="238"/>
    </row>
    <row r="38" spans="2:28" x14ac:dyDescent="0.3">
      <c r="B38" s="35"/>
      <c r="C38" s="40" t="s">
        <v>152</v>
      </c>
      <c r="D38" s="43" t="s">
        <v>47</v>
      </c>
      <c r="E38" s="92" t="s">
        <v>92</v>
      </c>
      <c r="F38" s="162">
        <f>(F14/E14)/(1+'Date macro-economice'!F$9)-1</f>
        <v>-4.9469765871862581E-2</v>
      </c>
      <c r="G38" s="162">
        <f>IFERROR((G14/F14)/(1+'Date macro-economice'!G$9)-1,0)</f>
        <v>-0.29975619325187763</v>
      </c>
      <c r="H38" s="159"/>
      <c r="I38" s="159"/>
      <c r="J38" s="159"/>
      <c r="K38" s="159"/>
      <c r="L38" s="159"/>
      <c r="M38" s="159"/>
      <c r="N38" s="159"/>
      <c r="O38" s="159"/>
      <c r="Q38" s="35"/>
      <c r="S38" s="238"/>
      <c r="T38" s="238"/>
      <c r="U38" s="238"/>
      <c r="V38" s="238"/>
      <c r="W38" s="238"/>
      <c r="X38" s="238"/>
      <c r="Y38" s="238"/>
      <c r="Z38" s="238"/>
      <c r="AA38" s="238"/>
      <c r="AB38" s="238"/>
    </row>
    <row r="39" spans="2:28" x14ac:dyDescent="0.3">
      <c r="B39" s="35"/>
      <c r="Q39" s="35"/>
      <c r="S39" s="238"/>
      <c r="T39" s="238"/>
      <c r="U39" s="238"/>
      <c r="V39" s="238"/>
      <c r="W39" s="238"/>
      <c r="X39" s="238"/>
      <c r="Y39" s="238"/>
      <c r="Z39" s="238"/>
      <c r="AA39" s="238"/>
      <c r="AB39" s="238"/>
    </row>
    <row r="40" spans="2:28" s="22" customFormat="1" x14ac:dyDescent="0.3">
      <c r="B40" s="35"/>
      <c r="C40" s="66" t="s">
        <v>153</v>
      </c>
      <c r="D40" s="40"/>
      <c r="E40" s="40"/>
      <c r="F40" s="40"/>
      <c r="G40" s="40"/>
      <c r="H40" s="40"/>
      <c r="I40" s="40"/>
      <c r="J40" s="40"/>
      <c r="K40" s="40"/>
      <c r="L40" s="40"/>
      <c r="M40" s="40"/>
      <c r="N40" s="40"/>
      <c r="O40" s="40"/>
      <c r="Q40" s="35"/>
      <c r="S40" s="238"/>
      <c r="T40" s="238"/>
      <c r="U40" s="238"/>
      <c r="V40" s="238"/>
      <c r="W40" s="238"/>
      <c r="X40" s="238"/>
      <c r="Y40" s="238"/>
      <c r="Z40" s="238"/>
      <c r="AA40" s="238"/>
      <c r="AB40" s="238"/>
    </row>
    <row r="41" spans="2:28" s="22" customFormat="1" x14ac:dyDescent="0.3">
      <c r="B41" s="35"/>
      <c r="C41" s="40" t="s">
        <v>154</v>
      </c>
      <c r="D41" s="43" t="s">
        <v>155</v>
      </c>
      <c r="E41" s="87">
        <v>448926</v>
      </c>
      <c r="F41" s="87">
        <v>437275</v>
      </c>
      <c r="G41" s="87">
        <v>417419</v>
      </c>
      <c r="H41" s="87">
        <f>G41/G33*H33</f>
        <v>410623.32424280449</v>
      </c>
      <c r="I41" s="87">
        <f t="shared" ref="I41:O41" si="11">H41/H33*I33</f>
        <v>406200.21812621708</v>
      </c>
      <c r="J41" s="87">
        <f t="shared" si="11"/>
        <v>392399.35105893505</v>
      </c>
      <c r="K41" s="87">
        <f t="shared" si="11"/>
        <v>387494.48850128654</v>
      </c>
      <c r="L41" s="87">
        <f t="shared" si="11"/>
        <v>382710.55004360911</v>
      </c>
      <c r="M41" s="87">
        <f t="shared" si="11"/>
        <v>382710.55004360911</v>
      </c>
      <c r="N41" s="87">
        <f t="shared" si="11"/>
        <v>382710.55004360911</v>
      </c>
      <c r="O41" s="87">
        <f t="shared" si="11"/>
        <v>382710.55004360911</v>
      </c>
      <c r="Q41" s="35"/>
      <c r="S41" s="238"/>
      <c r="T41" s="238"/>
      <c r="U41" s="238"/>
      <c r="V41" s="238"/>
      <c r="W41" s="238"/>
      <c r="X41" s="238"/>
      <c r="Y41" s="238"/>
      <c r="Z41" s="238"/>
      <c r="AA41" s="238"/>
      <c r="AB41" s="238"/>
    </row>
    <row r="42" spans="2:28" s="22" customFormat="1" x14ac:dyDescent="0.3">
      <c r="B42" s="35"/>
      <c r="C42" s="40" t="s">
        <v>156</v>
      </c>
      <c r="D42" s="43" t="s">
        <v>157</v>
      </c>
      <c r="E42" s="105">
        <f>E41/(Cererea!E23+Cererea!E46)</f>
        <v>0.93806300894127681</v>
      </c>
      <c r="F42" s="105">
        <f>F41/(Cererea!F23+Cererea!F46)</f>
        <v>0.93596623222622011</v>
      </c>
      <c r="G42" s="105">
        <f>IFERROR(G41/(Cererea!G23+Cererea!G46),0)</f>
        <v>0.89997843944718747</v>
      </c>
      <c r="H42" s="105">
        <f>H41/(Cererea!H23+Cererea!H46)</f>
        <v>0.87385590666521751</v>
      </c>
      <c r="I42" s="105">
        <f>I41/(Cererea!I23+Cererea!I46)</f>
        <v>0.85085889659294844</v>
      </c>
      <c r="J42" s="105">
        <f>J41/(Cererea!J23+Cererea!J46)</f>
        <v>0.81854822305732711</v>
      </c>
      <c r="K42" s="105">
        <f>K41/(Cererea!K23+Cererea!K46)</f>
        <v>0.80831664005376447</v>
      </c>
      <c r="L42" s="105">
        <f>L41/(Cererea!L23+Cererea!L46)</f>
        <v>0.79833730570170702</v>
      </c>
      <c r="M42" s="105">
        <f>M41/(Cererea!M23+Cererea!M46)</f>
        <v>0.79833730570170702</v>
      </c>
      <c r="N42" s="105">
        <f>N41/(Cererea!N23+Cererea!N46)</f>
        <v>0.79833730570170702</v>
      </c>
      <c r="O42" s="105">
        <f>O41/(Cererea!O23+Cererea!O46)</f>
        <v>0.79833730570170702</v>
      </c>
      <c r="Q42" s="35"/>
      <c r="S42" s="238"/>
      <c r="T42" s="238"/>
      <c r="U42" s="238"/>
      <c r="V42" s="238"/>
      <c r="W42" s="238"/>
      <c r="X42" s="238"/>
      <c r="Y42" s="238"/>
      <c r="Z42" s="238"/>
      <c r="AA42" s="238"/>
      <c r="AB42" s="238"/>
    </row>
    <row r="43" spans="2:28" s="22" customFormat="1" x14ac:dyDescent="0.3">
      <c r="B43" s="35"/>
      <c r="C43" s="40" t="s">
        <v>147</v>
      </c>
      <c r="D43" s="43" t="s">
        <v>158</v>
      </c>
      <c r="E43" s="161">
        <f>E15/E41</f>
        <v>0.97721227997487337</v>
      </c>
      <c r="F43" s="161">
        <f>F15/F41</f>
        <v>1.0189628952032475</v>
      </c>
      <c r="G43" s="161">
        <f>IFERROR(G15/G41,0)</f>
        <v>0.93112196617786924</v>
      </c>
      <c r="H43" s="161">
        <f>G43*(1+'Date macro-economice'!H$9)*(1+H44)</f>
        <v>0.9720913326896955</v>
      </c>
      <c r="I43" s="161">
        <f>H43*(1+'Date macro-economice'!I$9)*(1+I44)</f>
        <v>1.0041703466684553</v>
      </c>
      <c r="J43" s="161">
        <f>I43*(1+'Date macro-economice'!J$9)*(1+J44)</f>
        <v>1.034295457068509</v>
      </c>
      <c r="K43" s="161">
        <f>J43*(1+'Date macro-economice'!K$9)*(1+K44)</f>
        <v>1.0653243207805643</v>
      </c>
      <c r="L43" s="161">
        <f>K43*(1+'Date macro-economice'!L$9)*(1+L44)</f>
        <v>1.0972840504039811</v>
      </c>
      <c r="M43" s="161">
        <f>L43*(1+'Date macro-economice'!M$9)*(1+M44)</f>
        <v>1.1302025719161006</v>
      </c>
      <c r="N43" s="161">
        <f>M43*(1+'Date macro-economice'!N$9)*(1+N44)</f>
        <v>1.1641086490735837</v>
      </c>
      <c r="O43" s="161">
        <f>N43*(1+'Date macro-economice'!O$9)*(1+O44)</f>
        <v>1.1990319085457912</v>
      </c>
      <c r="Q43" s="35"/>
      <c r="S43" s="238"/>
      <c r="T43" s="238"/>
      <c r="U43" s="238"/>
      <c r="V43" s="238"/>
      <c r="W43" s="238"/>
      <c r="X43" s="238"/>
      <c r="Y43" s="238"/>
      <c r="Z43" s="238"/>
      <c r="AA43" s="238"/>
      <c r="AB43" s="238"/>
    </row>
    <row r="44" spans="2:28" s="22" customFormat="1" x14ac:dyDescent="0.3">
      <c r="B44" s="35"/>
      <c r="C44" s="40" t="s">
        <v>148</v>
      </c>
      <c r="D44" s="43" t="s">
        <v>47</v>
      </c>
      <c r="E44" s="158" t="s">
        <v>92</v>
      </c>
      <c r="F44" s="36">
        <f>(F43/E43)/(1+'Date macro-economice'!F$9)-1</f>
        <v>-5.5503439863449855E-2</v>
      </c>
      <c r="G44" s="36">
        <f>IFERROR((G43/F43)/(1+'Date macro-economice'!G$9)-1,0)</f>
        <v>-0.13466497131143518</v>
      </c>
      <c r="H44" s="159"/>
      <c r="I44" s="159"/>
      <c r="J44" s="159"/>
      <c r="K44" s="159"/>
      <c r="L44" s="159"/>
      <c r="M44" s="159"/>
      <c r="N44" s="159"/>
      <c r="O44" s="159"/>
      <c r="Q44" s="35"/>
      <c r="S44" s="238"/>
      <c r="T44" s="238"/>
      <c r="U44" s="238"/>
      <c r="V44" s="238"/>
      <c r="W44" s="238"/>
      <c r="X44" s="238"/>
      <c r="Y44" s="238"/>
      <c r="Z44" s="238"/>
      <c r="AA44" s="238"/>
      <c r="AB44" s="238"/>
    </row>
    <row r="45" spans="2:28" x14ac:dyDescent="0.3">
      <c r="B45" s="35"/>
      <c r="C45" s="81" t="s">
        <v>149</v>
      </c>
      <c r="D45" s="82" t="s">
        <v>141</v>
      </c>
      <c r="E45" s="91">
        <f>E15</f>
        <v>438696</v>
      </c>
      <c r="F45" s="91">
        <f>F15</f>
        <v>445567</v>
      </c>
      <c r="G45" s="91">
        <f>G15</f>
        <v>388668</v>
      </c>
      <c r="H45" s="91">
        <f t="shared" ref="H45:O45" si="12">H41*H43</f>
        <v>399163.37449666078</v>
      </c>
      <c r="I45" s="91">
        <f t="shared" si="12"/>
        <v>407894.21385260555</v>
      </c>
      <c r="J45" s="91">
        <f t="shared" si="12"/>
        <v>405856.86615688755</v>
      </c>
      <c r="K45" s="91">
        <f t="shared" si="12"/>
        <v>412807.30276884529</v>
      </c>
      <c r="L45" s="91">
        <f t="shared" si="12"/>
        <v>419942.18248418689</v>
      </c>
      <c r="M45" s="91">
        <f t="shared" si="12"/>
        <v>432540.44795871258</v>
      </c>
      <c r="N45" s="91">
        <f t="shared" si="12"/>
        <v>445516.66139747394</v>
      </c>
      <c r="O45" s="91">
        <f t="shared" si="12"/>
        <v>458882.16123939818</v>
      </c>
      <c r="Q45" s="35"/>
      <c r="S45" s="238"/>
      <c r="T45" s="238"/>
      <c r="U45" s="238"/>
      <c r="V45" s="238"/>
      <c r="W45" s="238"/>
      <c r="X45" s="238"/>
      <c r="Y45" s="238"/>
      <c r="Z45" s="238"/>
      <c r="AA45" s="238"/>
      <c r="AB45" s="238"/>
    </row>
    <row r="46" spans="2:28" x14ac:dyDescent="0.3">
      <c r="B46" s="35"/>
      <c r="Q46" s="35"/>
      <c r="S46" s="238"/>
      <c r="T46" s="238"/>
      <c r="U46" s="238"/>
      <c r="V46" s="238"/>
      <c r="W46" s="238"/>
      <c r="X46" s="238"/>
      <c r="Y46" s="238"/>
      <c r="Z46" s="238"/>
      <c r="AA46" s="238"/>
      <c r="AB46" s="238"/>
    </row>
    <row r="47" spans="2:28" x14ac:dyDescent="0.3">
      <c r="B47" s="35"/>
      <c r="C47" s="66" t="s">
        <v>159</v>
      </c>
      <c r="Q47" s="35"/>
      <c r="S47" s="238"/>
      <c r="T47" s="238"/>
      <c r="U47" s="238"/>
      <c r="V47" s="238"/>
      <c r="W47" s="238"/>
      <c r="X47" s="238"/>
      <c r="Y47" s="238"/>
      <c r="Z47" s="238"/>
      <c r="AA47" s="238"/>
      <c r="AB47" s="238"/>
    </row>
    <row r="48" spans="2:28" x14ac:dyDescent="0.3">
      <c r="B48" s="35"/>
      <c r="C48" s="40" t="s">
        <v>160</v>
      </c>
      <c r="D48" s="43" t="s">
        <v>141</v>
      </c>
      <c r="E48" s="87">
        <v>1341819</v>
      </c>
      <c r="F48" s="87">
        <v>1490810</v>
      </c>
      <c r="G48" s="87">
        <v>1798362</v>
      </c>
      <c r="H48" s="88">
        <f>H51*H52*12</f>
        <v>1900019.8071360001</v>
      </c>
      <c r="I48" s="88">
        <f t="shared" ref="I48:O48" si="13">I51*I52*12</f>
        <v>2011297.7921755824</v>
      </c>
      <c r="J48" s="88">
        <f t="shared" si="13"/>
        <v>2122909.734907886</v>
      </c>
      <c r="K48" s="88">
        <f t="shared" si="13"/>
        <v>2235795.4600616125</v>
      </c>
      <c r="L48" s="88">
        <f t="shared" si="13"/>
        <v>2354683.8836503886</v>
      </c>
      <c r="M48" s="88">
        <f t="shared" si="13"/>
        <v>2479894.1991634979</v>
      </c>
      <c r="N48" s="88">
        <f t="shared" si="13"/>
        <v>2611762.5732040172</v>
      </c>
      <c r="O48" s="88">
        <f t="shared" si="13"/>
        <v>2750643.0480341408</v>
      </c>
      <c r="Q48" s="35"/>
      <c r="S48" s="238"/>
      <c r="T48" s="238"/>
      <c r="U48" s="238"/>
      <c r="V48" s="238"/>
      <c r="W48" s="238"/>
      <c r="X48" s="238"/>
      <c r="Y48" s="238"/>
      <c r="Z48" s="238"/>
      <c r="AA48" s="238"/>
      <c r="AB48" s="238"/>
    </row>
    <row r="49" spans="2:28" x14ac:dyDescent="0.3">
      <c r="B49" s="35"/>
      <c r="C49" s="40" t="s">
        <v>161</v>
      </c>
      <c r="D49" s="43" t="s">
        <v>141</v>
      </c>
      <c r="E49" s="87">
        <v>29885</v>
      </c>
      <c r="F49" s="87">
        <v>33316</v>
      </c>
      <c r="G49" s="87">
        <f>40463+32226</f>
        <v>72689</v>
      </c>
      <c r="H49" s="88">
        <f>H51*H53*12</f>
        <v>76797.96379200001</v>
      </c>
      <c r="I49" s="88">
        <f t="shared" ref="I49:O49" si="14">I51*I53*12</f>
        <v>81295.770937915106</v>
      </c>
      <c r="J49" s="88">
        <f t="shared" si="14"/>
        <v>85807.076506687372</v>
      </c>
      <c r="K49" s="88">
        <f t="shared" si="14"/>
        <v>90369.867799930478</v>
      </c>
      <c r="L49" s="88">
        <f t="shared" si="14"/>
        <v>95175.28552019177</v>
      </c>
      <c r="M49" s="88">
        <f t="shared" si="14"/>
        <v>100236.23132772796</v>
      </c>
      <c r="N49" s="88">
        <f t="shared" si="14"/>
        <v>105566.2929285799</v>
      </c>
      <c r="O49" s="88">
        <f t="shared" si="14"/>
        <v>111179.78055505714</v>
      </c>
      <c r="Q49" s="35"/>
      <c r="S49" s="238"/>
      <c r="T49" s="238"/>
      <c r="U49" s="238"/>
      <c r="V49" s="238"/>
      <c r="W49" s="238"/>
      <c r="X49" s="238"/>
      <c r="Y49" s="238"/>
      <c r="Z49" s="238"/>
      <c r="AA49" s="238"/>
      <c r="AB49" s="238"/>
    </row>
    <row r="50" spans="2:28" x14ac:dyDescent="0.3">
      <c r="B50" s="35"/>
      <c r="C50" s="155" t="s">
        <v>162</v>
      </c>
      <c r="D50" s="129" t="s">
        <v>141</v>
      </c>
      <c r="E50" s="88">
        <f>E16-E48-E49</f>
        <v>0</v>
      </c>
      <c r="F50" s="88">
        <f>F16-F48-F49</f>
        <v>70423</v>
      </c>
      <c r="G50" s="88">
        <f>G16-G48-G49</f>
        <v>22163</v>
      </c>
      <c r="H50" s="88">
        <f>H51*H54*12</f>
        <v>23415.830064000002</v>
      </c>
      <c r="I50" s="88">
        <f t="shared" ref="I50:O50" si="15">I51*I54*12</f>
        <v>24787.219129400772</v>
      </c>
      <c r="J50" s="88">
        <f t="shared" si="15"/>
        <v>26162.723886939042</v>
      </c>
      <c r="K50" s="88">
        <f t="shared" si="15"/>
        <v>27553.926729627026</v>
      </c>
      <c r="L50" s="88">
        <f t="shared" si="15"/>
        <v>29019.106783474945</v>
      </c>
      <c r="M50" s="88">
        <f t="shared" si="15"/>
        <v>30562.197786686222</v>
      </c>
      <c r="N50" s="88">
        <f t="shared" si="15"/>
        <v>32187.342653993263</v>
      </c>
      <c r="O50" s="88">
        <f t="shared" si="15"/>
        <v>33898.90459961936</v>
      </c>
      <c r="Q50" s="35"/>
      <c r="S50" s="238"/>
      <c r="T50" s="238"/>
      <c r="U50" s="238"/>
      <c r="V50" s="238"/>
      <c r="W50" s="238"/>
      <c r="X50" s="238"/>
      <c r="Y50" s="238"/>
      <c r="Z50" s="238"/>
      <c r="AA50" s="238"/>
      <c r="AB50" s="238"/>
    </row>
    <row r="51" spans="2:28" x14ac:dyDescent="0.3">
      <c r="B51" s="35"/>
      <c r="C51" s="40" t="s">
        <v>163</v>
      </c>
      <c r="D51" s="43" t="s">
        <v>14</v>
      </c>
      <c r="E51" s="87">
        <v>22</v>
      </c>
      <c r="F51" s="87">
        <v>22</v>
      </c>
      <c r="G51" s="87">
        <v>22</v>
      </c>
      <c r="H51" s="87">
        <v>22</v>
      </c>
      <c r="I51" s="87">
        <v>22</v>
      </c>
      <c r="J51" s="87">
        <v>22</v>
      </c>
      <c r="K51" s="87">
        <v>22</v>
      </c>
      <c r="L51" s="87">
        <v>22</v>
      </c>
      <c r="M51" s="87">
        <v>22</v>
      </c>
      <c r="N51" s="87">
        <v>22</v>
      </c>
      <c r="O51" s="87">
        <v>22</v>
      </c>
      <c r="Q51" s="35"/>
      <c r="S51" s="238"/>
      <c r="T51" s="238"/>
      <c r="U51" s="238"/>
      <c r="V51" s="238"/>
      <c r="W51" s="238"/>
      <c r="X51" s="238"/>
      <c r="Y51" s="238"/>
      <c r="Z51" s="238"/>
      <c r="AA51" s="238"/>
      <c r="AB51" s="238"/>
    </row>
    <row r="52" spans="2:28" x14ac:dyDescent="0.3">
      <c r="B52" s="35"/>
      <c r="C52" s="40" t="s">
        <v>164</v>
      </c>
      <c r="D52" s="163" t="s">
        <v>165</v>
      </c>
      <c r="E52" s="88">
        <f>E48/E51/12</f>
        <v>5082.647727272727</v>
      </c>
      <c r="F52" s="88">
        <f>F48/F51/12</f>
        <v>5647.007575757576</v>
      </c>
      <c r="G52" s="88">
        <f>IFERROR(G48/G51/12,0)</f>
        <v>6811.977272727273</v>
      </c>
      <c r="H52" s="88">
        <f>G52*(1+'Date macro-economice'!H$9)*(1+'Date macro-economice'!H$11*'Costuri operare'!H58)*(1+'Costuri operare'!H55)</f>
        <v>7197.0447240000003</v>
      </c>
      <c r="I52" s="88">
        <f>H52*(1+'Date macro-economice'!I$9)*(1+'Date macro-economice'!I$11*'Costuri operare'!I58)*(1+'Costuri operare'!I55)</f>
        <v>7618.552243089327</v>
      </c>
      <c r="J52" s="88">
        <f>I52*(1+'Date macro-economice'!J$9)*(1+'Date macro-economice'!J$11*'Costuri operare'!J58)*(1+'Costuri operare'!J55)</f>
        <v>8041.324753438962</v>
      </c>
      <c r="K52" s="88">
        <f>J52*(1+'Date macro-economice'!K$9)*(1+'Date macro-economice'!K$11*'Costuri operare'!K58)*(1+'Costuri operare'!K55)</f>
        <v>8468.9221972030773</v>
      </c>
      <c r="L52" s="88">
        <f>K52*(1+'Date macro-economice'!L$9)*(1+'Date macro-economice'!L$11*'Costuri operare'!L58)*(1+'Costuri operare'!L55)</f>
        <v>8919.2571350393519</v>
      </c>
      <c r="M52" s="88">
        <f>L52*(1+'Date macro-economice'!M$9)*(1+'Date macro-economice'!M$11*'Costuri operare'!M58)*(1+'Costuri operare'!M55)</f>
        <v>9393.5386331950685</v>
      </c>
      <c r="N52" s="88">
        <f>M52*(1+'Date macro-economice'!N$9)*(1+'Date macro-economice'!N$11*'Costuri operare'!N58)*(1+'Costuri operare'!N55)</f>
        <v>9893.0400500152173</v>
      </c>
      <c r="O52" s="88">
        <f>N52*(1+'Date macro-economice'!O$9)*(1+'Date macro-economice'!O$11*'Costuri operare'!O58)*(1+'Costuri operare'!O55)</f>
        <v>10419.102454674776</v>
      </c>
      <c r="Q52" s="35"/>
      <c r="S52" s="238"/>
      <c r="T52" s="238"/>
      <c r="U52" s="238"/>
      <c r="V52" s="238"/>
      <c r="W52" s="238"/>
      <c r="X52" s="238"/>
      <c r="Y52" s="238"/>
      <c r="Z52" s="238"/>
      <c r="AA52" s="238"/>
      <c r="AB52" s="238"/>
    </row>
    <row r="53" spans="2:28" ht="28.8" x14ac:dyDescent="0.3">
      <c r="B53" s="35"/>
      <c r="C53" s="40" t="s">
        <v>166</v>
      </c>
      <c r="D53" s="163" t="s">
        <v>165</v>
      </c>
      <c r="E53" s="88">
        <f>E49/E51/12</f>
        <v>113.20075757575758</v>
      </c>
      <c r="F53" s="88">
        <f>F49/F51/12</f>
        <v>126.19696969696969</v>
      </c>
      <c r="G53" s="88">
        <f>IFERROR(G49/G51/12,0)</f>
        <v>275.33712121212119</v>
      </c>
      <c r="H53" s="88">
        <f>G53*(1+'Date macro-economice'!H$9)*(1+'Date macro-economice'!H$11*'Costuri operare'!H58)*(1+'Costuri operare'!H56)</f>
        <v>290.90137800000002</v>
      </c>
      <c r="I53" s="88">
        <f>H53*(1+'Date macro-economice'!I$9)*(1+'Date macro-economice'!I$11*'Costuri operare'!I58)*(1+'Costuri operare'!I56)</f>
        <v>307.93852627998149</v>
      </c>
      <c r="J53" s="88">
        <f>I53*(1+'Date macro-economice'!J$9)*(1+'Date macro-economice'!J$11*'Costuri operare'!J58)*(1+'Costuri operare'!J56)</f>
        <v>325.02680494957337</v>
      </c>
      <c r="K53" s="88">
        <f>J53*(1+'Date macro-economice'!K$9)*(1+'Date macro-economice'!K$11*'Costuri operare'!K58)*(1+'Costuri operare'!K56)</f>
        <v>342.31010530276694</v>
      </c>
      <c r="L53" s="88">
        <f>K53*(1+'Date macro-economice'!L$9)*(1+'Date macro-economice'!L$11*'Costuri operare'!L58)*(1+'Costuri operare'!L56)</f>
        <v>360.51244515224153</v>
      </c>
      <c r="M53" s="88">
        <f>L53*(1+'Date macro-economice'!M$9)*(1+'Date macro-economice'!M$11*'Costuri operare'!M58)*(1+'Costuri operare'!M56)</f>
        <v>379.68269442321196</v>
      </c>
      <c r="N53" s="88">
        <f>M53*(1+'Date macro-economice'!N$9)*(1+'Date macro-economice'!N$11*'Costuri operare'!N58)*(1+'Costuri operare'!N56)</f>
        <v>399.87232169916626</v>
      </c>
      <c r="O53" s="88">
        <f>N53*(1+'Date macro-economice'!O$9)*(1+'Date macro-economice'!O$11*'Costuri operare'!O58)*(1+'Costuri operare'!O56)</f>
        <v>421.13553240551943</v>
      </c>
      <c r="Q53" s="35"/>
      <c r="S53" s="238"/>
      <c r="T53" s="238"/>
      <c r="U53" s="238"/>
      <c r="V53" s="238"/>
      <c r="W53" s="238"/>
      <c r="X53" s="238"/>
      <c r="Y53" s="238"/>
      <c r="Z53" s="238"/>
      <c r="AA53" s="238"/>
      <c r="AB53" s="238"/>
    </row>
    <row r="54" spans="2:28" x14ac:dyDescent="0.3">
      <c r="B54" s="35"/>
      <c r="C54" s="155" t="s">
        <v>167</v>
      </c>
      <c r="D54" s="164" t="s">
        <v>165</v>
      </c>
      <c r="E54" s="131">
        <f>E50/E51/12</f>
        <v>0</v>
      </c>
      <c r="F54" s="131">
        <f>F50/F51/12</f>
        <v>266.75378787878788</v>
      </c>
      <c r="G54" s="131">
        <f>IFERROR(G50/G51/12,0)</f>
        <v>83.950757575757578</v>
      </c>
      <c r="H54" s="88">
        <f>G54*(1+'Date macro-economice'!H$9)*(1+'Date macro-economice'!H$11*'Costuri operare'!H58)*(1+'Costuri operare'!H57)</f>
        <v>88.696325999999999</v>
      </c>
      <c r="I54" s="88">
        <f>H54*(1+'Date macro-economice'!I$9)*(1+'Date macro-economice'!I$11*'Costuri operare'!I58)*(1+'Costuri operare'!I57)</f>
        <v>93.8909815507605</v>
      </c>
      <c r="J54" s="88">
        <f>I54*(1+'Date macro-economice'!J$9)*(1+'Date macro-economice'!J$11*'Costuri operare'!J58)*(1+'Costuri operare'!J57)</f>
        <v>99.101226844466083</v>
      </c>
      <c r="K54" s="88">
        <f>J54*(1+'Date macro-economice'!K$9)*(1+'Date macro-economice'!K$11*'Costuri operare'!K58)*(1+'Costuri operare'!K57)</f>
        <v>104.37093458192057</v>
      </c>
      <c r="L54" s="88">
        <f>K54*(1+'Date macro-economice'!L$9)*(1+'Date macro-economice'!L$11*'Costuri operare'!L58)*(1+'Costuri operare'!L57)</f>
        <v>109.92085902831418</v>
      </c>
      <c r="M54" s="88">
        <f>L54*(1+'Date macro-economice'!M$9)*(1+'Date macro-economice'!M$11*'Costuri operare'!M58)*(1+'Costuri operare'!M57)</f>
        <v>115.76590070714478</v>
      </c>
      <c r="N54" s="88">
        <f>M54*(1+'Date macro-economice'!N$9)*(1+'Date macro-economice'!N$11*'Costuri operare'!N58)*(1+'Costuri operare'!N57)</f>
        <v>121.92175247724721</v>
      </c>
      <c r="O54" s="88">
        <f>N54*(1+'Date macro-economice'!O$9)*(1+'Date macro-economice'!O$11*'Costuri operare'!O58)*(1+'Costuri operare'!O57)</f>
        <v>128.40494166522484</v>
      </c>
      <c r="Q54" s="35"/>
      <c r="S54" s="238"/>
      <c r="T54" s="238"/>
      <c r="U54" s="238"/>
      <c r="V54" s="238"/>
      <c r="W54" s="238"/>
      <c r="X54" s="238"/>
      <c r="Y54" s="238"/>
      <c r="Z54" s="238"/>
      <c r="AA54" s="238"/>
      <c r="AB54" s="238"/>
    </row>
    <row r="55" spans="2:28" s="22" customFormat="1" ht="28.8" x14ac:dyDescent="0.3">
      <c r="B55" s="35"/>
      <c r="C55" s="40" t="s">
        <v>168</v>
      </c>
      <c r="D55" s="43" t="s">
        <v>47</v>
      </c>
      <c r="E55" s="92" t="s">
        <v>92</v>
      </c>
      <c r="F55" s="36">
        <f>(F52/E52)/((1+'Date macro-economice'!F$9)*(1+'Date macro-economice'!F$11*F$58))-1</f>
        <v>-3.0001235017202643E-2</v>
      </c>
      <c r="G55" s="36">
        <f>IFERROR((G52/F52)/((1+'Date macro-economice'!G$9)*(1+'Date macro-economice'!G$11*G$58))-1,0)</f>
        <v>7.5385464456399154E-2</v>
      </c>
      <c r="H55" s="159"/>
      <c r="I55" s="159"/>
      <c r="J55" s="159"/>
      <c r="K55" s="159"/>
      <c r="L55" s="159"/>
      <c r="M55" s="159"/>
      <c r="N55" s="159"/>
      <c r="O55" s="159"/>
      <c r="Q55" s="35"/>
      <c r="S55" s="238"/>
      <c r="T55" s="238"/>
      <c r="U55" s="238"/>
      <c r="V55" s="238"/>
      <c r="W55" s="238"/>
      <c r="X55" s="238"/>
      <c r="Y55" s="238"/>
      <c r="Z55" s="238"/>
      <c r="AA55" s="238"/>
      <c r="AB55" s="238"/>
    </row>
    <row r="56" spans="2:28" s="22" customFormat="1" ht="43.2" x14ac:dyDescent="0.3">
      <c r="B56" s="35"/>
      <c r="C56" s="40" t="s">
        <v>169</v>
      </c>
      <c r="D56" s="43" t="s">
        <v>47</v>
      </c>
      <c r="E56" s="92" t="s">
        <v>92</v>
      </c>
      <c r="F56" s="36">
        <f>(F53/E53)/((1+'Date macro-economice'!F$9)*(1+'Date macro-economice'!F$11*F$58))-1</f>
        <v>-2.6709656675600324E-2</v>
      </c>
      <c r="G56" s="36">
        <f>IFERROR((G53/F53)/((1+'Date macro-economice'!G$9)*(1+'Date macro-economice'!G$11*G$58))-1,0)</f>
        <v>0.94502497767741001</v>
      </c>
      <c r="H56" s="159"/>
      <c r="I56" s="159"/>
      <c r="J56" s="159"/>
      <c r="K56" s="159"/>
      <c r="L56" s="159"/>
      <c r="M56" s="159"/>
      <c r="N56" s="159"/>
      <c r="O56" s="159"/>
      <c r="Q56" s="35"/>
      <c r="S56" s="238"/>
      <c r="T56" s="238"/>
      <c r="U56" s="238"/>
      <c r="V56" s="238"/>
      <c r="W56" s="238"/>
      <c r="X56" s="238"/>
      <c r="Y56" s="238"/>
      <c r="Z56" s="238"/>
      <c r="AA56" s="238"/>
      <c r="AB56" s="238"/>
    </row>
    <row r="57" spans="2:28" s="22" customFormat="1" ht="28.8" x14ac:dyDescent="0.3">
      <c r="B57" s="35"/>
      <c r="C57" s="40" t="s">
        <v>170</v>
      </c>
      <c r="D57" s="43" t="s">
        <v>47</v>
      </c>
      <c r="E57" s="92" t="s">
        <v>92</v>
      </c>
      <c r="F57" s="36" t="e">
        <f>(F54/E54)/((1+'Date macro-economice'!F$9)*(1+'Date macro-economice'!F$11*F$58))-1</f>
        <v>#DIV/0!</v>
      </c>
      <c r="G57" s="36">
        <f>IFERROR((G54/F54)/((1+'Date macro-economice'!G$9)*(1+'Date macro-economice'!G$11*G$58))-1,0)</f>
        <v>-0.71944154159503759</v>
      </c>
      <c r="H57" s="159"/>
      <c r="I57" s="159"/>
      <c r="J57" s="159"/>
      <c r="K57" s="159"/>
      <c r="L57" s="159"/>
      <c r="M57" s="159"/>
      <c r="N57" s="159"/>
      <c r="O57" s="159"/>
      <c r="Q57" s="35"/>
      <c r="S57" s="238"/>
      <c r="T57" s="238"/>
      <c r="U57" s="238"/>
      <c r="V57" s="238"/>
      <c r="W57" s="238"/>
      <c r="X57" s="238"/>
      <c r="Y57" s="238"/>
      <c r="Z57" s="238"/>
      <c r="AA57" s="238"/>
      <c r="AB57" s="238"/>
    </row>
    <row r="58" spans="2:28" s="22" customFormat="1" ht="43.2" x14ac:dyDescent="0.3">
      <c r="B58" s="35"/>
      <c r="C58" s="40" t="s">
        <v>171</v>
      </c>
      <c r="D58" s="43" t="s">
        <v>47</v>
      </c>
      <c r="E58" s="92"/>
      <c r="F58" s="165">
        <v>0.75</v>
      </c>
      <c r="G58" s="165">
        <v>0.75</v>
      </c>
      <c r="H58" s="165">
        <v>0.75</v>
      </c>
      <c r="I58" s="165">
        <v>0.75</v>
      </c>
      <c r="J58" s="165">
        <v>0.75</v>
      </c>
      <c r="K58" s="165">
        <v>0.75</v>
      </c>
      <c r="L58" s="165">
        <v>0.75</v>
      </c>
      <c r="M58" s="165">
        <v>0.75</v>
      </c>
      <c r="N58" s="165">
        <v>0.75</v>
      </c>
      <c r="O58" s="165">
        <v>0.75</v>
      </c>
      <c r="Q58" s="35"/>
      <c r="S58" s="238"/>
      <c r="T58" s="238"/>
      <c r="U58" s="238"/>
      <c r="V58" s="238"/>
      <c r="W58" s="238"/>
      <c r="X58" s="238"/>
      <c r="Y58" s="238"/>
      <c r="Z58" s="238"/>
      <c r="AA58" s="238"/>
      <c r="AB58" s="238"/>
    </row>
    <row r="59" spans="2:28" x14ac:dyDescent="0.3">
      <c r="B59" s="35"/>
      <c r="Q59" s="35"/>
      <c r="S59" s="238"/>
      <c r="T59" s="238"/>
      <c r="U59" s="238"/>
      <c r="V59" s="238"/>
      <c r="W59" s="238"/>
      <c r="X59" s="238"/>
      <c r="Y59" s="238"/>
      <c r="Z59" s="238"/>
      <c r="AA59" s="238"/>
      <c r="AB59" s="238"/>
    </row>
    <row r="60" spans="2:28" ht="28.8" x14ac:dyDescent="0.3">
      <c r="B60" s="35"/>
      <c r="C60" s="40" t="s">
        <v>172</v>
      </c>
      <c r="D60" s="43" t="s">
        <v>47</v>
      </c>
      <c r="E60" s="92" t="s">
        <v>92</v>
      </c>
      <c r="F60" s="162" t="e">
        <f>(F17/E17)/(1+'Date macro-economice'!F$9)-1</f>
        <v>#DIV/0!</v>
      </c>
      <c r="G60" s="162">
        <f>IFERROR((G17/F17)/(1+'Date macro-economice'!G$9)-1,0)</f>
        <v>0</v>
      </c>
      <c r="H60" s="159"/>
      <c r="I60" s="159"/>
      <c r="J60" s="159"/>
      <c r="K60" s="159"/>
      <c r="L60" s="159"/>
      <c r="M60" s="159"/>
      <c r="N60" s="159"/>
      <c r="O60" s="159"/>
      <c r="Q60" s="35"/>
      <c r="S60" s="238"/>
      <c r="T60" s="238"/>
      <c r="U60" s="238"/>
      <c r="V60" s="238"/>
      <c r="W60" s="238"/>
      <c r="X60" s="238"/>
      <c r="Y60" s="238"/>
      <c r="Z60" s="238"/>
      <c r="AA60" s="238"/>
      <c r="AB60" s="238"/>
    </row>
    <row r="61" spans="2:28" ht="28.8" x14ac:dyDescent="0.3">
      <c r="B61" s="35"/>
      <c r="C61" s="40" t="s">
        <v>173</v>
      </c>
      <c r="D61" s="43" t="s">
        <v>47</v>
      </c>
      <c r="E61" s="92" t="s">
        <v>92</v>
      </c>
      <c r="F61" s="162">
        <f>(F18/E18)/(1+'Date macro-economice'!F$9)-1</f>
        <v>-6.3591292907937969E-2</v>
      </c>
      <c r="G61" s="162">
        <f>IFERROR((G18/F18)/(1+'Date macro-economice'!G$9)-1,0)</f>
        <v>0.69908966205262502</v>
      </c>
      <c r="H61" s="159"/>
      <c r="I61" s="159"/>
      <c r="J61" s="159"/>
      <c r="K61" s="159"/>
      <c r="L61" s="159"/>
      <c r="M61" s="159"/>
      <c r="N61" s="159"/>
      <c r="O61" s="159"/>
      <c r="Q61" s="35"/>
      <c r="S61" s="238"/>
      <c r="T61" s="238"/>
      <c r="U61" s="238"/>
      <c r="V61" s="238"/>
      <c r="W61" s="238"/>
      <c r="X61" s="238"/>
      <c r="Y61" s="238"/>
      <c r="Z61" s="238"/>
      <c r="AA61" s="238"/>
      <c r="AB61" s="238"/>
    </row>
    <row r="62" spans="2:28" ht="28.8" x14ac:dyDescent="0.3">
      <c r="B62" s="35"/>
      <c r="C62" s="40" t="s">
        <v>174</v>
      </c>
      <c r="D62" s="43" t="s">
        <v>47</v>
      </c>
      <c r="E62" s="92" t="s">
        <v>92</v>
      </c>
      <c r="F62" s="162">
        <f>(F22/E22)/(1+'Date macro-economice'!F$9)-1</f>
        <v>-0.26363979942739058</v>
      </c>
      <c r="G62" s="162">
        <f>IFERROR((G22/F22)/(1+'Date macro-economice'!G$9)-1,0)</f>
        <v>-0.71135539558133098</v>
      </c>
      <c r="H62" s="159"/>
      <c r="I62" s="159"/>
      <c r="J62" s="159"/>
      <c r="K62" s="159"/>
      <c r="L62" s="159"/>
      <c r="M62" s="159"/>
      <c r="N62" s="159"/>
      <c r="O62" s="159"/>
      <c r="Q62" s="35"/>
      <c r="S62" s="238"/>
      <c r="T62" s="238"/>
      <c r="U62" s="238"/>
      <c r="V62" s="238"/>
      <c r="W62" s="238"/>
      <c r="X62" s="238"/>
      <c r="Y62" s="238"/>
      <c r="Z62" s="238"/>
      <c r="AA62" s="238"/>
      <c r="AB62" s="238"/>
    </row>
    <row r="63" spans="2:28" x14ac:dyDescent="0.3">
      <c r="B63" s="35"/>
      <c r="Q63" s="35"/>
      <c r="S63" s="238"/>
      <c r="T63" s="238"/>
      <c r="U63" s="238"/>
      <c r="V63" s="238"/>
      <c r="W63" s="238"/>
      <c r="X63" s="238"/>
      <c r="Y63" s="238"/>
      <c r="Z63" s="238"/>
      <c r="AA63" s="238"/>
      <c r="AB63" s="238"/>
    </row>
    <row r="64" spans="2:28" ht="28.8" x14ac:dyDescent="0.3">
      <c r="B64" s="35"/>
      <c r="C64" s="40" t="s">
        <v>175</v>
      </c>
      <c r="D64" s="43" t="s">
        <v>47</v>
      </c>
      <c r="E64" s="92" t="s">
        <v>92</v>
      </c>
      <c r="F64" s="162">
        <f>F19/E19-1</f>
        <v>0.76861351393638655</v>
      </c>
      <c r="G64" s="162">
        <f>IFERROR(G19/F19-1,0)</f>
        <v>0.51421782979046071</v>
      </c>
      <c r="H64" s="166">
        <f>IFERROR('Amortizare si redeventa'!H22,0)</f>
        <v>0</v>
      </c>
      <c r="I64" s="166">
        <f>IFERROR('Amortizare si redeventa'!I22,0)</f>
        <v>0</v>
      </c>
      <c r="J64" s="166">
        <f>IFERROR('Amortizare si redeventa'!J22,0)</f>
        <v>0</v>
      </c>
      <c r="K64" s="166">
        <f>IFERROR('Amortizare si redeventa'!K22,0)</f>
        <v>0</v>
      </c>
      <c r="L64" s="166">
        <f>IFERROR('Amortizare si redeventa'!L22,0)</f>
        <v>0</v>
      </c>
      <c r="M64" s="166">
        <f>IFERROR('Amortizare si redeventa'!M22,0)</f>
        <v>0</v>
      </c>
      <c r="N64" s="166">
        <f>IFERROR('Amortizare si redeventa'!N22,0)</f>
        <v>0</v>
      </c>
      <c r="O64" s="166">
        <f>IFERROR('Amortizare si redeventa'!O22,0)</f>
        <v>0</v>
      </c>
      <c r="Q64" s="35"/>
      <c r="S64" s="238"/>
      <c r="T64" s="238"/>
      <c r="U64" s="238"/>
      <c r="V64" s="238"/>
      <c r="W64" s="238"/>
      <c r="X64" s="238"/>
      <c r="Y64" s="238"/>
      <c r="Z64" s="238"/>
      <c r="AA64" s="238"/>
      <c r="AB64" s="238"/>
    </row>
    <row r="65" spans="2:28" ht="28.8" x14ac:dyDescent="0.3">
      <c r="B65" s="35"/>
      <c r="C65" s="40" t="s">
        <v>176</v>
      </c>
      <c r="D65" s="43" t="s">
        <v>47</v>
      </c>
      <c r="E65" s="92" t="s">
        <v>92</v>
      </c>
      <c r="F65" s="162" t="e">
        <f>F20/E20-1</f>
        <v>#DIV/0!</v>
      </c>
      <c r="G65" s="162">
        <f>IFERROR(G20/F20-1,0)</f>
        <v>0</v>
      </c>
      <c r="H65" s="166">
        <f>IFERROR('Amortizare si redeventa'!H28,0)</f>
        <v>3791231.2139999997</v>
      </c>
      <c r="I65" s="166">
        <f>IFERROR('Amortizare si redeventa'!I28,0)</f>
        <v>9.9935295777339173E-2</v>
      </c>
      <c r="J65" s="166">
        <f>IFERROR('Amortizare si redeventa'!J28,0)</f>
        <v>6.7705406194076945E-2</v>
      </c>
      <c r="K65" s="166">
        <f>IFERROR('Amortizare si redeventa'!K28,0)</f>
        <v>7.7063953696471232E-2</v>
      </c>
      <c r="L65" s="166">
        <f>IFERROR('Amortizare si redeventa'!L28,0)</f>
        <v>9.3565958407671346E-2</v>
      </c>
      <c r="M65" s="166">
        <f>IFERROR('Amortizare si redeventa'!M28,0)</f>
        <v>6.2784912368035961E-2</v>
      </c>
      <c r="N65" s="166">
        <f>IFERROR('Amortizare si redeventa'!N28,0)</f>
        <v>0.48485739488385748</v>
      </c>
      <c r="O65" s="166">
        <f>IFERROR('Amortizare si redeventa'!O28,0)</f>
        <v>9.9009900990099098E-3</v>
      </c>
      <c r="Q65" s="35"/>
      <c r="S65" s="238"/>
      <c r="T65" s="238"/>
      <c r="U65" s="238"/>
      <c r="V65" s="238"/>
      <c r="W65" s="238"/>
      <c r="X65" s="238"/>
      <c r="Y65" s="238"/>
      <c r="Z65" s="238"/>
      <c r="AA65" s="238"/>
      <c r="AB65" s="238"/>
    </row>
    <row r="66" spans="2:28" x14ac:dyDescent="0.3">
      <c r="B66" s="35"/>
      <c r="Q66" s="35"/>
      <c r="S66" s="238"/>
      <c r="T66" s="238"/>
      <c r="U66" s="238"/>
      <c r="V66" s="238"/>
      <c r="W66" s="238"/>
      <c r="X66" s="238"/>
      <c r="Y66" s="238"/>
      <c r="Z66" s="238"/>
      <c r="AA66" s="238"/>
      <c r="AB66" s="238"/>
    </row>
    <row r="67" spans="2:28" ht="6.6" customHeight="1" x14ac:dyDescent="0.3">
      <c r="B67" s="35"/>
      <c r="C67" s="35"/>
      <c r="D67" s="35"/>
      <c r="E67" s="35"/>
      <c r="F67" s="35"/>
      <c r="G67" s="35"/>
      <c r="H67" s="35"/>
      <c r="I67" s="35"/>
      <c r="J67" s="35"/>
      <c r="K67" s="35"/>
      <c r="L67" s="35"/>
      <c r="M67" s="35"/>
      <c r="N67" s="35"/>
      <c r="O67" s="35"/>
      <c r="P67" s="35"/>
      <c r="Q67" s="35"/>
    </row>
    <row r="69" spans="2:28" ht="8.1" customHeight="1" x14ac:dyDescent="0.3">
      <c r="B69" s="23"/>
      <c r="C69" s="23"/>
      <c r="D69" s="23"/>
      <c r="E69" s="23"/>
      <c r="F69" s="23"/>
      <c r="G69" s="23"/>
      <c r="H69" s="23"/>
      <c r="I69" s="23"/>
      <c r="J69" s="23"/>
      <c r="K69" s="23"/>
      <c r="L69" s="23"/>
      <c r="M69" s="23"/>
      <c r="N69" s="23"/>
      <c r="O69" s="23"/>
      <c r="P69" s="23"/>
      <c r="Q69" s="23"/>
    </row>
    <row r="70" spans="2:28" x14ac:dyDescent="0.3">
      <c r="B70" s="23"/>
      <c r="Q70" s="23"/>
    </row>
    <row r="71" spans="2:28" s="22" customFormat="1" ht="66" customHeight="1" x14ac:dyDescent="0.3">
      <c r="B71" s="35"/>
      <c r="C71" s="89" t="s">
        <v>177</v>
      </c>
      <c r="D71" s="89"/>
      <c r="E71" s="111">
        <f>F71-1</f>
        <v>2022</v>
      </c>
      <c r="F71" s="111">
        <f>G71-1</f>
        <v>2023</v>
      </c>
      <c r="G71" s="112">
        <f>'Date generale'!$D$8</f>
        <v>2024</v>
      </c>
      <c r="H71" s="113">
        <f t="shared" ref="H71:O71" si="16">G71+1</f>
        <v>2025</v>
      </c>
      <c r="I71" s="113">
        <f t="shared" si="16"/>
        <v>2026</v>
      </c>
      <c r="J71" s="113">
        <f t="shared" si="16"/>
        <v>2027</v>
      </c>
      <c r="K71" s="113">
        <f t="shared" si="16"/>
        <v>2028</v>
      </c>
      <c r="L71" s="113">
        <f t="shared" si="16"/>
        <v>2029</v>
      </c>
      <c r="M71" s="113">
        <f t="shared" si="16"/>
        <v>2030</v>
      </c>
      <c r="N71" s="113">
        <f t="shared" si="16"/>
        <v>2031</v>
      </c>
      <c r="O71" s="113">
        <f t="shared" si="16"/>
        <v>2032</v>
      </c>
      <c r="Q71" s="35"/>
      <c r="S71" s="235" t="s">
        <v>178</v>
      </c>
      <c r="T71" s="235"/>
      <c r="U71" s="235"/>
      <c r="V71" s="235"/>
      <c r="W71" s="235"/>
      <c r="X71" s="235"/>
      <c r="Y71" s="235"/>
      <c r="Z71" s="235"/>
      <c r="AA71" s="235"/>
      <c r="AB71" s="235"/>
    </row>
    <row r="72" spans="2:28" x14ac:dyDescent="0.3">
      <c r="B72" s="23"/>
      <c r="C72" s="114"/>
      <c r="D72" s="114"/>
      <c r="E72" s="115">
        <f>F72-1</f>
        <v>-3</v>
      </c>
      <c r="F72" s="115">
        <f>G72-1</f>
        <v>-2</v>
      </c>
      <c r="G72" s="116">
        <v>-1</v>
      </c>
      <c r="H72" s="116">
        <v>0</v>
      </c>
      <c r="I72" s="116">
        <f t="shared" ref="I72:O72" si="17">H72+1</f>
        <v>1</v>
      </c>
      <c r="J72" s="116">
        <f t="shared" si="17"/>
        <v>2</v>
      </c>
      <c r="K72" s="116">
        <f t="shared" si="17"/>
        <v>3</v>
      </c>
      <c r="L72" s="116">
        <f t="shared" si="17"/>
        <v>4</v>
      </c>
      <c r="M72" s="116">
        <f t="shared" si="17"/>
        <v>5</v>
      </c>
      <c r="N72" s="116">
        <f t="shared" si="17"/>
        <v>6</v>
      </c>
      <c r="O72" s="116">
        <f t="shared" si="17"/>
        <v>7</v>
      </c>
      <c r="Q72" s="35"/>
      <c r="S72" s="169" t="s">
        <v>132</v>
      </c>
      <c r="T72" s="169" t="s">
        <v>133</v>
      </c>
      <c r="U72" s="169" t="s">
        <v>134</v>
      </c>
      <c r="V72" s="169" t="s">
        <v>135</v>
      </c>
      <c r="W72" s="169" t="s">
        <v>136</v>
      </c>
      <c r="X72" s="169" t="s">
        <v>137</v>
      </c>
      <c r="Y72" s="169" t="s">
        <v>138</v>
      </c>
      <c r="Z72" s="169" t="s">
        <v>139</v>
      </c>
      <c r="AA72" s="169" t="s">
        <v>179</v>
      </c>
      <c r="AB72" s="169"/>
    </row>
    <row r="73" spans="2:28" s="24" customFormat="1" x14ac:dyDescent="0.3">
      <c r="B73" s="61"/>
      <c r="C73" s="42"/>
      <c r="D73" s="51"/>
      <c r="E73" s="62"/>
      <c r="F73" s="62"/>
      <c r="G73" s="62"/>
      <c r="H73" s="62"/>
      <c r="I73" s="62"/>
      <c r="J73" s="62"/>
      <c r="K73" s="62"/>
      <c r="L73" s="62"/>
      <c r="M73" s="62"/>
      <c r="N73" s="62"/>
      <c r="O73" s="62"/>
      <c r="Q73" s="35"/>
      <c r="S73" s="238"/>
      <c r="T73" s="238"/>
      <c r="U73" s="238" t="s">
        <v>180</v>
      </c>
      <c r="V73" s="238"/>
      <c r="W73" s="238"/>
      <c r="X73" s="238"/>
      <c r="Y73" s="238"/>
      <c r="Z73" s="238"/>
      <c r="AA73" s="238"/>
      <c r="AB73" s="238"/>
    </row>
    <row r="74" spans="2:28" s="53" customFormat="1" x14ac:dyDescent="0.3">
      <c r="B74" s="63"/>
      <c r="C74" s="40" t="s">
        <v>132</v>
      </c>
      <c r="D74" s="43" t="s">
        <v>141</v>
      </c>
      <c r="E74" s="87">
        <v>128174</v>
      </c>
      <c r="F74" s="87">
        <v>127502</v>
      </c>
      <c r="G74" s="87">
        <v>101471</v>
      </c>
      <c r="H74" s="88">
        <f>G74*(1+'Date macro-economice'!H$9)*(1+'Costuri operare'!H86)</f>
        <v>105935.724</v>
      </c>
      <c r="I74" s="88">
        <f>H74*(1+'Date macro-economice'!I$9)*(1+'Costuri operare'!I86)</f>
        <v>109431.602892</v>
      </c>
      <c r="J74" s="88">
        <f>I74*(1+'Date macro-economice'!J$9)*(1+'Costuri operare'!J86)</f>
        <v>112714.55097876</v>
      </c>
      <c r="K74" s="88">
        <f>J74*(1+'Date macro-economice'!K$9)*(1+'Costuri operare'!K86)</f>
        <v>116095.98750812281</v>
      </c>
      <c r="L74" s="88">
        <f>K74*(1+'Date macro-economice'!L$9)*(1+'Costuri operare'!L86)</f>
        <v>119578.8671333665</v>
      </c>
      <c r="M74" s="88">
        <f>L74*(1+'Date macro-economice'!M$9)*(1+'Costuri operare'!M86)</f>
        <v>123166.2331473675</v>
      </c>
      <c r="N74" s="88">
        <f>M74*(1+'Date macro-economice'!N$9)*(1+'Costuri operare'!N86)</f>
        <v>126861.22014178852</v>
      </c>
      <c r="O74" s="88">
        <f>N74*(1+'Date macro-economice'!O$9)*(1+'Costuri operare'!O86)</f>
        <v>130667.05674604219</v>
      </c>
      <c r="Q74" s="35"/>
      <c r="S74" s="238"/>
      <c r="T74" s="238"/>
      <c r="U74" s="238"/>
      <c r="V74" s="238"/>
      <c r="W74" s="238"/>
      <c r="X74" s="238"/>
      <c r="Y74" s="238"/>
      <c r="Z74" s="238"/>
      <c r="AA74" s="238"/>
      <c r="AB74" s="238"/>
    </row>
    <row r="75" spans="2:28" s="22" customFormat="1" x14ac:dyDescent="0.3">
      <c r="B75" s="35"/>
      <c r="C75" s="40" t="s">
        <v>133</v>
      </c>
      <c r="D75" s="43" t="s">
        <v>141</v>
      </c>
      <c r="E75" s="87">
        <v>292520</v>
      </c>
      <c r="F75" s="87">
        <v>334738</v>
      </c>
      <c r="G75" s="87">
        <v>246186</v>
      </c>
      <c r="H75" s="88">
        <f t="shared" ref="H75:O75" si="18">H93</f>
        <v>259000.88358775448</v>
      </c>
      <c r="I75" s="88">
        <f t="shared" si="18"/>
        <v>271801.22385811672</v>
      </c>
      <c r="J75" s="88">
        <f t="shared" si="18"/>
        <v>284041.12258408638</v>
      </c>
      <c r="K75" s="88">
        <f t="shared" si="18"/>
        <v>289546.24949602538</v>
      </c>
      <c r="L75" s="88">
        <f t="shared" si="18"/>
        <v>295189.44680763158</v>
      </c>
      <c r="M75" s="88">
        <f t="shared" si="18"/>
        <v>302501.75391636888</v>
      </c>
      <c r="N75" s="88">
        <f t="shared" si="18"/>
        <v>310003.18629884045</v>
      </c>
      <c r="O75" s="88">
        <f t="shared" si="18"/>
        <v>337903.5068872415</v>
      </c>
      <c r="Q75" s="35"/>
      <c r="S75" s="238"/>
      <c r="T75" s="238"/>
      <c r="U75" s="238"/>
      <c r="V75" s="238"/>
      <c r="W75" s="238"/>
      <c r="X75" s="238"/>
      <c r="Y75" s="238"/>
      <c r="Z75" s="238"/>
      <c r="AA75" s="238"/>
      <c r="AB75" s="238"/>
    </row>
    <row r="76" spans="2:28" s="22" customFormat="1" x14ac:dyDescent="0.3">
      <c r="B76" s="35"/>
      <c r="C76" s="40" t="s">
        <v>134</v>
      </c>
      <c r="D76" s="43" t="s">
        <v>141</v>
      </c>
      <c r="E76" s="87">
        <v>870641</v>
      </c>
      <c r="F76" s="87">
        <v>1040629</v>
      </c>
      <c r="G76" s="87">
        <v>1175668</v>
      </c>
      <c r="H76" s="88">
        <f t="shared" ref="H76:O76" si="19">H96+H97+H98</f>
        <v>1242126.1607039999</v>
      </c>
      <c r="I76" s="88">
        <f t="shared" si="19"/>
        <v>1314873.4530264107</v>
      </c>
      <c r="J76" s="88">
        <f t="shared" si="19"/>
        <v>1387839.0681184789</v>
      </c>
      <c r="K76" s="88">
        <f t="shared" si="19"/>
        <v>1461637.410565679</v>
      </c>
      <c r="L76" s="88">
        <f t="shared" si="19"/>
        <v>1539359.9798725089</v>
      </c>
      <c r="M76" s="88">
        <f t="shared" si="19"/>
        <v>1621215.4468022294</v>
      </c>
      <c r="N76" s="88">
        <f t="shared" si="19"/>
        <v>1707423.5781859383</v>
      </c>
      <c r="O76" s="88">
        <f t="shared" si="19"/>
        <v>1798215.8269559757</v>
      </c>
      <c r="Q76" s="35"/>
      <c r="S76" s="238"/>
      <c r="T76" s="238"/>
      <c r="U76" s="238"/>
      <c r="V76" s="238"/>
      <c r="W76" s="238"/>
      <c r="X76" s="238"/>
      <c r="Y76" s="238"/>
      <c r="Z76" s="238"/>
      <c r="AA76" s="238"/>
      <c r="AB76" s="238"/>
    </row>
    <row r="77" spans="2:28" s="22" customFormat="1" x14ac:dyDescent="0.3">
      <c r="B77" s="35"/>
      <c r="C77" s="40" t="s">
        <v>135</v>
      </c>
      <c r="D77" s="43" t="s">
        <v>141</v>
      </c>
      <c r="E77" s="87"/>
      <c r="F77" s="87"/>
      <c r="G77" s="87"/>
      <c r="H77" s="88">
        <f>G77*(1+H108)*(1+'Date macro-economice'!H$9)</f>
        <v>0</v>
      </c>
      <c r="I77" s="88">
        <f>H77*(1+I108)*(1+'Date macro-economice'!I$9)</f>
        <v>0</v>
      </c>
      <c r="J77" s="88">
        <f>I77*(1+J108)*(1+'Date macro-economice'!J$9)</f>
        <v>0</v>
      </c>
      <c r="K77" s="88">
        <f>J77*(1+K108)*(1+'Date macro-economice'!K$9)</f>
        <v>0</v>
      </c>
      <c r="L77" s="88">
        <f>K77*(1+L108)*(1+'Date macro-economice'!L$9)</f>
        <v>0</v>
      </c>
      <c r="M77" s="88">
        <f>L77*(1+M108)*(1+'Date macro-economice'!M$9)</f>
        <v>0</v>
      </c>
      <c r="N77" s="88">
        <f>M77*(1+N108)*(1+'Date macro-economice'!N$9)</f>
        <v>0</v>
      </c>
      <c r="O77" s="88">
        <f>N77*(1+O108)*(1+'Date macro-economice'!O$9)</f>
        <v>0</v>
      </c>
      <c r="Q77" s="35"/>
      <c r="S77" s="238"/>
      <c r="T77" s="238"/>
      <c r="U77" s="238"/>
      <c r="V77" s="238"/>
      <c r="W77" s="238"/>
      <c r="X77" s="238"/>
      <c r="Y77" s="238"/>
      <c r="Z77" s="238"/>
      <c r="AA77" s="238"/>
      <c r="AB77" s="238"/>
    </row>
    <row r="78" spans="2:28" s="22" customFormat="1" x14ac:dyDescent="0.3">
      <c r="B78" s="35"/>
      <c r="C78" s="40" t="s">
        <v>136</v>
      </c>
      <c r="D78" s="43" t="s">
        <v>141</v>
      </c>
      <c r="E78" s="87">
        <v>103146</v>
      </c>
      <c r="F78" s="87">
        <v>124333</v>
      </c>
      <c r="G78" s="87">
        <v>101769</v>
      </c>
      <c r="H78" s="88">
        <f>G78*(1+H109)*(1+'Date macro-economice'!H$9)</f>
        <v>106246.83600000001</v>
      </c>
      <c r="I78" s="88">
        <f>H78*(1+I109)*(1+'Date macro-economice'!I$9)</f>
        <v>109752.981588</v>
      </c>
      <c r="J78" s="88">
        <f>I78*(1+J109)*(1+'Date macro-economice'!J$9)</f>
        <v>113045.57103563999</v>
      </c>
      <c r="K78" s="88">
        <f>J78*(1+K109)*(1+'Date macro-economice'!K$9)</f>
        <v>116436.93816670919</v>
      </c>
      <c r="L78" s="88">
        <f>K78*(1+L109)*(1+'Date macro-economice'!L$9)</f>
        <v>119930.04631171048</v>
      </c>
      <c r="M78" s="88">
        <f>L78*(1+M109)*(1+'Date macro-economice'!M$9)</f>
        <v>123527.9477010618</v>
      </c>
      <c r="N78" s="88">
        <f>M78*(1+N109)*(1+'Date macro-economice'!N$9)</f>
        <v>127233.78613209365</v>
      </c>
      <c r="O78" s="88">
        <f>N78*(1+O109)*(1+'Date macro-economice'!O$9)</f>
        <v>131050.79971605647</v>
      </c>
      <c r="Q78" s="35"/>
      <c r="S78" s="238"/>
      <c r="T78" s="238"/>
      <c r="U78" s="238"/>
      <c r="V78" s="238"/>
      <c r="W78" s="238"/>
      <c r="X78" s="238"/>
      <c r="Y78" s="238"/>
      <c r="Z78" s="238"/>
      <c r="AA78" s="238"/>
      <c r="AB78" s="238"/>
    </row>
    <row r="79" spans="2:28" s="22" customFormat="1" x14ac:dyDescent="0.3">
      <c r="B79" s="35"/>
      <c r="C79" s="40" t="s">
        <v>137</v>
      </c>
      <c r="D79" s="43" t="s">
        <v>141</v>
      </c>
      <c r="E79" s="87">
        <v>4355</v>
      </c>
      <c r="F79" s="87">
        <v>4897</v>
      </c>
      <c r="G79" s="87">
        <v>6348</v>
      </c>
      <c r="H79" s="88">
        <f t="shared" ref="H79:O80" si="20">G79*(1+H118)</f>
        <v>6348</v>
      </c>
      <c r="I79" s="88">
        <f t="shared" si="20"/>
        <v>6348</v>
      </c>
      <c r="J79" s="88">
        <f t="shared" si="20"/>
        <v>6348</v>
      </c>
      <c r="K79" s="88">
        <f t="shared" si="20"/>
        <v>6348</v>
      </c>
      <c r="L79" s="88">
        <f t="shared" si="20"/>
        <v>6348</v>
      </c>
      <c r="M79" s="88">
        <f t="shared" si="20"/>
        <v>6348</v>
      </c>
      <c r="N79" s="88">
        <f t="shared" si="20"/>
        <v>6348</v>
      </c>
      <c r="O79" s="88">
        <f t="shared" si="20"/>
        <v>6348</v>
      </c>
      <c r="Q79" s="35"/>
      <c r="S79" s="238"/>
      <c r="T79" s="238"/>
      <c r="U79" s="238"/>
      <c r="V79" s="238"/>
      <c r="W79" s="238"/>
      <c r="X79" s="238"/>
      <c r="Y79" s="238"/>
      <c r="Z79" s="238"/>
      <c r="AA79" s="238"/>
      <c r="AB79" s="238"/>
    </row>
    <row r="80" spans="2:28" s="22" customFormat="1" x14ac:dyDescent="0.3">
      <c r="B80" s="35"/>
      <c r="C80" s="40" t="s">
        <v>138</v>
      </c>
      <c r="D80" s="43" t="s">
        <v>141</v>
      </c>
      <c r="E80" s="87">
        <v>0</v>
      </c>
      <c r="F80" s="87">
        <v>0</v>
      </c>
      <c r="G80" s="87">
        <v>1</v>
      </c>
      <c r="H80" s="88">
        <f t="shared" si="20"/>
        <v>220894.57500000001</v>
      </c>
      <c r="I80" s="88">
        <f t="shared" si="20"/>
        <v>263311.26909866667</v>
      </c>
      <c r="J80" s="88">
        <f t="shared" si="20"/>
        <v>330805.39977072633</v>
      </c>
      <c r="K80" s="88">
        <f t="shared" si="20"/>
        <v>331911.27039999998</v>
      </c>
      <c r="L80" s="88">
        <f t="shared" si="20"/>
        <v>334316.42453333322</v>
      </c>
      <c r="M80" s="88">
        <f t="shared" si="20"/>
        <v>349870.50163200003</v>
      </c>
      <c r="N80" s="88">
        <f t="shared" si="20"/>
        <v>519507.80159999995</v>
      </c>
      <c r="O80" s="88">
        <f t="shared" si="20"/>
        <v>424957.49999999988</v>
      </c>
      <c r="Q80" s="35"/>
      <c r="S80" s="238"/>
      <c r="T80" s="238"/>
      <c r="U80" s="238"/>
      <c r="V80" s="238"/>
      <c r="W80" s="238"/>
      <c r="X80" s="238"/>
      <c r="Y80" s="238"/>
      <c r="Z80" s="238"/>
      <c r="AA80" s="238"/>
      <c r="AB80" s="238"/>
    </row>
    <row r="81" spans="2:28" s="22" customFormat="1" ht="28.8" x14ac:dyDescent="0.3">
      <c r="B81" s="35"/>
      <c r="C81" s="40" t="s">
        <v>142</v>
      </c>
      <c r="D81" s="43" t="s">
        <v>141</v>
      </c>
      <c r="E81" s="87">
        <v>0</v>
      </c>
      <c r="F81" s="87">
        <v>0</v>
      </c>
      <c r="G81" s="87">
        <v>0</v>
      </c>
      <c r="H81" s="87">
        <v>0</v>
      </c>
      <c r="I81" s="87">
        <v>0</v>
      </c>
      <c r="J81" s="87">
        <v>0</v>
      </c>
      <c r="K81" s="87">
        <v>0</v>
      </c>
      <c r="L81" s="87">
        <v>0</v>
      </c>
      <c r="M81" s="87">
        <v>0</v>
      </c>
      <c r="N81" s="87">
        <v>0</v>
      </c>
      <c r="O81" s="87">
        <v>0</v>
      </c>
      <c r="Q81" s="35"/>
      <c r="S81" s="238"/>
      <c r="T81" s="238"/>
      <c r="U81" s="238"/>
      <c r="V81" s="238"/>
      <c r="W81" s="238"/>
      <c r="X81" s="238"/>
      <c r="Y81" s="238"/>
      <c r="Z81" s="238"/>
      <c r="AA81" s="238"/>
      <c r="AB81" s="238"/>
    </row>
    <row r="82" spans="2:28" s="22" customFormat="1" ht="30" customHeight="1" x14ac:dyDescent="0.3">
      <c r="B82" s="35"/>
      <c r="C82" s="155" t="s">
        <v>181</v>
      </c>
      <c r="D82" s="43" t="s">
        <v>141</v>
      </c>
      <c r="E82" s="87">
        <v>0</v>
      </c>
      <c r="F82" s="87">
        <v>0</v>
      </c>
      <c r="G82" s="87">
        <v>0</v>
      </c>
      <c r="H82" s="88">
        <f t="shared" ref="H82:O82" si="21">H116</f>
        <v>0</v>
      </c>
      <c r="I82" s="88">
        <f t="shared" si="21"/>
        <v>0</v>
      </c>
      <c r="J82" s="88">
        <f t="shared" si="21"/>
        <v>0</v>
      </c>
      <c r="K82" s="88">
        <f t="shared" si="21"/>
        <v>0</v>
      </c>
      <c r="L82" s="88">
        <f t="shared" si="21"/>
        <v>0</v>
      </c>
      <c r="M82" s="88">
        <f t="shared" si="21"/>
        <v>0</v>
      </c>
      <c r="N82" s="88">
        <f t="shared" si="21"/>
        <v>0</v>
      </c>
      <c r="O82" s="88">
        <f t="shared" si="21"/>
        <v>0</v>
      </c>
      <c r="Q82" s="35"/>
      <c r="S82" s="238"/>
      <c r="T82" s="238"/>
      <c r="U82" s="238"/>
      <c r="V82" s="238"/>
      <c r="W82" s="238"/>
      <c r="X82" s="238"/>
      <c r="Y82" s="238"/>
      <c r="Z82" s="238"/>
      <c r="AA82" s="238"/>
      <c r="AB82" s="238"/>
    </row>
    <row r="83" spans="2:28" s="22" customFormat="1" x14ac:dyDescent="0.3">
      <c r="B83" s="35"/>
      <c r="C83" s="155" t="s">
        <v>143</v>
      </c>
      <c r="D83" s="129" t="s">
        <v>141</v>
      </c>
      <c r="E83" s="87">
        <v>59690</v>
      </c>
      <c r="F83" s="87">
        <v>53169</v>
      </c>
      <c r="G83" s="87">
        <f>15492+3274+47661</f>
        <v>66427</v>
      </c>
      <c r="H83" s="88">
        <f>G83*(1+H110)*(1+'Date macro-economice'!H$9)</f>
        <v>69349.788</v>
      </c>
      <c r="I83" s="88">
        <f>H83*(1+I110)*(1+'Date macro-economice'!I$9)</f>
        <v>71638.331003999992</v>
      </c>
      <c r="J83" s="88">
        <f>I83*(1+J110)*(1+'Date macro-economice'!J$9)</f>
        <v>73787.480934119987</v>
      </c>
      <c r="K83" s="88">
        <f>J83*(1+K110)*(1+'Date macro-economice'!K$9)</f>
        <v>76001.105362143586</v>
      </c>
      <c r="L83" s="88">
        <f>K83*(1+L110)*(1+'Date macro-economice'!L$9)</f>
        <v>78281.138523007889</v>
      </c>
      <c r="M83" s="88">
        <f>L83*(1+M110)*(1+'Date macro-economice'!M$9)</f>
        <v>80629.572678698125</v>
      </c>
      <c r="N83" s="88">
        <f>M83*(1+N110)*(1+'Date macro-economice'!N$9)</f>
        <v>83048.459859059076</v>
      </c>
      <c r="O83" s="88">
        <f>N83*(1+O110)*(1+'Date macro-economice'!O$9)</f>
        <v>85539.913654830845</v>
      </c>
      <c r="Q83" s="35"/>
      <c r="S83" s="238"/>
      <c r="T83" s="238"/>
      <c r="U83" s="238"/>
      <c r="V83" s="238"/>
      <c r="W83" s="238"/>
      <c r="X83" s="238"/>
      <c r="Y83" s="238"/>
      <c r="Z83" s="238"/>
      <c r="AA83" s="238"/>
      <c r="AB83" s="238"/>
    </row>
    <row r="84" spans="2:28" s="22" customFormat="1" x14ac:dyDescent="0.3">
      <c r="B84" s="35"/>
      <c r="C84" s="42" t="s">
        <v>144</v>
      </c>
      <c r="D84" s="51" t="s">
        <v>141</v>
      </c>
      <c r="E84" s="62">
        <f t="shared" ref="E84:O84" si="22">SUM(E74:E83)</f>
        <v>1458526</v>
      </c>
      <c r="F84" s="62">
        <f t="shared" si="22"/>
        <v>1685268</v>
      </c>
      <c r="G84" s="62">
        <f t="shared" si="22"/>
        <v>1697870</v>
      </c>
      <c r="H84" s="62">
        <f t="shared" si="22"/>
        <v>2009901.9672917542</v>
      </c>
      <c r="I84" s="62">
        <f t="shared" si="22"/>
        <v>2147156.8614671938</v>
      </c>
      <c r="J84" s="62">
        <f t="shared" si="22"/>
        <v>2308581.1934218113</v>
      </c>
      <c r="K84" s="62">
        <f t="shared" si="22"/>
        <v>2397976.9614986796</v>
      </c>
      <c r="L84" s="62">
        <f t="shared" si="22"/>
        <v>2493003.9031815585</v>
      </c>
      <c r="M84" s="62">
        <f t="shared" si="22"/>
        <v>2607259.4558777255</v>
      </c>
      <c r="N84" s="62">
        <f t="shared" si="22"/>
        <v>2880426.0322177201</v>
      </c>
      <c r="O84" s="62">
        <f t="shared" si="22"/>
        <v>2914682.6039601467</v>
      </c>
      <c r="Q84" s="35"/>
      <c r="S84" s="238"/>
      <c r="T84" s="238"/>
      <c r="U84" s="238"/>
      <c r="V84" s="238"/>
      <c r="W84" s="238"/>
      <c r="X84" s="238"/>
      <c r="Y84" s="238"/>
      <c r="Z84" s="238"/>
      <c r="AA84" s="238"/>
      <c r="AB84" s="238"/>
    </row>
    <row r="85" spans="2:28" s="22" customFormat="1" x14ac:dyDescent="0.3">
      <c r="B85" s="35"/>
      <c r="Q85" s="35"/>
      <c r="S85" s="238"/>
      <c r="T85" s="238"/>
      <c r="U85" s="238"/>
      <c r="V85" s="238"/>
      <c r="W85" s="238"/>
      <c r="X85" s="238"/>
      <c r="Y85" s="238"/>
      <c r="Z85" s="238"/>
      <c r="AA85" s="238"/>
      <c r="AB85" s="238"/>
    </row>
    <row r="86" spans="2:28" x14ac:dyDescent="0.3">
      <c r="B86" s="35"/>
      <c r="C86" s="40" t="s">
        <v>152</v>
      </c>
      <c r="D86" s="43" t="s">
        <v>47</v>
      </c>
      <c r="E86" s="92" t="s">
        <v>92</v>
      </c>
      <c r="F86" s="162">
        <f>(F74/E74)/(1+'Date macro-economice'!F$9)-1</f>
        <v>-9.8951877689816281E-2</v>
      </c>
      <c r="G86" s="162">
        <f>IFERROR((G74/F74)/(1+'Date macro-economice'!G$9)-1,0)</f>
        <v>-0.24636505998955216</v>
      </c>
      <c r="H86" s="159"/>
      <c r="I86" s="159"/>
      <c r="J86" s="159"/>
      <c r="K86" s="159"/>
      <c r="L86" s="159"/>
      <c r="M86" s="159"/>
      <c r="N86" s="159"/>
      <c r="O86" s="159"/>
      <c r="Q86" s="35"/>
      <c r="S86" s="238"/>
      <c r="T86" s="238"/>
      <c r="U86" s="238"/>
      <c r="V86" s="238"/>
      <c r="W86" s="238"/>
      <c r="X86" s="238"/>
      <c r="Y86" s="238"/>
      <c r="Z86" s="238"/>
      <c r="AA86" s="238"/>
      <c r="AB86" s="238"/>
    </row>
    <row r="87" spans="2:28" x14ac:dyDescent="0.3">
      <c r="B87" s="35"/>
      <c r="Q87" s="35"/>
      <c r="S87" s="238"/>
      <c r="T87" s="238"/>
      <c r="U87" s="238"/>
      <c r="V87" s="238"/>
      <c r="W87" s="238"/>
      <c r="X87" s="238"/>
      <c r="Y87" s="238"/>
      <c r="Z87" s="238"/>
      <c r="AA87" s="238"/>
      <c r="AB87" s="238"/>
    </row>
    <row r="88" spans="2:28" s="22" customFormat="1" x14ac:dyDescent="0.3">
      <c r="B88" s="35"/>
      <c r="C88" s="66" t="s">
        <v>153</v>
      </c>
      <c r="D88" s="40"/>
      <c r="E88" s="40"/>
      <c r="F88" s="40"/>
      <c r="G88" s="40"/>
      <c r="H88" s="40"/>
      <c r="I88" s="40"/>
      <c r="J88" s="40"/>
      <c r="K88" s="40"/>
      <c r="L88" s="40"/>
      <c r="M88" s="40"/>
      <c r="N88" s="40"/>
      <c r="O88" s="40"/>
      <c r="Q88" s="35"/>
      <c r="S88" s="238"/>
      <c r="T88" s="238"/>
      <c r="U88" s="238"/>
      <c r="V88" s="238"/>
      <c r="W88" s="238"/>
      <c r="X88" s="238"/>
      <c r="Y88" s="238"/>
      <c r="Z88" s="238"/>
      <c r="AA88" s="238"/>
      <c r="AB88" s="238"/>
    </row>
    <row r="89" spans="2:28" s="22" customFormat="1" x14ac:dyDescent="0.3">
      <c r="B89" s="35"/>
      <c r="C89" s="40" t="s">
        <v>154</v>
      </c>
      <c r="D89" s="43" t="s">
        <v>155</v>
      </c>
      <c r="E89" s="87">
        <v>296851</v>
      </c>
      <c r="F89" s="87">
        <v>337948</v>
      </c>
      <c r="G89" s="87">
        <v>264403</v>
      </c>
      <c r="H89" s="87">
        <f>G89/Cererea!G100*Cererea!H100</f>
        <v>266442.66782016109</v>
      </c>
      <c r="I89" s="87">
        <f>H89/Cererea!H100*Cererea!I100</f>
        <v>270678.40843241056</v>
      </c>
      <c r="J89" s="87">
        <f>I89/Cererea!I100*Cererea!J100</f>
        <v>274628.87760286103</v>
      </c>
      <c r="K89" s="87">
        <f>J89/Cererea!J100*Cererea!K100</f>
        <v>271797.6520605635</v>
      </c>
      <c r="L89" s="87">
        <f>K89/Cererea!K100*Cererea!L100</f>
        <v>269024.20663137408</v>
      </c>
      <c r="M89" s="87">
        <f>L89/Cererea!L100*Cererea!M100</f>
        <v>267658.60152157018</v>
      </c>
      <c r="N89" s="87">
        <f>M89/Cererea!M100*Cererea!N100</f>
        <v>266306.79040277435</v>
      </c>
      <c r="O89" s="87">
        <f>N89/Cererea!N100*Cererea!O100</f>
        <v>281819.83552740817</v>
      </c>
      <c r="Q89" s="35"/>
      <c r="S89" s="238"/>
      <c r="T89" s="238"/>
      <c r="U89" s="238"/>
      <c r="V89" s="238"/>
      <c r="W89" s="238"/>
      <c r="X89" s="238"/>
      <c r="Y89" s="238"/>
      <c r="Z89" s="238"/>
      <c r="AA89" s="238"/>
      <c r="AB89" s="238"/>
    </row>
    <row r="90" spans="2:28" s="22" customFormat="1" x14ac:dyDescent="0.3">
      <c r="B90" s="35"/>
      <c r="C90" s="40" t="s">
        <v>156</v>
      </c>
      <c r="D90" s="43" t="s">
        <v>157</v>
      </c>
      <c r="E90" s="105">
        <f>IFERROR(E89/(Cererea!E38+Cererea!E53),0)</f>
        <v>0.80062086003409061</v>
      </c>
      <c r="F90" s="105">
        <f>IFERROR(F89/(Cererea!F38+Cererea!F53),0)</f>
        <v>0.78826287247069804</v>
      </c>
      <c r="G90" s="105">
        <f>IFERROR(G89/(Cererea!G38+Cererea!G53),0)</f>
        <v>0.60517690466054175</v>
      </c>
      <c r="H90" s="105">
        <f>H89/(Cererea!H38+Cererea!H53)</f>
        <v>0.60272621096386203</v>
      </c>
      <c r="I90" s="105">
        <f>I89/(Cererea!I38+Cererea!I53)</f>
        <v>0.59955396774826275</v>
      </c>
      <c r="J90" s="105">
        <f>J89/(Cererea!J38+Cererea!J53)</f>
        <v>0.59330861391755163</v>
      </c>
      <c r="K90" s="105">
        <f>K89/(Cererea!K38+Cererea!K53)</f>
        <v>0.58719203026891709</v>
      </c>
      <c r="L90" s="105">
        <f>L89/(Cererea!L38+Cererea!L53)</f>
        <v>0.58120027485800974</v>
      </c>
      <c r="M90" s="105">
        <f>M89/(Cererea!M38+Cererea!M53)</f>
        <v>0.5782500196556849</v>
      </c>
      <c r="N90" s="105">
        <f>N89/(Cererea!N38+Cererea!N53)</f>
        <v>0.57532956501095922</v>
      </c>
      <c r="O90" s="105">
        <f>O89/(Cererea!O38+Cererea!O53)</f>
        <v>0.60593220144771243</v>
      </c>
      <c r="Q90" s="35"/>
      <c r="S90" s="238"/>
      <c r="T90" s="238"/>
      <c r="U90" s="238"/>
      <c r="V90" s="238"/>
      <c r="W90" s="238"/>
      <c r="X90" s="238"/>
      <c r="Y90" s="238"/>
      <c r="Z90" s="238"/>
      <c r="AA90" s="238"/>
      <c r="AB90" s="238"/>
    </row>
    <row r="91" spans="2:28" s="22" customFormat="1" x14ac:dyDescent="0.3">
      <c r="B91" s="35"/>
      <c r="C91" s="40" t="s">
        <v>147</v>
      </c>
      <c r="D91" s="43" t="s">
        <v>158</v>
      </c>
      <c r="E91" s="161">
        <f>E75/E89</f>
        <v>0.98541018895001198</v>
      </c>
      <c r="F91" s="161">
        <f>F75/F89</f>
        <v>0.99050149727176962</v>
      </c>
      <c r="G91" s="161">
        <f>IFERROR(G75/G89,0)</f>
        <v>0.93110138689803068</v>
      </c>
      <c r="H91" s="161">
        <f>G91*(1+'Date macro-economice'!H$9)*(1+H92)</f>
        <v>0.97206984792154405</v>
      </c>
      <c r="I91" s="161">
        <f>H91*(1+'Date macro-economice'!I$9)*(1+I92)</f>
        <v>1.004148152902955</v>
      </c>
      <c r="J91" s="161">
        <f>I91*(1+'Date macro-economice'!J$9)*(1+J92)</f>
        <v>1.0342725974900437</v>
      </c>
      <c r="K91" s="161">
        <f>J91*(1+'Date macro-economice'!K$9)*(1+K92)</f>
        <v>1.065300775414745</v>
      </c>
      <c r="L91" s="161">
        <f>K91*(1+'Date macro-economice'!L$9)*(1+L92)</f>
        <v>1.0972597986771875</v>
      </c>
      <c r="M91" s="161">
        <f>L91*(1+'Date macro-economice'!M$9)*(1+M92)</f>
        <v>1.1301775926375031</v>
      </c>
      <c r="N91" s="161">
        <f>M91*(1+'Date macro-economice'!N$9)*(1+N92)</f>
        <v>1.1640829204166281</v>
      </c>
      <c r="O91" s="161">
        <f>N91*(1+'Date macro-economice'!O$9)*(1+O92)</f>
        <v>1.199005408029127</v>
      </c>
      <c r="Q91" s="35"/>
      <c r="S91" s="238"/>
      <c r="T91" s="238"/>
      <c r="U91" s="238"/>
      <c r="V91" s="238"/>
      <c r="W91" s="238"/>
      <c r="X91" s="238"/>
      <c r="Y91" s="238"/>
      <c r="Z91" s="238"/>
      <c r="AA91" s="238"/>
      <c r="AB91" s="238"/>
    </row>
    <row r="92" spans="2:28" s="22" customFormat="1" x14ac:dyDescent="0.3">
      <c r="B92" s="35"/>
      <c r="C92" s="40" t="s">
        <v>148</v>
      </c>
      <c r="D92" s="43" t="s">
        <v>47</v>
      </c>
      <c r="E92" s="158" t="s">
        <v>92</v>
      </c>
      <c r="F92" s="36">
        <f>(F91/E91)/(1+'Date macro-economice'!F$9)-1</f>
        <v>-8.9522926319722473E-2</v>
      </c>
      <c r="G92" s="36">
        <f>IFERROR((G91/F91)/(1+'Date macro-economice'!G$9)-1,0)</f>
        <v>-0.10981982296088466</v>
      </c>
      <c r="H92" s="159"/>
      <c r="I92" s="159"/>
      <c r="J92" s="159"/>
      <c r="K92" s="159"/>
      <c r="L92" s="159"/>
      <c r="M92" s="159"/>
      <c r="N92" s="159"/>
      <c r="O92" s="159"/>
      <c r="Q92" s="35"/>
      <c r="S92" s="238"/>
      <c r="T92" s="238"/>
      <c r="U92" s="238"/>
      <c r="V92" s="238"/>
      <c r="W92" s="238"/>
      <c r="X92" s="238"/>
      <c r="Y92" s="238"/>
      <c r="Z92" s="238"/>
      <c r="AA92" s="238"/>
      <c r="AB92" s="238"/>
    </row>
    <row r="93" spans="2:28" x14ac:dyDescent="0.3">
      <c r="B93" s="35"/>
      <c r="C93" s="81" t="s">
        <v>149</v>
      </c>
      <c r="D93" s="82" t="s">
        <v>141</v>
      </c>
      <c r="E93" s="91">
        <f>E75</f>
        <v>292520</v>
      </c>
      <c r="F93" s="91">
        <f>F75</f>
        <v>334738</v>
      </c>
      <c r="G93" s="91">
        <f>G75</f>
        <v>246186</v>
      </c>
      <c r="H93" s="91">
        <f t="shared" ref="H93:O93" si="23">H89*H91</f>
        <v>259000.88358775448</v>
      </c>
      <c r="I93" s="91">
        <f t="shared" si="23"/>
        <v>271801.22385811672</v>
      </c>
      <c r="J93" s="91">
        <f t="shared" si="23"/>
        <v>284041.12258408638</v>
      </c>
      <c r="K93" s="91">
        <f t="shared" si="23"/>
        <v>289546.24949602538</v>
      </c>
      <c r="L93" s="91">
        <f t="shared" si="23"/>
        <v>295189.44680763158</v>
      </c>
      <c r="M93" s="91">
        <f t="shared" si="23"/>
        <v>302501.75391636888</v>
      </c>
      <c r="N93" s="91">
        <f t="shared" si="23"/>
        <v>310003.18629884045</v>
      </c>
      <c r="O93" s="91">
        <f t="shared" si="23"/>
        <v>337903.5068872415</v>
      </c>
      <c r="Q93" s="35"/>
      <c r="S93" s="238"/>
      <c r="T93" s="238"/>
      <c r="U93" s="238"/>
      <c r="V93" s="238"/>
      <c r="W93" s="238"/>
      <c r="X93" s="238"/>
      <c r="Y93" s="238"/>
      <c r="Z93" s="238"/>
      <c r="AA93" s="238"/>
      <c r="AB93" s="238"/>
    </row>
    <row r="94" spans="2:28" x14ac:dyDescent="0.3">
      <c r="B94" s="35"/>
      <c r="Q94" s="35"/>
      <c r="S94" s="238"/>
      <c r="T94" s="238"/>
      <c r="U94" s="238"/>
      <c r="V94" s="238"/>
      <c r="W94" s="238"/>
      <c r="X94" s="238"/>
      <c r="Y94" s="238"/>
      <c r="Z94" s="238"/>
      <c r="AA94" s="238"/>
      <c r="AB94" s="238"/>
    </row>
    <row r="95" spans="2:28" x14ac:dyDescent="0.3">
      <c r="B95" s="35"/>
      <c r="C95" s="66" t="s">
        <v>159</v>
      </c>
      <c r="Q95" s="35"/>
      <c r="S95" s="238"/>
      <c r="T95" s="238"/>
      <c r="U95" s="238"/>
      <c r="V95" s="238"/>
      <c r="W95" s="238"/>
      <c r="X95" s="238"/>
      <c r="Y95" s="238"/>
      <c r="Z95" s="238"/>
      <c r="AA95" s="238"/>
      <c r="AB95" s="238"/>
    </row>
    <row r="96" spans="2:28" x14ac:dyDescent="0.3">
      <c r="B96" s="35"/>
      <c r="C96" s="40" t="s">
        <v>160</v>
      </c>
      <c r="D96" s="43" t="s">
        <v>141</v>
      </c>
      <c r="E96" s="87">
        <v>834835.20389999996</v>
      </c>
      <c r="F96" s="87">
        <v>969408</v>
      </c>
      <c r="G96" s="87">
        <v>1110427</v>
      </c>
      <c r="H96" s="88">
        <f>H99*H100*12</f>
        <v>1173197.2174559999</v>
      </c>
      <c r="I96" s="88">
        <f t="shared" ref="I96:O96" si="24">I99*I100*12</f>
        <v>1241907.565591441</v>
      </c>
      <c r="J96" s="88">
        <f t="shared" si="24"/>
        <v>1310824.121175024</v>
      </c>
      <c r="K96" s="88">
        <f t="shared" si="24"/>
        <v>1380527.1938185059</v>
      </c>
      <c r="L96" s="88">
        <f t="shared" si="24"/>
        <v>1453936.7273498049</v>
      </c>
      <c r="M96" s="88">
        <f t="shared" si="24"/>
        <v>1531249.8128266307</v>
      </c>
      <c r="N96" s="88">
        <f t="shared" si="24"/>
        <v>1612674.0216236869</v>
      </c>
      <c r="O96" s="88">
        <f t="shared" si="24"/>
        <v>1698427.9627235266</v>
      </c>
      <c r="Q96" s="35"/>
      <c r="S96" s="238"/>
      <c r="T96" s="238"/>
      <c r="U96" s="238"/>
      <c r="V96" s="238"/>
      <c r="W96" s="238"/>
      <c r="X96" s="238"/>
      <c r="Y96" s="238"/>
      <c r="Z96" s="238"/>
      <c r="AA96" s="238"/>
      <c r="AB96" s="238"/>
    </row>
    <row r="97" spans="2:28" x14ac:dyDescent="0.3">
      <c r="B97" s="35"/>
      <c r="C97" s="40" t="s">
        <v>161</v>
      </c>
      <c r="D97" s="43" t="s">
        <v>141</v>
      </c>
      <c r="E97" s="87">
        <v>18589.284800000001</v>
      </c>
      <c r="F97" s="87">
        <v>21672</v>
      </c>
      <c r="G97" s="87">
        <f>24985+23952</f>
        <v>48937</v>
      </c>
      <c r="H97" s="88">
        <f>H99*H101*12</f>
        <v>51703.310735999999</v>
      </c>
      <c r="I97" s="88">
        <f t="shared" ref="I97:O97" si="25">I99*I101*12</f>
        <v>54731.405610047615</v>
      </c>
      <c r="J97" s="88">
        <f t="shared" si="25"/>
        <v>57768.588135863196</v>
      </c>
      <c r="K97" s="88">
        <f t="shared" si="25"/>
        <v>60840.432809987717</v>
      </c>
      <c r="L97" s="88">
        <f t="shared" si="25"/>
        <v>64075.622824658807</v>
      </c>
      <c r="M97" s="88">
        <f t="shared" si="25"/>
        <v>67482.844068360035</v>
      </c>
      <c r="N97" s="88">
        <f t="shared" si="25"/>
        <v>71071.244301695086</v>
      </c>
      <c r="O97" s="88">
        <f t="shared" si="25"/>
        <v>74850.457717437719</v>
      </c>
      <c r="Q97" s="35"/>
      <c r="S97" s="238"/>
      <c r="T97" s="238"/>
      <c r="U97" s="238"/>
      <c r="V97" s="238"/>
      <c r="W97" s="238"/>
      <c r="X97" s="238"/>
      <c r="Y97" s="238"/>
      <c r="Z97" s="238"/>
      <c r="AA97" s="238"/>
      <c r="AB97" s="238"/>
    </row>
    <row r="98" spans="2:28" x14ac:dyDescent="0.3">
      <c r="B98" s="35"/>
      <c r="C98" s="155" t="s">
        <v>162</v>
      </c>
      <c r="D98" s="129" t="s">
        <v>141</v>
      </c>
      <c r="E98" s="88">
        <f>E76-E96-E97</f>
        <v>17216.511300000035</v>
      </c>
      <c r="F98" s="88">
        <f>F76-F96-F97</f>
        <v>49549</v>
      </c>
      <c r="G98" s="88">
        <f>G76-G96-G97</f>
        <v>16304</v>
      </c>
      <c r="H98" s="88">
        <f t="shared" ref="H98:O98" si="26">H99*H102*12</f>
        <v>17225.632512</v>
      </c>
      <c r="I98" s="88">
        <f t="shared" si="26"/>
        <v>18234.481824922179</v>
      </c>
      <c r="J98" s="88">
        <f t="shared" si="26"/>
        <v>19246.358807591674</v>
      </c>
      <c r="K98" s="88">
        <f t="shared" si="26"/>
        <v>20269.783937185362</v>
      </c>
      <c r="L98" s="88">
        <f t="shared" si="26"/>
        <v>21347.629698045195</v>
      </c>
      <c r="M98" s="88">
        <f t="shared" si="26"/>
        <v>22482.789907238744</v>
      </c>
      <c r="N98" s="88">
        <f t="shared" si="26"/>
        <v>23678.312260556162</v>
      </c>
      <c r="O98" s="88">
        <f t="shared" si="26"/>
        <v>24937.406515011236</v>
      </c>
      <c r="Q98" s="35"/>
      <c r="S98" s="238"/>
      <c r="T98" s="238"/>
      <c r="U98" s="238"/>
      <c r="V98" s="238"/>
      <c r="W98" s="238"/>
      <c r="X98" s="238"/>
      <c r="Y98" s="238"/>
      <c r="Z98" s="238"/>
      <c r="AA98" s="238"/>
      <c r="AB98" s="238"/>
    </row>
    <row r="99" spans="2:28" x14ac:dyDescent="0.3">
      <c r="B99" s="35"/>
      <c r="C99" s="40" t="s">
        <v>163</v>
      </c>
      <c r="D99" s="43" t="s">
        <v>14</v>
      </c>
      <c r="E99" s="87">
        <v>12</v>
      </c>
      <c r="F99" s="87">
        <v>12</v>
      </c>
      <c r="G99" s="87">
        <v>12</v>
      </c>
      <c r="H99" s="87">
        <v>12</v>
      </c>
      <c r="I99" s="87">
        <v>12</v>
      </c>
      <c r="J99" s="87">
        <v>12</v>
      </c>
      <c r="K99" s="87">
        <v>12</v>
      </c>
      <c r="L99" s="87">
        <v>12</v>
      </c>
      <c r="M99" s="87">
        <v>12</v>
      </c>
      <c r="N99" s="87">
        <v>12</v>
      </c>
      <c r="O99" s="87">
        <v>12</v>
      </c>
      <c r="Q99" s="35"/>
      <c r="S99" s="238"/>
      <c r="T99" s="238"/>
      <c r="U99" s="238"/>
      <c r="V99" s="238"/>
      <c r="W99" s="238"/>
      <c r="X99" s="238"/>
      <c r="Y99" s="238"/>
      <c r="Z99" s="238"/>
      <c r="AA99" s="238"/>
      <c r="AB99" s="238"/>
    </row>
    <row r="100" spans="2:28" x14ac:dyDescent="0.3">
      <c r="B100" s="35"/>
      <c r="C100" s="40" t="s">
        <v>164</v>
      </c>
      <c r="D100" s="163" t="s">
        <v>165</v>
      </c>
      <c r="E100" s="88">
        <f>E96/E99/12</f>
        <v>5797.4666937499996</v>
      </c>
      <c r="F100" s="88">
        <f>F96/F99/12</f>
        <v>6732</v>
      </c>
      <c r="G100" s="88">
        <f>IFERROR(G96/G99/12,0)</f>
        <v>7711.2986111111104</v>
      </c>
      <c r="H100" s="88">
        <f>G100*(1+'Date macro-economice'!H$9)*(1+'Date macro-economice'!H$11*'Costuri operare'!H106)*(1+'Costuri operare'!H103)</f>
        <v>8147.2028989999999</v>
      </c>
      <c r="I100" s="88">
        <f>H100*(1+'Date macro-economice'!I$9)*(1+'Date macro-economice'!I$11*'Costuri operare'!I106)*(1+'Costuri operare'!I103)</f>
        <v>8624.3580943850066</v>
      </c>
      <c r="J100" s="88">
        <f>I100*(1+'Date macro-economice'!J$9)*(1+'Date macro-economice'!J$11*'Costuri operare'!J106)*(1+'Costuri operare'!J103)</f>
        <v>9102.945285937667</v>
      </c>
      <c r="K100" s="88">
        <f>J100*(1+'Date macro-economice'!K$9)*(1+'Date macro-economice'!K$11*'Costuri operare'!K106)*(1+'Costuri operare'!K103)</f>
        <v>9586.9944015174024</v>
      </c>
      <c r="L100" s="88">
        <f>K100*(1+'Date macro-economice'!L$9)*(1+'Date macro-economice'!L$11*'Costuri operare'!L106)*(1+'Costuri operare'!L103)</f>
        <v>10096.78282881809</v>
      </c>
      <c r="M100" s="88">
        <f>L100*(1+'Date macro-economice'!M$9)*(1+'Date macro-economice'!M$11*'Costuri operare'!M106)*(1+'Costuri operare'!M103)</f>
        <v>10633.679255740491</v>
      </c>
      <c r="N100" s="88">
        <f>M100*(1+'Date macro-economice'!N$9)*(1+'Date macro-economice'!N$11*'Costuri operare'!N106)*(1+'Costuri operare'!N103)</f>
        <v>11199.125150164493</v>
      </c>
      <c r="O100" s="88">
        <f>N100*(1+'Date macro-economice'!O$9)*(1+'Date macro-economice'!O$11*'Costuri operare'!O106)*(1+'Costuri operare'!O103)</f>
        <v>11794.63863002449</v>
      </c>
      <c r="Q100" s="35"/>
      <c r="S100" s="238"/>
      <c r="T100" s="238"/>
      <c r="U100" s="238"/>
      <c r="V100" s="238"/>
      <c r="W100" s="238"/>
      <c r="X100" s="238"/>
      <c r="Y100" s="238"/>
      <c r="Z100" s="238"/>
      <c r="AA100" s="238"/>
      <c r="AB100" s="238"/>
    </row>
    <row r="101" spans="2:28" ht="28.8" x14ac:dyDescent="0.3">
      <c r="B101" s="35"/>
      <c r="C101" s="40" t="s">
        <v>166</v>
      </c>
      <c r="D101" s="163" t="s">
        <v>165</v>
      </c>
      <c r="E101" s="88">
        <f>E97/E99/12</f>
        <v>129.09225555555557</v>
      </c>
      <c r="F101" s="88">
        <f>F97/F99/12</f>
        <v>150.5</v>
      </c>
      <c r="G101" s="88">
        <f>IFERROR(G97/G99/12,0)</f>
        <v>339.84027777777777</v>
      </c>
      <c r="H101" s="88">
        <f>G101*(1+'Date macro-economice'!H$9)*(1+'Date macro-economice'!H$11*'Costuri operare'!H106)*(1+'Costuri operare'!H104)</f>
        <v>359.050769</v>
      </c>
      <c r="I101" s="88">
        <f>H101*(1+'Date macro-economice'!I$9)*(1+'Date macro-economice'!I$11*'Costuri operare'!I106)*(1+'Costuri operare'!I104)</f>
        <v>380.0792056253307</v>
      </c>
      <c r="J101" s="88">
        <f>I101*(1+'Date macro-economice'!J$9)*(1+'Date macro-economice'!J$11*'Costuri operare'!J106)*(1+'Costuri operare'!J104)</f>
        <v>401.1707509434944</v>
      </c>
      <c r="K101" s="88">
        <f>J101*(1+'Date macro-economice'!K$9)*(1+'Date macro-economice'!K$11*'Costuri operare'!K106)*(1+'Costuri operare'!K104)</f>
        <v>422.50300562491469</v>
      </c>
      <c r="L101" s="88">
        <f>K101*(1+'Date macro-economice'!L$9)*(1+'Date macro-economice'!L$11*'Costuri operare'!L106)*(1+'Costuri operare'!L104)</f>
        <v>444.96960294901953</v>
      </c>
      <c r="M101" s="88">
        <f>L101*(1+'Date macro-economice'!M$9)*(1+'Date macro-economice'!M$11*'Costuri operare'!M106)*(1+'Costuri operare'!M104)</f>
        <v>468.6308615858336</v>
      </c>
      <c r="N101" s="88">
        <f>M101*(1+'Date macro-economice'!N$9)*(1+'Date macro-economice'!N$11*'Costuri operare'!N106)*(1+'Costuri operare'!N104)</f>
        <v>493.55030765066033</v>
      </c>
      <c r="O101" s="88">
        <f>N101*(1+'Date macro-economice'!O$9)*(1+'Date macro-economice'!O$11*'Costuri operare'!O106)*(1+'Costuri operare'!O104)</f>
        <v>519.79484525998419</v>
      </c>
      <c r="Q101" s="35"/>
      <c r="S101" s="238"/>
      <c r="T101" s="238"/>
      <c r="U101" s="238"/>
      <c r="V101" s="238"/>
      <c r="W101" s="238"/>
      <c r="X101" s="238"/>
      <c r="Y101" s="238"/>
      <c r="Z101" s="238"/>
      <c r="AA101" s="238"/>
      <c r="AB101" s="238"/>
    </row>
    <row r="102" spans="2:28" x14ac:dyDescent="0.3">
      <c r="B102" s="35"/>
      <c r="C102" s="155" t="s">
        <v>167</v>
      </c>
      <c r="D102" s="164" t="s">
        <v>165</v>
      </c>
      <c r="E102" s="131">
        <f>E98/E99/12</f>
        <v>119.55910625000024</v>
      </c>
      <c r="F102" s="131">
        <f>F98/F99/12</f>
        <v>344.09027777777777</v>
      </c>
      <c r="G102" s="131">
        <f>IFERROR(G98/G99/12,0)</f>
        <v>113.22222222222223</v>
      </c>
      <c r="H102" s="88">
        <f>G102*(1+'Date macro-economice'!H$9)*(1+'Date macro-economice'!H$11*'Costuri operare'!H106)*(1+'Costuri operare'!H105)</f>
        <v>119.62244800000001</v>
      </c>
      <c r="I102" s="88">
        <f>H102*(1+'Date macro-economice'!I$9)*(1+'Date macro-economice'!I$11*'Costuri operare'!I106)*(1+'Costuri operare'!I105)</f>
        <v>126.62834600640402</v>
      </c>
      <c r="J102" s="88">
        <f>I102*(1+'Date macro-economice'!J$9)*(1+'Date macro-economice'!J$11*'Costuri operare'!J106)*(1+'Costuri operare'!J105)</f>
        <v>133.6552694971644</v>
      </c>
      <c r="K102" s="88">
        <f>J102*(1+'Date macro-economice'!K$9)*(1+'Date macro-economice'!K$11*'Costuri operare'!K106)*(1+'Costuri operare'!K105)</f>
        <v>140.76238845267613</v>
      </c>
      <c r="L102" s="88">
        <f>K102*(1+'Date macro-economice'!L$9)*(1+'Date macro-economice'!L$11*'Costuri operare'!L106)*(1+'Costuri operare'!L105)</f>
        <v>148.24742845864719</v>
      </c>
      <c r="M102" s="88">
        <f>L102*(1+'Date macro-economice'!M$9)*(1+'Date macro-economice'!M$11*'Costuri operare'!M106)*(1+'Costuri operare'!M105)</f>
        <v>156.13048546693574</v>
      </c>
      <c r="N102" s="88">
        <f>M102*(1+'Date macro-economice'!N$9)*(1+'Date macro-economice'!N$11*'Costuri operare'!N106)*(1+'Costuri operare'!N105)</f>
        <v>164.43272403164002</v>
      </c>
      <c r="O102" s="88">
        <f>N102*(1+'Date macro-economice'!O$9)*(1+'Date macro-economice'!O$11*'Costuri operare'!O106)*(1+'Costuri operare'!O105)</f>
        <v>173.17643413202248</v>
      </c>
      <c r="Q102" s="35"/>
      <c r="S102" s="238"/>
      <c r="T102" s="238"/>
      <c r="U102" s="238"/>
      <c r="V102" s="238"/>
      <c r="W102" s="238"/>
      <c r="X102" s="238"/>
      <c r="Y102" s="238"/>
      <c r="Z102" s="238"/>
      <c r="AA102" s="238"/>
      <c r="AB102" s="238"/>
    </row>
    <row r="103" spans="2:28" s="22" customFormat="1" ht="28.8" x14ac:dyDescent="0.3">
      <c r="B103" s="35"/>
      <c r="C103" s="40" t="s">
        <v>168</v>
      </c>
      <c r="D103" s="43" t="s">
        <v>47</v>
      </c>
      <c r="E103" s="92" t="s">
        <v>92</v>
      </c>
      <c r="F103" s="36">
        <f>(F100/E100)/((1+'Date macro-economice'!F$9)*(1+'Date macro-economice'!F$11*F$58))-1</f>
        <v>1.3791548082910277E-2</v>
      </c>
      <c r="G103" s="36">
        <f>IFERROR((G100/F100)/((1+'Date macro-economice'!G$9)*(1+'Date macro-economice'!G$11*G$58))-1,0)</f>
        <v>2.1157557187861942E-2</v>
      </c>
      <c r="H103" s="159"/>
      <c r="I103" s="159"/>
      <c r="J103" s="159"/>
      <c r="K103" s="159"/>
      <c r="L103" s="159"/>
      <c r="M103" s="159"/>
      <c r="N103" s="159"/>
      <c r="O103" s="159"/>
      <c r="Q103" s="35"/>
      <c r="S103" s="238"/>
      <c r="T103" s="238"/>
      <c r="U103" s="238"/>
      <c r="V103" s="238"/>
      <c r="W103" s="238"/>
      <c r="X103" s="238"/>
      <c r="Y103" s="238"/>
      <c r="Z103" s="238"/>
      <c r="AA103" s="238"/>
      <c r="AB103" s="238"/>
    </row>
    <row r="104" spans="2:28" s="22" customFormat="1" ht="43.2" x14ac:dyDescent="0.3">
      <c r="B104" s="35"/>
      <c r="C104" s="40" t="s">
        <v>169</v>
      </c>
      <c r="D104" s="43" t="s">
        <v>47</v>
      </c>
      <c r="E104" s="92" t="s">
        <v>92</v>
      </c>
      <c r="F104" s="36">
        <f>(F101/E101)/((1+'Date macro-economice'!F$9)*(1+'Date macro-economice'!F$11*F$58))-1</f>
        <v>1.7839104562295205E-2</v>
      </c>
      <c r="G104" s="36">
        <f>IFERROR((G101/F101)/((1+'Date macro-economice'!G$9)*(1+'Date macro-economice'!G$11*G$58))-1,0)</f>
        <v>1.0130181570356274</v>
      </c>
      <c r="H104" s="159"/>
      <c r="I104" s="159"/>
      <c r="J104" s="159"/>
      <c r="K104" s="159"/>
      <c r="L104" s="159"/>
      <c r="M104" s="159"/>
      <c r="N104" s="159"/>
      <c r="O104" s="159"/>
      <c r="Q104" s="35"/>
      <c r="S104" s="238"/>
      <c r="T104" s="238"/>
      <c r="U104" s="238"/>
      <c r="V104" s="238"/>
      <c r="W104" s="238"/>
      <c r="X104" s="238"/>
      <c r="Y104" s="238"/>
      <c r="Z104" s="238"/>
      <c r="AA104" s="238"/>
      <c r="AB104" s="238"/>
    </row>
    <row r="105" spans="2:28" s="22" customFormat="1" ht="28.8" x14ac:dyDescent="0.3">
      <c r="B105" s="35"/>
      <c r="C105" s="40" t="s">
        <v>170</v>
      </c>
      <c r="D105" s="43" t="s">
        <v>47</v>
      </c>
      <c r="E105" s="92" t="s">
        <v>92</v>
      </c>
      <c r="F105" s="36">
        <f>(F102/E102)/((1+'Date macro-economice'!F$9)*(1+'Date macro-economice'!F$11*F$58))-1</f>
        <v>1.5126532719972676</v>
      </c>
      <c r="G105" s="36">
        <f>IFERROR((G102/F102)/((1+'Date macro-economice'!G$9)*(1+'Date macro-economice'!G$11*G$58))-1,0)</f>
        <v>-0.7066618053820477</v>
      </c>
      <c r="H105" s="159"/>
      <c r="I105" s="159"/>
      <c r="J105" s="159"/>
      <c r="K105" s="159"/>
      <c r="L105" s="159"/>
      <c r="M105" s="159"/>
      <c r="N105" s="159"/>
      <c r="O105" s="159"/>
      <c r="Q105" s="35"/>
      <c r="S105" s="238"/>
      <c r="T105" s="238"/>
      <c r="U105" s="238"/>
      <c r="V105" s="238"/>
      <c r="W105" s="238"/>
      <c r="X105" s="238"/>
      <c r="Y105" s="238"/>
      <c r="Z105" s="238"/>
      <c r="AA105" s="238"/>
      <c r="AB105" s="238"/>
    </row>
    <row r="106" spans="2:28" s="22" customFormat="1" ht="43.2" x14ac:dyDescent="0.3">
      <c r="B106" s="35"/>
      <c r="C106" s="40" t="s">
        <v>171</v>
      </c>
      <c r="D106" s="43" t="s">
        <v>47</v>
      </c>
      <c r="E106" s="92"/>
      <c r="F106" s="165">
        <v>0.75</v>
      </c>
      <c r="G106" s="165">
        <v>0.75</v>
      </c>
      <c r="H106" s="165">
        <v>0.75</v>
      </c>
      <c r="I106" s="165">
        <v>0.75</v>
      </c>
      <c r="J106" s="165">
        <v>0.75</v>
      </c>
      <c r="K106" s="165">
        <v>0.75</v>
      </c>
      <c r="L106" s="165">
        <v>0.75</v>
      </c>
      <c r="M106" s="165">
        <v>0.75</v>
      </c>
      <c r="N106" s="165">
        <v>0.75</v>
      </c>
      <c r="O106" s="165">
        <v>0.75</v>
      </c>
      <c r="Q106" s="35"/>
      <c r="S106" s="238"/>
      <c r="T106" s="238"/>
      <c r="U106" s="238"/>
      <c r="V106" s="238"/>
      <c r="W106" s="238"/>
      <c r="X106" s="238"/>
      <c r="Y106" s="238"/>
      <c r="Z106" s="238"/>
      <c r="AA106" s="238"/>
      <c r="AB106" s="238"/>
    </row>
    <row r="107" spans="2:28" x14ac:dyDescent="0.3">
      <c r="B107" s="35"/>
      <c r="Q107" s="35"/>
      <c r="S107" s="238"/>
      <c r="T107" s="238"/>
      <c r="U107" s="238"/>
      <c r="V107" s="238"/>
      <c r="W107" s="238"/>
      <c r="X107" s="238"/>
      <c r="Y107" s="238"/>
      <c r="Z107" s="238"/>
      <c r="AA107" s="238"/>
      <c r="AB107" s="238"/>
    </row>
    <row r="108" spans="2:28" ht="28.8" x14ac:dyDescent="0.3">
      <c r="B108" s="35"/>
      <c r="C108" s="40" t="s">
        <v>172</v>
      </c>
      <c r="D108" s="43" t="s">
        <v>47</v>
      </c>
      <c r="E108" s="92" t="s">
        <v>92</v>
      </c>
      <c r="F108" s="162" t="e">
        <f>(F77/E77)/(1+'Date macro-economice'!F$9)-1</f>
        <v>#DIV/0!</v>
      </c>
      <c r="G108" s="162">
        <f>IFERROR((G77/F77)/(1+'Date macro-economice'!G$9)-1,0)</f>
        <v>0</v>
      </c>
      <c r="H108" s="159"/>
      <c r="I108" s="159"/>
      <c r="J108" s="159"/>
      <c r="K108" s="159"/>
      <c r="L108" s="159"/>
      <c r="M108" s="159"/>
      <c r="N108" s="159"/>
      <c r="O108" s="159"/>
      <c r="Q108" s="35"/>
      <c r="S108" s="238"/>
      <c r="T108" s="238"/>
      <c r="U108" s="238"/>
      <c r="V108" s="238"/>
      <c r="W108" s="238"/>
      <c r="X108" s="238"/>
      <c r="Y108" s="238"/>
      <c r="Z108" s="238"/>
      <c r="AA108" s="238"/>
      <c r="AB108" s="238"/>
    </row>
    <row r="109" spans="2:28" ht="28.8" x14ac:dyDescent="0.3">
      <c r="B109" s="35"/>
      <c r="C109" s="40" t="s">
        <v>173</v>
      </c>
      <c r="D109" s="43" t="s">
        <v>47</v>
      </c>
      <c r="E109" s="92" t="s">
        <v>92</v>
      </c>
      <c r="F109" s="162">
        <f>(F78/E78)/(1+'Date macro-economice'!F$9)-1</f>
        <v>9.1854953313679211E-2</v>
      </c>
      <c r="G109" s="162">
        <f>IFERROR((G78/F78)/(1+'Date macro-economice'!G$9)-1,0)</f>
        <v>-0.22488672282572542</v>
      </c>
      <c r="H109" s="159"/>
      <c r="I109" s="159"/>
      <c r="J109" s="159"/>
      <c r="K109" s="159"/>
      <c r="L109" s="159"/>
      <c r="M109" s="159"/>
      <c r="N109" s="159"/>
      <c r="O109" s="159"/>
      <c r="Q109" s="35"/>
      <c r="S109" s="238"/>
      <c r="T109" s="238"/>
      <c r="U109" s="238"/>
      <c r="V109" s="238"/>
      <c r="W109" s="238"/>
      <c r="X109" s="238"/>
      <c r="Y109" s="238"/>
      <c r="Z109" s="238"/>
      <c r="AA109" s="238"/>
      <c r="AB109" s="238"/>
    </row>
    <row r="110" spans="2:28" ht="28.8" x14ac:dyDescent="0.3">
      <c r="B110" s="35"/>
      <c r="C110" s="40" t="s">
        <v>174</v>
      </c>
      <c r="D110" s="43" t="s">
        <v>47</v>
      </c>
      <c r="E110" s="92" t="s">
        <v>92</v>
      </c>
      <c r="F110" s="162">
        <f>(F83/E83)/(1+'Date macro-economice'!F$9)-1</f>
        <v>-0.19315922119355811</v>
      </c>
      <c r="G110" s="162">
        <f>IFERROR((G83/F83)/(1+'Date macro-economice'!G$9)-1,0)</f>
        <v>0.18310210951129524</v>
      </c>
      <c r="H110" s="159"/>
      <c r="I110" s="159"/>
      <c r="J110" s="159"/>
      <c r="K110" s="159"/>
      <c r="L110" s="159"/>
      <c r="M110" s="159"/>
      <c r="N110" s="159"/>
      <c r="O110" s="159"/>
      <c r="Q110" s="35"/>
      <c r="S110" s="238"/>
      <c r="T110" s="238"/>
      <c r="U110" s="238"/>
      <c r="V110" s="238"/>
      <c r="W110" s="238"/>
      <c r="X110" s="238"/>
      <c r="Y110" s="238"/>
      <c r="Z110" s="238"/>
      <c r="AA110" s="238"/>
      <c r="AB110" s="238"/>
    </row>
    <row r="111" spans="2:28" x14ac:dyDescent="0.3">
      <c r="B111" s="35"/>
      <c r="Q111" s="35"/>
      <c r="S111" s="238"/>
      <c r="T111" s="238"/>
      <c r="U111" s="238"/>
      <c r="V111" s="238"/>
      <c r="W111" s="238"/>
      <c r="X111" s="238"/>
      <c r="Y111" s="238"/>
      <c r="Z111" s="238"/>
      <c r="AA111" s="238"/>
      <c r="AB111" s="238"/>
    </row>
    <row r="112" spans="2:28" s="22" customFormat="1" ht="28.8" x14ac:dyDescent="0.3">
      <c r="B112" s="35"/>
      <c r="C112" s="66" t="s">
        <v>182</v>
      </c>
      <c r="D112" s="40"/>
      <c r="E112" s="40"/>
      <c r="F112" s="40"/>
      <c r="G112" s="40"/>
      <c r="H112" s="40"/>
      <c r="I112" s="40"/>
      <c r="J112" s="40"/>
      <c r="K112" s="40"/>
      <c r="L112" s="40"/>
      <c r="M112" s="40"/>
      <c r="N112" s="40"/>
      <c r="O112" s="40"/>
      <c r="Q112" s="35"/>
      <c r="S112" s="238"/>
      <c r="T112" s="238"/>
      <c r="U112" s="238"/>
      <c r="V112" s="238"/>
      <c r="W112" s="238"/>
      <c r="X112" s="238"/>
      <c r="Y112" s="238"/>
      <c r="Z112" s="238"/>
      <c r="AA112" s="238"/>
      <c r="AB112" s="238"/>
    </row>
    <row r="113" spans="2:28" s="22" customFormat="1" x14ac:dyDescent="0.3">
      <c r="B113" s="35"/>
      <c r="C113" s="40" t="s">
        <v>183</v>
      </c>
      <c r="D113" s="43" t="s">
        <v>184</v>
      </c>
      <c r="E113" s="87">
        <v>2</v>
      </c>
      <c r="F113" s="87">
        <v>2</v>
      </c>
      <c r="G113" s="87">
        <v>2</v>
      </c>
      <c r="H113" s="87">
        <v>2</v>
      </c>
      <c r="I113" s="87">
        <v>2</v>
      </c>
      <c r="J113" s="87">
        <v>2</v>
      </c>
      <c r="K113" s="87">
        <v>2</v>
      </c>
      <c r="L113" s="87">
        <v>2</v>
      </c>
      <c r="M113" s="87">
        <v>2</v>
      </c>
      <c r="N113" s="87">
        <v>2</v>
      </c>
      <c r="O113" s="87">
        <v>2</v>
      </c>
      <c r="Q113" s="35"/>
      <c r="S113" s="238"/>
      <c r="T113" s="238"/>
      <c r="U113" s="238"/>
      <c r="V113" s="238"/>
      <c r="W113" s="238"/>
      <c r="X113" s="238"/>
      <c r="Y113" s="238"/>
      <c r="Z113" s="238"/>
      <c r="AA113" s="238"/>
      <c r="AB113" s="238"/>
    </row>
    <row r="114" spans="2:28" s="22" customFormat="1" x14ac:dyDescent="0.3">
      <c r="B114" s="35"/>
      <c r="C114" s="40" t="s">
        <v>185</v>
      </c>
      <c r="D114" s="43" t="s">
        <v>186</v>
      </c>
      <c r="E114" s="168">
        <f>E116/E113</f>
        <v>0</v>
      </c>
      <c r="F114" s="168">
        <f>F116/F113</f>
        <v>0</v>
      </c>
      <c r="G114" s="168">
        <f>IFERROR(G116/G113,0)</f>
        <v>0</v>
      </c>
      <c r="H114" s="168">
        <f>G114*(1+'Date macro-economice'!H$9)*(1+H115)</f>
        <v>0</v>
      </c>
      <c r="I114" s="168">
        <f>H114*(1+'Date macro-economice'!I$9)*(1+I115)</f>
        <v>0</v>
      </c>
      <c r="J114" s="168">
        <f>I114*(1+'Date macro-economice'!J$9)*(1+J115)</f>
        <v>0</v>
      </c>
      <c r="K114" s="168">
        <f>J114*(1+'Date macro-economice'!K$9)*(1+K115)</f>
        <v>0</v>
      </c>
      <c r="L114" s="168">
        <f>K114*(1+'Date macro-economice'!L$9)*(1+L115)</f>
        <v>0</v>
      </c>
      <c r="M114" s="168">
        <f>L114*(1+'Date macro-economice'!M$9)*(1+M115)</f>
        <v>0</v>
      </c>
      <c r="N114" s="168">
        <f>M114*(1+'Date macro-economice'!N$9)*(1+N115)</f>
        <v>0</v>
      </c>
      <c r="O114" s="168">
        <f>N114*(1+'Date macro-economice'!O$9)*(1+O115)</f>
        <v>0</v>
      </c>
      <c r="Q114" s="35"/>
      <c r="S114" s="238"/>
      <c r="T114" s="238"/>
      <c r="U114" s="238"/>
      <c r="V114" s="238"/>
      <c r="W114" s="238"/>
      <c r="X114" s="238"/>
      <c r="Y114" s="238"/>
      <c r="Z114" s="238"/>
      <c r="AA114" s="238"/>
      <c r="AB114" s="238"/>
    </row>
    <row r="115" spans="2:28" s="22" customFormat="1" x14ac:dyDescent="0.3">
      <c r="B115" s="35"/>
      <c r="C115" s="40" t="s">
        <v>148</v>
      </c>
      <c r="D115" s="43" t="s">
        <v>47</v>
      </c>
      <c r="E115" s="158" t="s">
        <v>92</v>
      </c>
      <c r="F115" s="36" t="e">
        <f>(F114/E114)/(1+'Date macro-economice'!F$9)-1</f>
        <v>#DIV/0!</v>
      </c>
      <c r="G115" s="36">
        <f>IFERROR((G114/F114)/(1+'Date macro-economice'!G$9)-1,0)</f>
        <v>0</v>
      </c>
      <c r="H115" s="159">
        <v>0</v>
      </c>
      <c r="I115" s="159">
        <v>0</v>
      </c>
      <c r="J115" s="159">
        <v>0</v>
      </c>
      <c r="K115" s="159">
        <v>0</v>
      </c>
      <c r="L115" s="159">
        <v>0</v>
      </c>
      <c r="M115" s="159">
        <v>0</v>
      </c>
      <c r="N115" s="159">
        <v>0</v>
      </c>
      <c r="O115" s="159">
        <v>0</v>
      </c>
      <c r="Q115" s="35"/>
      <c r="S115" s="238"/>
      <c r="T115" s="238"/>
      <c r="U115" s="238"/>
      <c r="V115" s="238"/>
      <c r="W115" s="238"/>
      <c r="X115" s="238"/>
      <c r="Y115" s="238"/>
      <c r="Z115" s="238"/>
      <c r="AA115" s="238"/>
      <c r="AB115" s="238"/>
    </row>
    <row r="116" spans="2:28" x14ac:dyDescent="0.3">
      <c r="B116" s="35"/>
      <c r="C116" s="81" t="s">
        <v>149</v>
      </c>
      <c r="D116" s="82" t="s">
        <v>141</v>
      </c>
      <c r="E116" s="91">
        <f>E82</f>
        <v>0</v>
      </c>
      <c r="F116" s="91">
        <f>F82</f>
        <v>0</v>
      </c>
      <c r="G116" s="91">
        <f>G82</f>
        <v>0</v>
      </c>
      <c r="H116" s="91">
        <f t="shared" ref="H116:O116" si="27">H113*H114</f>
        <v>0</v>
      </c>
      <c r="I116" s="91">
        <f t="shared" si="27"/>
        <v>0</v>
      </c>
      <c r="J116" s="91">
        <f t="shared" si="27"/>
        <v>0</v>
      </c>
      <c r="K116" s="91">
        <f t="shared" si="27"/>
        <v>0</v>
      </c>
      <c r="L116" s="91">
        <f t="shared" si="27"/>
        <v>0</v>
      </c>
      <c r="M116" s="91">
        <f t="shared" si="27"/>
        <v>0</v>
      </c>
      <c r="N116" s="91">
        <f t="shared" si="27"/>
        <v>0</v>
      </c>
      <c r="O116" s="91">
        <f t="shared" si="27"/>
        <v>0</v>
      </c>
      <c r="Q116" s="35"/>
      <c r="S116" s="238"/>
      <c r="T116" s="238"/>
      <c r="U116" s="238"/>
      <c r="V116" s="238"/>
      <c r="W116" s="238"/>
      <c r="X116" s="238"/>
      <c r="Y116" s="238"/>
      <c r="Z116" s="238"/>
      <c r="AA116" s="238"/>
      <c r="AB116" s="238"/>
    </row>
    <row r="117" spans="2:28" x14ac:dyDescent="0.3">
      <c r="B117" s="35"/>
      <c r="Q117" s="35"/>
      <c r="S117" s="238"/>
      <c r="T117" s="238"/>
      <c r="U117" s="238"/>
      <c r="V117" s="238"/>
      <c r="W117" s="238"/>
      <c r="X117" s="238"/>
      <c r="Y117" s="238"/>
      <c r="Z117" s="238"/>
      <c r="AA117" s="238"/>
      <c r="AB117" s="238"/>
    </row>
    <row r="118" spans="2:28" ht="28.8" x14ac:dyDescent="0.3">
      <c r="B118" s="35"/>
      <c r="C118" s="40" t="s">
        <v>175</v>
      </c>
      <c r="D118" s="43" t="s">
        <v>47</v>
      </c>
      <c r="E118" s="92" t="s">
        <v>92</v>
      </c>
      <c r="F118" s="162">
        <f>F79/E79-1</f>
        <v>0.12445464982778409</v>
      </c>
      <c r="G118" s="162">
        <f>IFERROR(G79/F79-1,0)</f>
        <v>0.29630385950581983</v>
      </c>
      <c r="H118" s="166">
        <f>IFERROR('Amortizare si redeventa'!H57,0)</f>
        <v>0</v>
      </c>
      <c r="I118" s="166">
        <f>IFERROR('Amortizare si redeventa'!I57,0)</f>
        <v>0</v>
      </c>
      <c r="J118" s="166">
        <f>IFERROR('Amortizare si redeventa'!J57,0)</f>
        <v>0</v>
      </c>
      <c r="K118" s="166">
        <f>IFERROR('Amortizare si redeventa'!K57,0)</f>
        <v>0</v>
      </c>
      <c r="L118" s="166">
        <f>IFERROR('Amortizare si redeventa'!L57,0)</f>
        <v>0</v>
      </c>
      <c r="M118" s="166">
        <f>IFERROR('Amortizare si redeventa'!M57,0)</f>
        <v>0</v>
      </c>
      <c r="N118" s="166">
        <f>IFERROR('Amortizare si redeventa'!N57,0)</f>
        <v>0</v>
      </c>
      <c r="O118" s="166">
        <f>IFERROR('Amortizare si redeventa'!O57,0)</f>
        <v>0</v>
      </c>
      <c r="Q118" s="35"/>
      <c r="S118" s="238"/>
      <c r="T118" s="238"/>
      <c r="U118" s="238"/>
      <c r="V118" s="238"/>
      <c r="W118" s="238"/>
      <c r="X118" s="238"/>
      <c r="Y118" s="238"/>
      <c r="Z118" s="238"/>
      <c r="AA118" s="238"/>
      <c r="AB118" s="238"/>
    </row>
    <row r="119" spans="2:28" ht="28.8" x14ac:dyDescent="0.3">
      <c r="B119" s="35"/>
      <c r="C119" s="40" t="s">
        <v>176</v>
      </c>
      <c r="D119" s="43" t="s">
        <v>47</v>
      </c>
      <c r="E119" s="92" t="s">
        <v>92</v>
      </c>
      <c r="F119" s="162" t="e">
        <f>F80/E80-1</f>
        <v>#DIV/0!</v>
      </c>
      <c r="G119" s="162">
        <f>IFERROR(G80/F80-1,0)</f>
        <v>0</v>
      </c>
      <c r="H119" s="166">
        <f>IFERROR('Amortizare si redeventa'!H63,0)</f>
        <v>220893.57500000001</v>
      </c>
      <c r="I119" s="166">
        <f>IFERROR('Amortizare si redeventa'!I63,0)</f>
        <v>0.19202234413709185</v>
      </c>
      <c r="J119" s="166">
        <f>IFERROR('Amortizare si redeventa'!J63,0)</f>
        <v>0.25632830263245809</v>
      </c>
      <c r="K119" s="166">
        <f>IFERROR('Amortizare si redeventa'!K63,0)</f>
        <v>3.3429642624942524E-3</v>
      </c>
      <c r="L119" s="166">
        <f>IFERROR('Amortizare si redeventa'!L63,0)</f>
        <v>7.246376811594013E-3</v>
      </c>
      <c r="M119" s="166">
        <f>IFERROR('Amortizare si redeventa'!M63,0)</f>
        <v>4.6525016293705868E-2</v>
      </c>
      <c r="N119" s="166">
        <f>IFERROR('Amortizare si redeventa'!N63,0)</f>
        <v>0.48485739488385748</v>
      </c>
      <c r="O119" s="166">
        <f>IFERROR('Amortizare si redeventa'!O63,0)</f>
        <v>-0.18199977230139841</v>
      </c>
      <c r="Q119" s="35"/>
      <c r="S119" s="238"/>
      <c r="T119" s="238"/>
      <c r="U119" s="238"/>
      <c r="V119" s="238"/>
      <c r="W119" s="238"/>
      <c r="X119" s="238"/>
      <c r="Y119" s="238"/>
      <c r="Z119" s="238"/>
      <c r="AA119" s="238"/>
      <c r="AB119" s="238"/>
    </row>
    <row r="120" spans="2:28" x14ac:dyDescent="0.3">
      <c r="B120" s="35"/>
      <c r="Q120" s="35"/>
      <c r="S120" s="238"/>
      <c r="T120" s="238"/>
      <c r="U120" s="238"/>
      <c r="V120" s="238"/>
      <c r="W120" s="238"/>
      <c r="X120" s="238"/>
      <c r="Y120" s="238"/>
      <c r="Z120" s="238"/>
      <c r="AA120" s="238"/>
      <c r="AB120" s="238"/>
    </row>
    <row r="121" spans="2:28" ht="6.6" customHeight="1" x14ac:dyDescent="0.3">
      <c r="B121" s="35"/>
      <c r="C121" s="35"/>
      <c r="D121" s="35"/>
      <c r="E121" s="35"/>
      <c r="F121" s="35"/>
      <c r="G121" s="35"/>
      <c r="H121" s="35"/>
      <c r="I121" s="35"/>
      <c r="J121" s="35"/>
      <c r="K121" s="35"/>
      <c r="L121" s="35"/>
      <c r="M121" s="35"/>
      <c r="N121" s="35"/>
      <c r="O121" s="35"/>
      <c r="P121" s="35"/>
      <c r="Q121" s="35"/>
    </row>
    <row r="123" spans="2:28" ht="8.1" customHeight="1" x14ac:dyDescent="0.3">
      <c r="B123" s="23"/>
      <c r="C123" s="23"/>
      <c r="D123" s="23"/>
      <c r="E123" s="23"/>
      <c r="F123" s="23"/>
      <c r="G123" s="23"/>
      <c r="H123" s="23"/>
      <c r="I123" s="23"/>
      <c r="J123" s="23"/>
      <c r="K123" s="23"/>
      <c r="L123" s="23"/>
      <c r="M123" s="23"/>
      <c r="N123" s="23"/>
      <c r="O123" s="23"/>
      <c r="P123" s="23"/>
      <c r="Q123" s="23"/>
    </row>
    <row r="124" spans="2:28" x14ac:dyDescent="0.3">
      <c r="B124" s="23"/>
      <c r="Q124" s="23"/>
    </row>
    <row r="125" spans="2:28" s="22" customFormat="1" ht="90" customHeight="1" x14ac:dyDescent="0.3">
      <c r="B125" s="35"/>
      <c r="C125" s="86" t="s">
        <v>187</v>
      </c>
      <c r="D125" s="86"/>
      <c r="E125" s="94">
        <f>F125-1</f>
        <v>2022</v>
      </c>
      <c r="F125" s="94">
        <f>G125-1</f>
        <v>2023</v>
      </c>
      <c r="G125" s="95">
        <f>'Date generale'!$D$8</f>
        <v>2024</v>
      </c>
      <c r="H125" s="96">
        <f t="shared" ref="H125:O125" si="28">G125+1</f>
        <v>2025</v>
      </c>
      <c r="I125" s="96">
        <f t="shared" si="28"/>
        <v>2026</v>
      </c>
      <c r="J125" s="96">
        <f t="shared" si="28"/>
        <v>2027</v>
      </c>
      <c r="K125" s="96">
        <f t="shared" si="28"/>
        <v>2028</v>
      </c>
      <c r="L125" s="96">
        <f t="shared" si="28"/>
        <v>2029</v>
      </c>
      <c r="M125" s="96">
        <f t="shared" si="28"/>
        <v>2030</v>
      </c>
      <c r="N125" s="96">
        <f t="shared" si="28"/>
        <v>2031</v>
      </c>
      <c r="O125" s="96">
        <f t="shared" si="28"/>
        <v>2032</v>
      </c>
      <c r="Q125" s="35"/>
      <c r="S125" s="236" t="s">
        <v>188</v>
      </c>
      <c r="T125" s="236"/>
      <c r="U125" s="236"/>
      <c r="V125" s="236"/>
      <c r="W125" s="236"/>
      <c r="X125" s="236"/>
      <c r="Y125" s="236"/>
      <c r="Z125" s="236"/>
      <c r="AA125" s="236"/>
      <c r="AB125" s="236"/>
    </row>
    <row r="126" spans="2:28" x14ac:dyDescent="0.3">
      <c r="B126" s="23"/>
      <c r="C126" s="97"/>
      <c r="D126" s="97"/>
      <c r="E126" s="98">
        <f>F126-1</f>
        <v>-3</v>
      </c>
      <c r="F126" s="98">
        <f>G126-1</f>
        <v>-2</v>
      </c>
      <c r="G126" s="99">
        <v>-1</v>
      </c>
      <c r="H126" s="99">
        <v>0</v>
      </c>
      <c r="I126" s="99">
        <f t="shared" ref="I126:O126" si="29">H126+1</f>
        <v>1</v>
      </c>
      <c r="J126" s="99">
        <f t="shared" si="29"/>
        <v>2</v>
      </c>
      <c r="K126" s="99">
        <f t="shared" si="29"/>
        <v>3</v>
      </c>
      <c r="L126" s="99">
        <f t="shared" si="29"/>
        <v>4</v>
      </c>
      <c r="M126" s="99">
        <f t="shared" si="29"/>
        <v>5</v>
      </c>
      <c r="N126" s="99">
        <f t="shared" si="29"/>
        <v>6</v>
      </c>
      <c r="O126" s="99">
        <f t="shared" si="29"/>
        <v>7</v>
      </c>
      <c r="Q126" s="35"/>
      <c r="S126" s="167" t="s">
        <v>130</v>
      </c>
      <c r="T126" s="167" t="s">
        <v>131</v>
      </c>
      <c r="U126" s="167" t="s">
        <v>132</v>
      </c>
      <c r="V126" s="167" t="s">
        <v>133</v>
      </c>
      <c r="W126" s="167" t="s">
        <v>134</v>
      </c>
      <c r="X126" s="167" t="s">
        <v>135</v>
      </c>
      <c r="Y126" s="167" t="s">
        <v>136</v>
      </c>
      <c r="Z126" s="167" t="s">
        <v>137</v>
      </c>
      <c r="AA126" s="167" t="s">
        <v>138</v>
      </c>
      <c r="AB126" s="167" t="s">
        <v>139</v>
      </c>
    </row>
    <row r="127" spans="2:28" s="24" customFormat="1" x14ac:dyDescent="0.3">
      <c r="B127" s="61"/>
      <c r="C127" s="42"/>
      <c r="D127" s="51"/>
      <c r="E127" s="62"/>
      <c r="F127" s="62"/>
      <c r="G127" s="62"/>
      <c r="H127" s="62"/>
      <c r="I127" s="62"/>
      <c r="J127" s="62"/>
      <c r="K127" s="62"/>
      <c r="L127" s="62"/>
      <c r="M127" s="62"/>
      <c r="N127" s="62"/>
      <c r="O127" s="62"/>
      <c r="Q127" s="35"/>
      <c r="S127" s="238"/>
      <c r="T127" s="238"/>
      <c r="U127" s="238"/>
      <c r="V127" s="238"/>
      <c r="W127" s="238"/>
      <c r="X127" s="238"/>
      <c r="Y127" s="238"/>
      <c r="Z127" s="238"/>
      <c r="AA127" s="238"/>
      <c r="AB127" s="238"/>
    </row>
    <row r="128" spans="2:28" x14ac:dyDescent="0.3">
      <c r="B128" s="23"/>
      <c r="C128" s="50" t="s">
        <v>130</v>
      </c>
      <c r="D128" s="43" t="s">
        <v>141</v>
      </c>
      <c r="E128" s="87">
        <v>0</v>
      </c>
      <c r="F128" s="87">
        <v>0</v>
      </c>
      <c r="G128" s="87">
        <v>0</v>
      </c>
      <c r="H128" s="88">
        <f>H152</f>
        <v>0</v>
      </c>
      <c r="I128" s="88">
        <f t="shared" ref="I128:O128" si="30">I152</f>
        <v>0</v>
      </c>
      <c r="J128" s="88">
        <f t="shared" si="30"/>
        <v>0</v>
      </c>
      <c r="K128" s="88">
        <f t="shared" si="30"/>
        <v>0</v>
      </c>
      <c r="L128" s="88">
        <f t="shared" si="30"/>
        <v>0</v>
      </c>
      <c r="M128" s="88">
        <f t="shared" si="30"/>
        <v>0</v>
      </c>
      <c r="N128" s="88">
        <f t="shared" si="30"/>
        <v>0</v>
      </c>
      <c r="O128" s="88">
        <f t="shared" si="30"/>
        <v>0</v>
      </c>
      <c r="Q128" s="35"/>
      <c r="S128" s="238"/>
      <c r="T128" s="238"/>
      <c r="U128" s="238"/>
      <c r="V128" s="238"/>
      <c r="W128" s="238"/>
      <c r="X128" s="238"/>
      <c r="Y128" s="238"/>
      <c r="Z128" s="238"/>
      <c r="AA128" s="238"/>
      <c r="AB128" s="238"/>
    </row>
    <row r="129" spans="2:28" s="22" customFormat="1" x14ac:dyDescent="0.3">
      <c r="B129" s="35"/>
      <c r="C129" s="50" t="s">
        <v>131</v>
      </c>
      <c r="D129" s="43" t="s">
        <v>141</v>
      </c>
      <c r="E129" s="87">
        <v>0</v>
      </c>
      <c r="F129" s="87">
        <v>0</v>
      </c>
      <c r="G129" s="87">
        <v>0</v>
      </c>
      <c r="H129" s="88">
        <f>H146</f>
        <v>0</v>
      </c>
      <c r="I129" s="88">
        <f t="shared" ref="I129:O129" si="31">I146</f>
        <v>0</v>
      </c>
      <c r="J129" s="88">
        <f t="shared" si="31"/>
        <v>0</v>
      </c>
      <c r="K129" s="88">
        <f t="shared" si="31"/>
        <v>0</v>
      </c>
      <c r="L129" s="88">
        <f t="shared" si="31"/>
        <v>0</v>
      </c>
      <c r="M129" s="88">
        <f t="shared" si="31"/>
        <v>0</v>
      </c>
      <c r="N129" s="88">
        <f t="shared" si="31"/>
        <v>0</v>
      </c>
      <c r="O129" s="88">
        <f t="shared" si="31"/>
        <v>0</v>
      </c>
      <c r="Q129" s="35"/>
      <c r="S129" s="238"/>
      <c r="T129" s="238"/>
      <c r="U129" s="238"/>
      <c r="V129" s="238"/>
      <c r="W129" s="238"/>
      <c r="X129" s="238"/>
      <c r="Y129" s="238"/>
      <c r="Z129" s="238"/>
      <c r="AA129" s="238"/>
      <c r="AB129" s="238"/>
    </row>
    <row r="130" spans="2:28" s="53" customFormat="1" x14ac:dyDescent="0.3">
      <c r="B130" s="63"/>
      <c r="C130" s="40" t="s">
        <v>132</v>
      </c>
      <c r="D130" s="43" t="s">
        <v>141</v>
      </c>
      <c r="E130" s="87">
        <v>0</v>
      </c>
      <c r="F130" s="87">
        <v>0</v>
      </c>
      <c r="G130" s="87">
        <v>0</v>
      </c>
      <c r="H130" s="88">
        <f>G130*(1+'Date macro-economice'!H$9)*(1+'Costuri operare'!H154)</f>
        <v>0</v>
      </c>
      <c r="I130" s="88">
        <f>H130*(1+'Date macro-economice'!I$9)*(1+'Costuri operare'!I154)</f>
        <v>0</v>
      </c>
      <c r="J130" s="88">
        <f>I130*(1+'Date macro-economice'!J$9)*(1+'Costuri operare'!J154)</f>
        <v>0</v>
      </c>
      <c r="K130" s="88">
        <f>J130*(1+'Date macro-economice'!K$9)*(1+'Costuri operare'!K154)</f>
        <v>0</v>
      </c>
      <c r="L130" s="88">
        <f>K130*(1+'Date macro-economice'!L$9)*(1+'Costuri operare'!L154)</f>
        <v>0</v>
      </c>
      <c r="M130" s="88">
        <f>L130*(1+'Date macro-economice'!M$9)*(1+'Costuri operare'!M154)</f>
        <v>0</v>
      </c>
      <c r="N130" s="88">
        <f>M130*(1+'Date macro-economice'!N$9)*(1+'Costuri operare'!N154)</f>
        <v>0</v>
      </c>
      <c r="O130" s="88">
        <f>N130*(1+'Date macro-economice'!O$9)*(1+'Costuri operare'!O154)</f>
        <v>0</v>
      </c>
      <c r="Q130" s="35"/>
      <c r="S130" s="238"/>
      <c r="T130" s="238"/>
      <c r="U130" s="238"/>
      <c r="V130" s="238"/>
      <c r="W130" s="238"/>
      <c r="X130" s="238"/>
      <c r="Y130" s="238"/>
      <c r="Z130" s="238"/>
      <c r="AA130" s="238"/>
      <c r="AB130" s="238"/>
    </row>
    <row r="131" spans="2:28" s="22" customFormat="1" x14ac:dyDescent="0.3">
      <c r="B131" s="35"/>
      <c r="C131" s="40" t="s">
        <v>133</v>
      </c>
      <c r="D131" s="43" t="s">
        <v>141</v>
      </c>
      <c r="E131" s="87">
        <v>0</v>
      </c>
      <c r="F131" s="87">
        <v>0</v>
      </c>
      <c r="G131" s="87">
        <v>0</v>
      </c>
      <c r="H131" s="88">
        <f t="shared" ref="H131:O131" si="32">H161</f>
        <v>0</v>
      </c>
      <c r="I131" s="88">
        <f t="shared" si="32"/>
        <v>0</v>
      </c>
      <c r="J131" s="88">
        <f t="shared" si="32"/>
        <v>0</v>
      </c>
      <c r="K131" s="88">
        <f t="shared" si="32"/>
        <v>0</v>
      </c>
      <c r="L131" s="88">
        <f t="shared" si="32"/>
        <v>0</v>
      </c>
      <c r="M131" s="88">
        <f t="shared" si="32"/>
        <v>0</v>
      </c>
      <c r="N131" s="88">
        <f t="shared" si="32"/>
        <v>0</v>
      </c>
      <c r="O131" s="88">
        <f t="shared" si="32"/>
        <v>0</v>
      </c>
      <c r="Q131" s="35"/>
      <c r="S131" s="238"/>
      <c r="T131" s="238"/>
      <c r="U131" s="238"/>
      <c r="V131" s="238"/>
      <c r="W131" s="238"/>
      <c r="X131" s="238"/>
      <c r="Y131" s="238"/>
      <c r="Z131" s="238"/>
      <c r="AA131" s="238"/>
      <c r="AB131" s="238"/>
    </row>
    <row r="132" spans="2:28" s="22" customFormat="1" x14ac:dyDescent="0.3">
      <c r="B132" s="35"/>
      <c r="C132" s="40" t="s">
        <v>134</v>
      </c>
      <c r="D132" s="43" t="s">
        <v>141</v>
      </c>
      <c r="E132" s="87">
        <v>0</v>
      </c>
      <c r="F132" s="87">
        <v>0</v>
      </c>
      <c r="G132" s="87">
        <v>0</v>
      </c>
      <c r="H132" s="88">
        <f t="shared" ref="H132:O132" si="33">H164+H165+H166</f>
        <v>0</v>
      </c>
      <c r="I132" s="88">
        <f t="shared" si="33"/>
        <v>0</v>
      </c>
      <c r="J132" s="88">
        <f t="shared" si="33"/>
        <v>0</v>
      </c>
      <c r="K132" s="88">
        <f t="shared" si="33"/>
        <v>0</v>
      </c>
      <c r="L132" s="88">
        <f t="shared" si="33"/>
        <v>0</v>
      </c>
      <c r="M132" s="88">
        <f t="shared" si="33"/>
        <v>0</v>
      </c>
      <c r="N132" s="88">
        <f t="shared" si="33"/>
        <v>0</v>
      </c>
      <c r="O132" s="88">
        <f t="shared" si="33"/>
        <v>0</v>
      </c>
      <c r="Q132" s="35"/>
      <c r="S132" s="238"/>
      <c r="T132" s="238"/>
      <c r="U132" s="238"/>
      <c r="V132" s="238"/>
      <c r="W132" s="238"/>
      <c r="X132" s="238"/>
      <c r="Y132" s="238"/>
      <c r="Z132" s="238"/>
      <c r="AA132" s="238"/>
      <c r="AB132" s="238"/>
    </row>
    <row r="133" spans="2:28" s="22" customFormat="1" x14ac:dyDescent="0.3">
      <c r="B133" s="35"/>
      <c r="C133" s="40" t="s">
        <v>135</v>
      </c>
      <c r="D133" s="43" t="s">
        <v>141</v>
      </c>
      <c r="E133" s="87">
        <v>0</v>
      </c>
      <c r="F133" s="87">
        <v>0</v>
      </c>
      <c r="G133" s="87">
        <v>0</v>
      </c>
      <c r="H133" s="88">
        <f>G133*(1+H176)*(1+'Date macro-economice'!H$9)</f>
        <v>0</v>
      </c>
      <c r="I133" s="88">
        <f>H133*(1+I176)*(1+'Date macro-economice'!I$9)</f>
        <v>0</v>
      </c>
      <c r="J133" s="88">
        <f>I133*(1+J176)*(1+'Date macro-economice'!J$9)</f>
        <v>0</v>
      </c>
      <c r="K133" s="88">
        <f>J133*(1+K176)*(1+'Date macro-economice'!K$9)</f>
        <v>0</v>
      </c>
      <c r="L133" s="88">
        <f>K133*(1+L176)*(1+'Date macro-economice'!L$9)</f>
        <v>0</v>
      </c>
      <c r="M133" s="88">
        <f>L133*(1+M176)*(1+'Date macro-economice'!M$9)</f>
        <v>0</v>
      </c>
      <c r="N133" s="88">
        <f>M133*(1+N176)*(1+'Date macro-economice'!N$9)</f>
        <v>0</v>
      </c>
      <c r="O133" s="88">
        <f>N133*(1+O176)*(1+'Date macro-economice'!O$9)</f>
        <v>0</v>
      </c>
      <c r="Q133" s="35"/>
      <c r="S133" s="238"/>
      <c r="T133" s="238"/>
      <c r="U133" s="238"/>
      <c r="V133" s="238"/>
      <c r="W133" s="238"/>
      <c r="X133" s="238"/>
      <c r="Y133" s="238"/>
      <c r="Z133" s="238"/>
      <c r="AA133" s="238"/>
      <c r="AB133" s="238"/>
    </row>
    <row r="134" spans="2:28" s="22" customFormat="1" x14ac:dyDescent="0.3">
      <c r="B134" s="35"/>
      <c r="C134" s="40" t="s">
        <v>136</v>
      </c>
      <c r="D134" s="43" t="s">
        <v>141</v>
      </c>
      <c r="E134" s="87">
        <v>0</v>
      </c>
      <c r="F134" s="87">
        <v>0</v>
      </c>
      <c r="G134" s="87">
        <v>0</v>
      </c>
      <c r="H134" s="88">
        <f>G134*(1+H177)*(1+'Date macro-economice'!H$9)</f>
        <v>0</v>
      </c>
      <c r="I134" s="88">
        <f>H134*(1+I177)*(1+'Date macro-economice'!I$9)</f>
        <v>0</v>
      </c>
      <c r="J134" s="88">
        <f>I134*(1+J177)*(1+'Date macro-economice'!J$9)</f>
        <v>0</v>
      </c>
      <c r="K134" s="88">
        <f>J134*(1+K177)*(1+'Date macro-economice'!K$9)</f>
        <v>0</v>
      </c>
      <c r="L134" s="88">
        <f>K134*(1+L177)*(1+'Date macro-economice'!L$9)</f>
        <v>0</v>
      </c>
      <c r="M134" s="88">
        <f>L134*(1+M177)*(1+'Date macro-economice'!M$9)</f>
        <v>0</v>
      </c>
      <c r="N134" s="88">
        <f>M134*(1+N177)*(1+'Date macro-economice'!N$9)</f>
        <v>0</v>
      </c>
      <c r="O134" s="88">
        <f>N134*(1+O177)*(1+'Date macro-economice'!O$9)</f>
        <v>0</v>
      </c>
      <c r="Q134" s="35"/>
      <c r="S134" s="238"/>
      <c r="T134" s="238"/>
      <c r="U134" s="238"/>
      <c r="V134" s="238"/>
      <c r="W134" s="238"/>
      <c r="X134" s="238"/>
      <c r="Y134" s="238"/>
      <c r="Z134" s="238"/>
      <c r="AA134" s="238"/>
      <c r="AB134" s="238"/>
    </row>
    <row r="135" spans="2:28" s="22" customFormat="1" x14ac:dyDescent="0.3">
      <c r="B135" s="35"/>
      <c r="C135" s="40" t="s">
        <v>137</v>
      </c>
      <c r="D135" s="43" t="s">
        <v>141</v>
      </c>
      <c r="E135" s="87">
        <v>0</v>
      </c>
      <c r="F135" s="87">
        <v>0</v>
      </c>
      <c r="G135" s="87">
        <v>0</v>
      </c>
      <c r="H135" s="88">
        <f t="shared" ref="H135:O136" si="34">G135*(1+H180)</f>
        <v>0</v>
      </c>
      <c r="I135" s="88">
        <f t="shared" si="34"/>
        <v>0</v>
      </c>
      <c r="J135" s="88">
        <f t="shared" si="34"/>
        <v>0</v>
      </c>
      <c r="K135" s="88">
        <f t="shared" si="34"/>
        <v>0</v>
      </c>
      <c r="L135" s="88">
        <f t="shared" si="34"/>
        <v>0</v>
      </c>
      <c r="M135" s="88">
        <f t="shared" si="34"/>
        <v>0</v>
      </c>
      <c r="N135" s="88">
        <f t="shared" si="34"/>
        <v>0</v>
      </c>
      <c r="O135" s="88">
        <f t="shared" si="34"/>
        <v>0</v>
      </c>
      <c r="Q135" s="35"/>
      <c r="S135" s="238"/>
      <c r="T135" s="238"/>
      <c r="U135" s="238"/>
      <c r="V135" s="238"/>
      <c r="W135" s="238"/>
      <c r="X135" s="238"/>
      <c r="Y135" s="238"/>
      <c r="Z135" s="238"/>
      <c r="AA135" s="238"/>
      <c r="AB135" s="238"/>
    </row>
    <row r="136" spans="2:28" s="22" customFormat="1" x14ac:dyDescent="0.3">
      <c r="B136" s="35"/>
      <c r="C136" s="40" t="s">
        <v>138</v>
      </c>
      <c r="D136" s="43" t="s">
        <v>141</v>
      </c>
      <c r="E136" s="87">
        <v>0</v>
      </c>
      <c r="F136" s="87">
        <v>0</v>
      </c>
      <c r="G136" s="87">
        <v>0</v>
      </c>
      <c r="H136" s="88">
        <f t="shared" si="34"/>
        <v>0</v>
      </c>
      <c r="I136" s="88">
        <f t="shared" si="34"/>
        <v>0</v>
      </c>
      <c r="J136" s="88">
        <f t="shared" si="34"/>
        <v>0</v>
      </c>
      <c r="K136" s="88">
        <f t="shared" si="34"/>
        <v>0</v>
      </c>
      <c r="L136" s="88">
        <f t="shared" si="34"/>
        <v>0</v>
      </c>
      <c r="M136" s="88">
        <f t="shared" si="34"/>
        <v>0</v>
      </c>
      <c r="N136" s="88">
        <f t="shared" si="34"/>
        <v>0</v>
      </c>
      <c r="O136" s="88">
        <f t="shared" si="34"/>
        <v>0</v>
      </c>
      <c r="Q136" s="35"/>
      <c r="S136" s="238"/>
      <c r="T136" s="238"/>
      <c r="U136" s="238"/>
      <c r="V136" s="238"/>
      <c r="W136" s="238"/>
      <c r="X136" s="238"/>
      <c r="Y136" s="238"/>
      <c r="Z136" s="238"/>
      <c r="AA136" s="238"/>
      <c r="AB136" s="238"/>
    </row>
    <row r="137" spans="2:28" s="22" customFormat="1" ht="28.8" x14ac:dyDescent="0.3">
      <c r="B137" s="35"/>
      <c r="C137" s="40" t="s">
        <v>142</v>
      </c>
      <c r="D137" s="43" t="s">
        <v>141</v>
      </c>
      <c r="E137" s="87">
        <v>0</v>
      </c>
      <c r="F137" s="87">
        <v>0</v>
      </c>
      <c r="G137" s="87">
        <v>0</v>
      </c>
      <c r="H137" s="87">
        <v>0</v>
      </c>
      <c r="I137" s="87">
        <v>0</v>
      </c>
      <c r="J137" s="87">
        <v>0</v>
      </c>
      <c r="K137" s="87">
        <v>0</v>
      </c>
      <c r="L137" s="87">
        <v>0</v>
      </c>
      <c r="M137" s="87">
        <v>0</v>
      </c>
      <c r="N137" s="87">
        <v>0</v>
      </c>
      <c r="O137" s="87">
        <v>0</v>
      </c>
      <c r="Q137" s="35"/>
      <c r="S137" s="238"/>
      <c r="T137" s="238"/>
      <c r="U137" s="238"/>
      <c r="V137" s="238"/>
      <c r="W137" s="238"/>
      <c r="X137" s="238"/>
      <c r="Y137" s="238"/>
      <c r="Z137" s="238"/>
      <c r="AA137" s="238"/>
      <c r="AB137" s="238"/>
    </row>
    <row r="138" spans="2:28" s="22" customFormat="1" x14ac:dyDescent="0.3">
      <c r="B138" s="35"/>
      <c r="C138" s="155" t="s">
        <v>143</v>
      </c>
      <c r="D138" s="129" t="s">
        <v>141</v>
      </c>
      <c r="E138" s="87">
        <v>0</v>
      </c>
      <c r="F138" s="87">
        <v>0</v>
      </c>
      <c r="G138" s="87">
        <v>0</v>
      </c>
      <c r="H138" s="88">
        <f>G138*(1+H178)*(1+'Date macro-economice'!H$9)</f>
        <v>0</v>
      </c>
      <c r="I138" s="88">
        <f>H138*(1+I178)*(1+'Date macro-economice'!I$9)</f>
        <v>0</v>
      </c>
      <c r="J138" s="88">
        <f>I138*(1+J178)*(1+'Date macro-economice'!J$9)</f>
        <v>0</v>
      </c>
      <c r="K138" s="88">
        <f>J138*(1+K178)*(1+'Date macro-economice'!K$9)</f>
        <v>0</v>
      </c>
      <c r="L138" s="88">
        <f>K138*(1+L178)*(1+'Date macro-economice'!L$9)</f>
        <v>0</v>
      </c>
      <c r="M138" s="88">
        <f>L138*(1+M178)*(1+'Date macro-economice'!M$9)</f>
        <v>0</v>
      </c>
      <c r="N138" s="88">
        <f>M138*(1+N178)*(1+'Date macro-economice'!N$9)</f>
        <v>0</v>
      </c>
      <c r="O138" s="88">
        <f>N138*(1+O178)*(1+'Date macro-economice'!O$9)</f>
        <v>0</v>
      </c>
      <c r="Q138" s="35"/>
      <c r="S138" s="238"/>
      <c r="T138" s="238"/>
      <c r="U138" s="238"/>
      <c r="V138" s="238"/>
      <c r="W138" s="238"/>
      <c r="X138" s="238"/>
      <c r="Y138" s="238"/>
      <c r="Z138" s="238"/>
      <c r="AA138" s="238"/>
      <c r="AB138" s="238"/>
    </row>
    <row r="139" spans="2:28" s="22" customFormat="1" x14ac:dyDescent="0.3">
      <c r="B139" s="35"/>
      <c r="C139" s="42" t="s">
        <v>144</v>
      </c>
      <c r="D139" s="51" t="s">
        <v>141</v>
      </c>
      <c r="E139" s="62">
        <f t="shared" ref="E139:O139" si="35">SUM(E128:E138)</f>
        <v>0</v>
      </c>
      <c r="F139" s="62">
        <f t="shared" si="35"/>
        <v>0</v>
      </c>
      <c r="G139" s="62">
        <f t="shared" si="35"/>
        <v>0</v>
      </c>
      <c r="H139" s="62">
        <f t="shared" si="35"/>
        <v>0</v>
      </c>
      <c r="I139" s="62">
        <f t="shared" si="35"/>
        <v>0</v>
      </c>
      <c r="J139" s="62">
        <f t="shared" si="35"/>
        <v>0</v>
      </c>
      <c r="K139" s="62">
        <f t="shared" si="35"/>
        <v>0</v>
      </c>
      <c r="L139" s="62">
        <f t="shared" si="35"/>
        <v>0</v>
      </c>
      <c r="M139" s="62">
        <f t="shared" si="35"/>
        <v>0</v>
      </c>
      <c r="N139" s="62">
        <f t="shared" si="35"/>
        <v>0</v>
      </c>
      <c r="O139" s="62">
        <f t="shared" si="35"/>
        <v>0</v>
      </c>
      <c r="Q139" s="35"/>
      <c r="S139" s="238"/>
      <c r="T139" s="238"/>
      <c r="U139" s="238"/>
      <c r="V139" s="238"/>
      <c r="W139" s="238"/>
      <c r="X139" s="238"/>
      <c r="Y139" s="238"/>
      <c r="Z139" s="238"/>
      <c r="AA139" s="238"/>
      <c r="AB139" s="238"/>
    </row>
    <row r="140" spans="2:28" s="22" customFormat="1" x14ac:dyDescent="0.3">
      <c r="B140" s="35"/>
      <c r="M140" s="171"/>
      <c r="N140" s="171"/>
      <c r="O140" s="171"/>
      <c r="Q140" s="35"/>
      <c r="S140" s="238"/>
      <c r="T140" s="238"/>
      <c r="U140" s="238"/>
      <c r="V140" s="238"/>
      <c r="W140" s="238"/>
      <c r="X140" s="238"/>
      <c r="Y140" s="238"/>
      <c r="Z140" s="238"/>
      <c r="AA140" s="238"/>
      <c r="AB140" s="238"/>
    </row>
    <row r="141" spans="2:28" s="22" customFormat="1" x14ac:dyDescent="0.3">
      <c r="B141" s="35"/>
      <c r="Q141" s="35"/>
      <c r="S141" s="238"/>
      <c r="T141" s="238"/>
      <c r="U141" s="238"/>
      <c r="V141" s="238"/>
      <c r="W141" s="238"/>
      <c r="X141" s="238"/>
      <c r="Y141" s="238"/>
      <c r="Z141" s="238"/>
      <c r="AA141" s="238"/>
      <c r="AB141" s="238"/>
    </row>
    <row r="142" spans="2:28" s="22" customFormat="1" x14ac:dyDescent="0.3">
      <c r="B142" s="35"/>
      <c r="C142" s="66" t="s">
        <v>145</v>
      </c>
      <c r="D142" s="40"/>
      <c r="E142" s="40"/>
      <c r="F142" s="40"/>
      <c r="G142" s="40"/>
      <c r="H142" s="40"/>
      <c r="I142" s="40"/>
      <c r="J142" s="40"/>
      <c r="K142" s="40"/>
      <c r="L142" s="40"/>
      <c r="M142" s="40"/>
      <c r="N142" s="40"/>
      <c r="O142" s="40"/>
      <c r="Q142" s="35"/>
      <c r="S142" s="238"/>
      <c r="T142" s="238"/>
      <c r="U142" s="238"/>
      <c r="V142" s="238"/>
      <c r="W142" s="238"/>
      <c r="X142" s="238"/>
      <c r="Y142" s="238"/>
      <c r="Z142" s="238"/>
      <c r="AA142" s="238"/>
      <c r="AB142" s="238"/>
    </row>
    <row r="143" spans="2:28" s="22" customFormat="1" x14ac:dyDescent="0.3">
      <c r="B143" s="35"/>
      <c r="C143" s="40" t="s">
        <v>189</v>
      </c>
      <c r="D143" s="43" t="s">
        <v>83</v>
      </c>
      <c r="E143" s="87">
        <v>0</v>
      </c>
      <c r="F143" s="87">
        <v>0</v>
      </c>
      <c r="G143" s="87">
        <v>0</v>
      </c>
      <c r="H143" s="87">
        <v>0</v>
      </c>
      <c r="I143" s="87">
        <v>0</v>
      </c>
      <c r="J143" s="87">
        <v>0</v>
      </c>
      <c r="K143" s="87">
        <v>0</v>
      </c>
      <c r="L143" s="87">
        <v>0</v>
      </c>
      <c r="M143" s="87">
        <v>0</v>
      </c>
      <c r="N143" s="87">
        <v>0</v>
      </c>
      <c r="O143" s="87">
        <v>0</v>
      </c>
      <c r="Q143" s="35"/>
      <c r="S143" s="238"/>
      <c r="T143" s="238"/>
      <c r="U143" s="238"/>
      <c r="V143" s="238"/>
      <c r="W143" s="238"/>
      <c r="X143" s="238"/>
      <c r="Y143" s="238"/>
      <c r="Z143" s="238"/>
      <c r="AA143" s="238"/>
      <c r="AB143" s="238"/>
    </row>
    <row r="144" spans="2:28" s="22" customFormat="1" x14ac:dyDescent="0.3">
      <c r="B144" s="35"/>
      <c r="C144" s="40" t="s">
        <v>147</v>
      </c>
      <c r="D144" s="43" t="s">
        <v>36</v>
      </c>
      <c r="E144" s="150" t="e">
        <f>E146/E143</f>
        <v>#DIV/0!</v>
      </c>
      <c r="F144" s="150" t="e">
        <f>F146/F143</f>
        <v>#DIV/0!</v>
      </c>
      <c r="G144" s="150">
        <f>IFERROR(G146/G143,0)</f>
        <v>0</v>
      </c>
      <c r="H144" s="150">
        <f>G144*(1+'Date macro-economice'!H$9)*(1+'Costuri operare'!H145)</f>
        <v>0</v>
      </c>
      <c r="I144" s="150">
        <f>H144*(1+'Date macro-economice'!I$9)*(1+'Costuri operare'!I145)</f>
        <v>0</v>
      </c>
      <c r="J144" s="150">
        <f>I144*(1+'Date macro-economice'!J$9)*(1+'Costuri operare'!J145)</f>
        <v>0</v>
      </c>
      <c r="K144" s="150">
        <f>J144*(1+'Date macro-economice'!K$9)*(1+'Costuri operare'!K145)</f>
        <v>0</v>
      </c>
      <c r="L144" s="150">
        <f>K144*(1+'Date macro-economice'!L$9)*(1+'Costuri operare'!L145)</f>
        <v>0</v>
      </c>
      <c r="M144" s="150">
        <f>L144*(1+'Date macro-economice'!M$9)*(1+'Costuri operare'!M145)</f>
        <v>0</v>
      </c>
      <c r="N144" s="150">
        <f>M144*(1+'Date macro-economice'!N$9)*(1+'Costuri operare'!N145)</f>
        <v>0</v>
      </c>
      <c r="O144" s="150">
        <f>N144*(1+'Date macro-economice'!O$9)*(1+'Costuri operare'!O145)</f>
        <v>0</v>
      </c>
      <c r="Q144" s="35"/>
      <c r="S144" s="238"/>
      <c r="T144" s="238"/>
      <c r="U144" s="238"/>
      <c r="V144" s="238"/>
      <c r="W144" s="238"/>
      <c r="X144" s="238"/>
      <c r="Y144" s="238"/>
      <c r="Z144" s="238"/>
      <c r="AA144" s="238"/>
      <c r="AB144" s="238"/>
    </row>
    <row r="145" spans="2:28" s="22" customFormat="1" x14ac:dyDescent="0.3">
      <c r="B145" s="35"/>
      <c r="C145" s="40" t="s">
        <v>148</v>
      </c>
      <c r="D145" s="43" t="s">
        <v>47</v>
      </c>
      <c r="E145" s="158" t="s">
        <v>92</v>
      </c>
      <c r="F145" s="36" t="e">
        <f>(F144/E144)/(1+'Date macro-economice'!F$9)-1</f>
        <v>#DIV/0!</v>
      </c>
      <c r="G145" s="36">
        <f>IFERROR((G144/F144)/(1+'Date macro-economice'!G$9)-1,0)</f>
        <v>0</v>
      </c>
      <c r="H145" s="159">
        <v>0</v>
      </c>
      <c r="I145" s="159">
        <v>0</v>
      </c>
      <c r="J145" s="159">
        <v>0</v>
      </c>
      <c r="K145" s="159">
        <v>0</v>
      </c>
      <c r="L145" s="159">
        <v>0</v>
      </c>
      <c r="M145" s="159">
        <v>0</v>
      </c>
      <c r="N145" s="159">
        <v>0</v>
      </c>
      <c r="O145" s="159">
        <v>0</v>
      </c>
      <c r="Q145" s="35"/>
      <c r="S145" s="238"/>
      <c r="T145" s="238"/>
      <c r="U145" s="238"/>
      <c r="V145" s="238"/>
      <c r="W145" s="238"/>
      <c r="X145" s="238"/>
      <c r="Y145" s="238"/>
      <c r="Z145" s="238"/>
      <c r="AA145" s="238"/>
      <c r="AB145" s="238"/>
    </row>
    <row r="146" spans="2:28" x14ac:dyDescent="0.3">
      <c r="B146" s="35"/>
      <c r="C146" s="81" t="s">
        <v>149</v>
      </c>
      <c r="D146" s="82" t="s">
        <v>141</v>
      </c>
      <c r="E146" s="91">
        <f>E129</f>
        <v>0</v>
      </c>
      <c r="F146" s="91">
        <f>F129</f>
        <v>0</v>
      </c>
      <c r="G146" s="91">
        <f>G129</f>
        <v>0</v>
      </c>
      <c r="H146" s="91">
        <f>H143*H144</f>
        <v>0</v>
      </c>
      <c r="I146" s="91">
        <f t="shared" ref="I146:O146" si="36">I143*I144</f>
        <v>0</v>
      </c>
      <c r="J146" s="91">
        <f t="shared" si="36"/>
        <v>0</v>
      </c>
      <c r="K146" s="91">
        <f t="shared" si="36"/>
        <v>0</v>
      </c>
      <c r="L146" s="91">
        <f t="shared" si="36"/>
        <v>0</v>
      </c>
      <c r="M146" s="91">
        <f t="shared" si="36"/>
        <v>0</v>
      </c>
      <c r="N146" s="91">
        <f t="shared" si="36"/>
        <v>0</v>
      </c>
      <c r="O146" s="91">
        <f t="shared" si="36"/>
        <v>0</v>
      </c>
      <c r="Q146" s="35"/>
      <c r="S146" s="238"/>
      <c r="T146" s="238"/>
      <c r="U146" s="238"/>
      <c r="V146" s="238"/>
      <c r="W146" s="238"/>
      <c r="X146" s="238"/>
      <c r="Y146" s="238"/>
      <c r="Z146" s="238"/>
      <c r="AA146" s="238"/>
      <c r="AB146" s="238"/>
    </row>
    <row r="147" spans="2:28" x14ac:dyDescent="0.3">
      <c r="B147" s="35"/>
      <c r="Q147" s="35"/>
      <c r="S147" s="238"/>
      <c r="T147" s="238"/>
      <c r="U147" s="238"/>
      <c r="V147" s="238"/>
      <c r="W147" s="238"/>
      <c r="X147" s="238"/>
      <c r="Y147" s="238"/>
      <c r="Z147" s="238"/>
      <c r="AA147" s="238"/>
      <c r="AB147" s="238"/>
    </row>
    <row r="148" spans="2:28" s="22" customFormat="1" x14ac:dyDescent="0.3">
      <c r="B148" s="35"/>
      <c r="C148" s="66" t="s">
        <v>150</v>
      </c>
      <c r="D148" s="40"/>
      <c r="E148" s="40"/>
      <c r="F148" s="40"/>
      <c r="G148" s="40"/>
      <c r="H148" s="40"/>
      <c r="I148" s="40"/>
      <c r="J148" s="40"/>
      <c r="K148" s="40"/>
      <c r="L148" s="40"/>
      <c r="M148" s="40"/>
      <c r="N148" s="40"/>
      <c r="O148" s="40"/>
      <c r="Q148" s="35"/>
      <c r="S148" s="238"/>
      <c r="T148" s="238"/>
      <c r="U148" s="238"/>
      <c r="V148" s="238"/>
      <c r="W148" s="238"/>
      <c r="X148" s="238"/>
      <c r="Y148" s="238"/>
      <c r="Z148" s="238"/>
      <c r="AA148" s="238"/>
      <c r="AB148" s="238"/>
    </row>
    <row r="149" spans="2:28" s="22" customFormat="1" x14ac:dyDescent="0.3">
      <c r="B149" s="35"/>
      <c r="C149" s="40" t="s">
        <v>151</v>
      </c>
      <c r="D149" s="43" t="s">
        <v>83</v>
      </c>
      <c r="E149" s="87">
        <v>0</v>
      </c>
      <c r="F149" s="87">
        <v>0</v>
      </c>
      <c r="G149" s="87">
        <v>0</v>
      </c>
      <c r="H149" s="87">
        <v>0</v>
      </c>
      <c r="I149" s="87">
        <v>0</v>
      </c>
      <c r="J149" s="87">
        <v>0</v>
      </c>
      <c r="K149" s="87">
        <v>0</v>
      </c>
      <c r="L149" s="87">
        <v>0</v>
      </c>
      <c r="M149" s="87">
        <v>0</v>
      </c>
      <c r="N149" s="87">
        <v>0</v>
      </c>
      <c r="O149" s="87">
        <v>0</v>
      </c>
      <c r="Q149" s="35"/>
      <c r="S149" s="238"/>
      <c r="T149" s="238"/>
      <c r="U149" s="238"/>
      <c r="V149" s="238"/>
      <c r="W149" s="238"/>
      <c r="X149" s="238"/>
      <c r="Y149" s="238"/>
      <c r="Z149" s="238"/>
      <c r="AA149" s="238"/>
      <c r="AB149" s="238"/>
    </row>
    <row r="150" spans="2:28" s="22" customFormat="1" x14ac:dyDescent="0.3">
      <c r="B150" s="35"/>
      <c r="C150" s="40" t="s">
        <v>147</v>
      </c>
      <c r="D150" s="43" t="s">
        <v>36</v>
      </c>
      <c r="E150" s="161" t="e">
        <f>E152/E149</f>
        <v>#DIV/0!</v>
      </c>
      <c r="F150" s="161" t="e">
        <f>F152/F149</f>
        <v>#DIV/0!</v>
      </c>
      <c r="G150" s="161">
        <f>IFERROR(G152/G149,0)</f>
        <v>0</v>
      </c>
      <c r="H150" s="161">
        <f>G150*(1+'Date macro-economice'!G$9)*(1+'Costuri operare'!H151)</f>
        <v>0</v>
      </c>
      <c r="I150" s="161">
        <f>H150*(1+'Date macro-economice'!H$9)*(1+'Costuri operare'!I151)</f>
        <v>0</v>
      </c>
      <c r="J150" s="161">
        <f>I150*(1+'Date macro-economice'!I$9)*(1+'Costuri operare'!J151)</f>
        <v>0</v>
      </c>
      <c r="K150" s="161">
        <f>J150*(1+'Date macro-economice'!J$9)*(1+'Costuri operare'!K151)</f>
        <v>0</v>
      </c>
      <c r="L150" s="161">
        <f>K150*(1+'Date macro-economice'!K$9)*(1+'Costuri operare'!L151)</f>
        <v>0</v>
      </c>
      <c r="M150" s="161">
        <f>L150*(1+'Date macro-economice'!L$9)*(1+'Costuri operare'!M151)</f>
        <v>0</v>
      </c>
      <c r="N150" s="161">
        <f>M150*(1+'Date macro-economice'!M$9)*(1+'Costuri operare'!N151)</f>
        <v>0</v>
      </c>
      <c r="O150" s="161">
        <f>N150*(1+'Date macro-economice'!N$9)*(1+'Costuri operare'!O151)</f>
        <v>0</v>
      </c>
      <c r="Q150" s="35"/>
      <c r="S150" s="238"/>
      <c r="T150" s="238"/>
      <c r="U150" s="238"/>
      <c r="V150" s="238"/>
      <c r="W150" s="238"/>
      <c r="X150" s="238"/>
      <c r="Y150" s="238"/>
      <c r="Z150" s="238"/>
      <c r="AA150" s="238"/>
      <c r="AB150" s="238"/>
    </row>
    <row r="151" spans="2:28" s="22" customFormat="1" x14ac:dyDescent="0.3">
      <c r="B151" s="35"/>
      <c r="C151" s="40" t="s">
        <v>148</v>
      </c>
      <c r="D151" s="43" t="s">
        <v>47</v>
      </c>
      <c r="E151" s="158" t="s">
        <v>92</v>
      </c>
      <c r="F151" s="36" t="e">
        <f>(F150/E150)/(1+'Date macro-economice'!F$9)-1</f>
        <v>#DIV/0!</v>
      </c>
      <c r="G151" s="36">
        <f>IFERROR((G150/F150)/(1+'Date macro-economice'!G$9)-1,0)</f>
        <v>0</v>
      </c>
      <c r="H151" s="159">
        <v>0</v>
      </c>
      <c r="I151" s="159">
        <v>0</v>
      </c>
      <c r="J151" s="159">
        <v>0</v>
      </c>
      <c r="K151" s="159">
        <v>0</v>
      </c>
      <c r="L151" s="159">
        <v>0</v>
      </c>
      <c r="M151" s="159">
        <v>0</v>
      </c>
      <c r="N151" s="159">
        <v>0</v>
      </c>
      <c r="O151" s="159">
        <v>0</v>
      </c>
      <c r="Q151" s="35"/>
      <c r="S151" s="238"/>
      <c r="T151" s="238"/>
      <c r="U151" s="238"/>
      <c r="V151" s="238"/>
      <c r="W151" s="238"/>
      <c r="X151" s="238"/>
      <c r="Y151" s="238"/>
      <c r="Z151" s="238"/>
      <c r="AA151" s="238"/>
      <c r="AB151" s="238"/>
    </row>
    <row r="152" spans="2:28" x14ac:dyDescent="0.3">
      <c r="B152" s="35"/>
      <c r="C152" s="81" t="s">
        <v>149</v>
      </c>
      <c r="D152" s="82" t="s">
        <v>141</v>
      </c>
      <c r="E152" s="91">
        <f>E128</f>
        <v>0</v>
      </c>
      <c r="F152" s="91">
        <f>F128</f>
        <v>0</v>
      </c>
      <c r="G152" s="91">
        <f>G128</f>
        <v>0</v>
      </c>
      <c r="H152" s="91">
        <f>H149*H150</f>
        <v>0</v>
      </c>
      <c r="I152" s="91">
        <f t="shared" ref="I152:O152" si="37">I149*I150</f>
        <v>0</v>
      </c>
      <c r="J152" s="91">
        <f t="shared" si="37"/>
        <v>0</v>
      </c>
      <c r="K152" s="91">
        <f t="shared" si="37"/>
        <v>0</v>
      </c>
      <c r="L152" s="91">
        <f t="shared" si="37"/>
        <v>0</v>
      </c>
      <c r="M152" s="91">
        <f t="shared" si="37"/>
        <v>0</v>
      </c>
      <c r="N152" s="91">
        <f t="shared" si="37"/>
        <v>0</v>
      </c>
      <c r="O152" s="91">
        <f t="shared" si="37"/>
        <v>0</v>
      </c>
      <c r="Q152" s="35"/>
      <c r="S152" s="238"/>
      <c r="T152" s="238"/>
      <c r="U152" s="238"/>
      <c r="V152" s="238"/>
      <c r="W152" s="238"/>
      <c r="X152" s="238"/>
      <c r="Y152" s="238"/>
      <c r="Z152" s="238"/>
      <c r="AA152" s="238"/>
      <c r="AB152" s="238"/>
    </row>
    <row r="153" spans="2:28" x14ac:dyDescent="0.3">
      <c r="B153" s="35"/>
      <c r="Q153" s="35"/>
      <c r="S153" s="238"/>
      <c r="T153" s="238"/>
      <c r="U153" s="238"/>
      <c r="V153" s="238"/>
      <c r="W153" s="238"/>
      <c r="X153" s="238"/>
      <c r="Y153" s="238"/>
      <c r="Z153" s="238"/>
      <c r="AA153" s="238"/>
      <c r="AB153" s="238"/>
    </row>
    <row r="154" spans="2:28" x14ac:dyDescent="0.3">
      <c r="B154" s="35"/>
      <c r="C154" s="40" t="s">
        <v>152</v>
      </c>
      <c r="D154" s="43" t="s">
        <v>47</v>
      </c>
      <c r="E154" s="92" t="s">
        <v>92</v>
      </c>
      <c r="F154" s="162" t="e">
        <f>(F130/E130)/(1+'Date macro-economice'!F$9)-1</f>
        <v>#DIV/0!</v>
      </c>
      <c r="G154" s="162">
        <f>IFERROR((G130/F130)/(1+'Date macro-economice'!G$9)-1,0)</f>
        <v>0</v>
      </c>
      <c r="H154" s="159">
        <v>0</v>
      </c>
      <c r="I154" s="159">
        <v>0</v>
      </c>
      <c r="J154" s="159">
        <v>0</v>
      </c>
      <c r="K154" s="159">
        <v>0</v>
      </c>
      <c r="L154" s="159">
        <v>0</v>
      </c>
      <c r="M154" s="159">
        <v>0</v>
      </c>
      <c r="N154" s="159">
        <v>0</v>
      </c>
      <c r="O154" s="159">
        <v>0</v>
      </c>
      <c r="Q154" s="35"/>
      <c r="S154" s="238"/>
      <c r="T154" s="238"/>
      <c r="U154" s="238"/>
      <c r="V154" s="238"/>
      <c r="W154" s="238"/>
      <c r="X154" s="238"/>
      <c r="Y154" s="238"/>
      <c r="Z154" s="238"/>
      <c r="AA154" s="238"/>
      <c r="AB154" s="238"/>
    </row>
    <row r="155" spans="2:28" x14ac:dyDescent="0.3">
      <c r="B155" s="35"/>
      <c r="Q155" s="35"/>
      <c r="S155" s="238"/>
      <c r="T155" s="238"/>
      <c r="U155" s="238"/>
      <c r="V155" s="238"/>
      <c r="W155" s="238"/>
      <c r="X155" s="238"/>
      <c r="Y155" s="238"/>
      <c r="Z155" s="238"/>
      <c r="AA155" s="238"/>
      <c r="AB155" s="238"/>
    </row>
    <row r="156" spans="2:28" s="22" customFormat="1" x14ac:dyDescent="0.3">
      <c r="B156" s="35"/>
      <c r="C156" s="66" t="s">
        <v>153</v>
      </c>
      <c r="D156" s="40"/>
      <c r="E156" s="40"/>
      <c r="F156" s="40"/>
      <c r="G156" s="40"/>
      <c r="H156" s="40"/>
      <c r="I156" s="40"/>
      <c r="J156" s="40"/>
      <c r="K156" s="40"/>
      <c r="L156" s="40"/>
      <c r="M156" s="40"/>
      <c r="N156" s="40"/>
      <c r="O156" s="40"/>
      <c r="Q156" s="35"/>
      <c r="S156" s="238"/>
      <c r="T156" s="238"/>
      <c r="U156" s="238"/>
      <c r="V156" s="238"/>
      <c r="W156" s="238"/>
      <c r="X156" s="238"/>
      <c r="Y156" s="238"/>
      <c r="Z156" s="238"/>
      <c r="AA156" s="238"/>
      <c r="AB156" s="238"/>
    </row>
    <row r="157" spans="2:28" s="22" customFormat="1" x14ac:dyDescent="0.3">
      <c r="B157" s="35"/>
      <c r="C157" s="40" t="s">
        <v>154</v>
      </c>
      <c r="D157" s="43" t="s">
        <v>155</v>
      </c>
      <c r="E157" s="87">
        <v>0</v>
      </c>
      <c r="F157" s="87">
        <v>0</v>
      </c>
      <c r="G157" s="87">
        <v>0</v>
      </c>
      <c r="H157" s="87">
        <v>0</v>
      </c>
      <c r="I157" s="87">
        <v>0</v>
      </c>
      <c r="J157" s="87">
        <v>0</v>
      </c>
      <c r="K157" s="87">
        <v>0</v>
      </c>
      <c r="L157" s="87">
        <v>0</v>
      </c>
      <c r="M157" s="87">
        <v>0</v>
      </c>
      <c r="N157" s="87">
        <v>0</v>
      </c>
      <c r="O157" s="87">
        <v>0</v>
      </c>
      <c r="Q157" s="35"/>
      <c r="S157" s="238"/>
      <c r="T157" s="238"/>
      <c r="U157" s="238"/>
      <c r="V157" s="238"/>
      <c r="W157" s="238"/>
      <c r="X157" s="238"/>
      <c r="Y157" s="238"/>
      <c r="Z157" s="238"/>
      <c r="AA157" s="238"/>
      <c r="AB157" s="238"/>
    </row>
    <row r="158" spans="2:28" s="22" customFormat="1" x14ac:dyDescent="0.3">
      <c r="B158" s="35"/>
      <c r="C158" s="40" t="s">
        <v>156</v>
      </c>
      <c r="D158" s="43" t="s">
        <v>157</v>
      </c>
      <c r="E158" s="105" t="e">
        <f>E157/Cererea!E62</f>
        <v>#DIV/0!</v>
      </c>
      <c r="F158" s="105" t="e">
        <f>F157/Cererea!F62</f>
        <v>#DIV/0!</v>
      </c>
      <c r="G158" s="105">
        <f>IFERROR(G157/Cererea!G62,0)</f>
        <v>0</v>
      </c>
      <c r="H158" s="105" t="e">
        <f>H157/Cererea!H62</f>
        <v>#DIV/0!</v>
      </c>
      <c r="I158" s="105" t="e">
        <f>I157/Cererea!I62</f>
        <v>#DIV/0!</v>
      </c>
      <c r="J158" s="105" t="e">
        <f>J157/Cererea!J62</f>
        <v>#DIV/0!</v>
      </c>
      <c r="K158" s="105" t="e">
        <f>K157/Cererea!K62</f>
        <v>#DIV/0!</v>
      </c>
      <c r="L158" s="105" t="e">
        <f>L157/Cererea!L62</f>
        <v>#DIV/0!</v>
      </c>
      <c r="M158" s="105" t="e">
        <f>M157/Cererea!M62</f>
        <v>#DIV/0!</v>
      </c>
      <c r="N158" s="105" t="e">
        <f>N157/Cererea!N62</f>
        <v>#DIV/0!</v>
      </c>
      <c r="O158" s="105" t="e">
        <f>O157/Cererea!O62</f>
        <v>#DIV/0!</v>
      </c>
      <c r="Q158" s="35"/>
      <c r="S158" s="238"/>
      <c r="T158" s="238"/>
      <c r="U158" s="238"/>
      <c r="V158" s="238"/>
      <c r="W158" s="238"/>
      <c r="X158" s="238"/>
      <c r="Y158" s="238"/>
      <c r="Z158" s="238"/>
      <c r="AA158" s="238"/>
      <c r="AB158" s="238"/>
    </row>
    <row r="159" spans="2:28" s="22" customFormat="1" x14ac:dyDescent="0.3">
      <c r="B159" s="35"/>
      <c r="C159" s="40" t="s">
        <v>147</v>
      </c>
      <c r="D159" s="43" t="s">
        <v>158</v>
      </c>
      <c r="E159" s="150" t="e">
        <f>E131/E157</f>
        <v>#DIV/0!</v>
      </c>
      <c r="F159" s="150" t="e">
        <f>F131/F157</f>
        <v>#DIV/0!</v>
      </c>
      <c r="G159" s="150">
        <f>IFERROR(G131/G157,0)</f>
        <v>0</v>
      </c>
      <c r="H159" s="170">
        <f>G159*(1+'Date macro-economice'!H$9)*(1+H160)</f>
        <v>0</v>
      </c>
      <c r="I159" s="170">
        <f>H159*(1+'Date macro-economice'!I$9)*(1+I160)</f>
        <v>0</v>
      </c>
      <c r="J159" s="170">
        <f>I159*(1+'Date macro-economice'!J$9)*(1+J160)</f>
        <v>0</v>
      </c>
      <c r="K159" s="170">
        <f>J159*(1+'Date macro-economice'!K$9)*(1+K160)</f>
        <v>0</v>
      </c>
      <c r="L159" s="170">
        <f>K159*(1+'Date macro-economice'!L$9)*(1+L160)</f>
        <v>0</v>
      </c>
      <c r="M159" s="170">
        <f>L159*(1+'Date macro-economice'!M$9)*(1+M160)</f>
        <v>0</v>
      </c>
      <c r="N159" s="170">
        <f>M159*(1+'Date macro-economice'!N$9)*(1+N160)</f>
        <v>0</v>
      </c>
      <c r="O159" s="170">
        <f>N159*(1+'Date macro-economice'!O$9)*(1+O160)</f>
        <v>0</v>
      </c>
      <c r="Q159" s="35"/>
      <c r="S159" s="238"/>
      <c r="T159" s="238"/>
      <c r="U159" s="238"/>
      <c r="V159" s="238"/>
      <c r="W159" s="238"/>
      <c r="X159" s="238"/>
      <c r="Y159" s="238"/>
      <c r="Z159" s="238"/>
      <c r="AA159" s="238"/>
      <c r="AB159" s="238"/>
    </row>
    <row r="160" spans="2:28" s="22" customFormat="1" x14ac:dyDescent="0.3">
      <c r="B160" s="35"/>
      <c r="C160" s="40" t="s">
        <v>148</v>
      </c>
      <c r="D160" s="43" t="s">
        <v>47</v>
      </c>
      <c r="E160" s="158" t="s">
        <v>92</v>
      </c>
      <c r="F160" s="36" t="e">
        <f>(F159/E159)/(1+'Date macro-economice'!F$9)-1</f>
        <v>#DIV/0!</v>
      </c>
      <c r="G160" s="36">
        <f>IFERROR((G159/F159)/(1+'Date macro-economice'!G$9)-1,0)</f>
        <v>0</v>
      </c>
      <c r="H160" s="159">
        <v>0</v>
      </c>
      <c r="I160" s="159">
        <v>0</v>
      </c>
      <c r="J160" s="159">
        <v>0</v>
      </c>
      <c r="K160" s="159">
        <v>0</v>
      </c>
      <c r="L160" s="159">
        <v>0</v>
      </c>
      <c r="M160" s="159">
        <v>0</v>
      </c>
      <c r="N160" s="159">
        <v>0</v>
      </c>
      <c r="O160" s="159">
        <v>0</v>
      </c>
      <c r="Q160" s="35"/>
      <c r="S160" s="238"/>
      <c r="T160" s="238"/>
      <c r="U160" s="238"/>
      <c r="V160" s="238"/>
      <c r="W160" s="238"/>
      <c r="X160" s="238"/>
      <c r="Y160" s="238"/>
      <c r="Z160" s="238"/>
      <c r="AA160" s="238"/>
      <c r="AB160" s="238"/>
    </row>
    <row r="161" spans="2:28" x14ac:dyDescent="0.3">
      <c r="B161" s="35"/>
      <c r="C161" s="81" t="s">
        <v>149</v>
      </c>
      <c r="D161" s="82" t="s">
        <v>141</v>
      </c>
      <c r="E161" s="91">
        <f>E131</f>
        <v>0</v>
      </c>
      <c r="F161" s="91">
        <f>F131</f>
        <v>0</v>
      </c>
      <c r="G161" s="91">
        <f>G131</f>
        <v>0</v>
      </c>
      <c r="H161" s="91">
        <f t="shared" ref="H161:O161" si="38">H157*H159</f>
        <v>0</v>
      </c>
      <c r="I161" s="91">
        <f t="shared" si="38"/>
        <v>0</v>
      </c>
      <c r="J161" s="91">
        <f t="shared" si="38"/>
        <v>0</v>
      </c>
      <c r="K161" s="91">
        <f t="shared" si="38"/>
        <v>0</v>
      </c>
      <c r="L161" s="91">
        <f t="shared" si="38"/>
        <v>0</v>
      </c>
      <c r="M161" s="91">
        <f t="shared" si="38"/>
        <v>0</v>
      </c>
      <c r="N161" s="91">
        <f t="shared" si="38"/>
        <v>0</v>
      </c>
      <c r="O161" s="91">
        <f t="shared" si="38"/>
        <v>0</v>
      </c>
      <c r="Q161" s="35"/>
      <c r="S161" s="238"/>
      <c r="T161" s="238"/>
      <c r="U161" s="238"/>
      <c r="V161" s="238"/>
      <c r="W161" s="238"/>
      <c r="X161" s="238"/>
      <c r="Y161" s="238"/>
      <c r="Z161" s="238"/>
      <c r="AA161" s="238"/>
      <c r="AB161" s="238"/>
    </row>
    <row r="162" spans="2:28" x14ac:dyDescent="0.3">
      <c r="B162" s="35"/>
      <c r="Q162" s="35"/>
      <c r="S162" s="238"/>
      <c r="T162" s="238"/>
      <c r="U162" s="238"/>
      <c r="V162" s="238"/>
      <c r="W162" s="238"/>
      <c r="X162" s="238"/>
      <c r="Y162" s="238"/>
      <c r="Z162" s="238"/>
      <c r="AA162" s="238"/>
      <c r="AB162" s="238"/>
    </row>
    <row r="163" spans="2:28" x14ac:dyDescent="0.3">
      <c r="B163" s="35"/>
      <c r="C163" s="66" t="s">
        <v>159</v>
      </c>
      <c r="Q163" s="35"/>
      <c r="S163" s="238"/>
      <c r="T163" s="238"/>
      <c r="U163" s="238"/>
      <c r="V163" s="238"/>
      <c r="W163" s="238"/>
      <c r="X163" s="238"/>
      <c r="Y163" s="238"/>
      <c r="Z163" s="238"/>
      <c r="AA163" s="238"/>
      <c r="AB163" s="238"/>
    </row>
    <row r="164" spans="2:28" x14ac:dyDescent="0.3">
      <c r="B164" s="35"/>
      <c r="C164" s="40" t="s">
        <v>160</v>
      </c>
      <c r="D164" s="43" t="s">
        <v>141</v>
      </c>
      <c r="E164" s="87">
        <v>0</v>
      </c>
      <c r="F164" s="87">
        <v>0</v>
      </c>
      <c r="G164" s="87">
        <v>0</v>
      </c>
      <c r="H164" s="88">
        <f>H167*H168*12</f>
        <v>0</v>
      </c>
      <c r="I164" s="88">
        <f t="shared" ref="I164:O164" si="39">I167*I168*12</f>
        <v>0</v>
      </c>
      <c r="J164" s="88">
        <f t="shared" si="39"/>
        <v>0</v>
      </c>
      <c r="K164" s="88">
        <f t="shared" si="39"/>
        <v>0</v>
      </c>
      <c r="L164" s="88">
        <f t="shared" si="39"/>
        <v>0</v>
      </c>
      <c r="M164" s="88">
        <f t="shared" si="39"/>
        <v>0</v>
      </c>
      <c r="N164" s="88">
        <f t="shared" si="39"/>
        <v>0</v>
      </c>
      <c r="O164" s="88">
        <f t="shared" si="39"/>
        <v>0</v>
      </c>
      <c r="Q164" s="35"/>
      <c r="S164" s="238"/>
      <c r="T164" s="238"/>
      <c r="U164" s="238"/>
      <c r="V164" s="238"/>
      <c r="W164" s="238"/>
      <c r="X164" s="238"/>
      <c r="Y164" s="238"/>
      <c r="Z164" s="238"/>
      <c r="AA164" s="238"/>
      <c r="AB164" s="238"/>
    </row>
    <row r="165" spans="2:28" x14ac:dyDescent="0.3">
      <c r="B165" s="35"/>
      <c r="C165" s="40" t="s">
        <v>161</v>
      </c>
      <c r="D165" s="43" t="s">
        <v>141</v>
      </c>
      <c r="E165" s="87">
        <v>0</v>
      </c>
      <c r="F165" s="87">
        <v>0</v>
      </c>
      <c r="G165" s="87">
        <v>0</v>
      </c>
      <c r="H165" s="88">
        <f>H167*H169*12</f>
        <v>0</v>
      </c>
      <c r="I165" s="88">
        <f t="shared" ref="I165:O165" si="40">I167*I169*12</f>
        <v>0</v>
      </c>
      <c r="J165" s="88">
        <f t="shared" si="40"/>
        <v>0</v>
      </c>
      <c r="K165" s="88">
        <f t="shared" si="40"/>
        <v>0</v>
      </c>
      <c r="L165" s="88">
        <f t="shared" si="40"/>
        <v>0</v>
      </c>
      <c r="M165" s="88">
        <f t="shared" si="40"/>
        <v>0</v>
      </c>
      <c r="N165" s="88">
        <f t="shared" si="40"/>
        <v>0</v>
      </c>
      <c r="O165" s="88">
        <f t="shared" si="40"/>
        <v>0</v>
      </c>
      <c r="Q165" s="35"/>
      <c r="S165" s="238"/>
      <c r="T165" s="238"/>
      <c r="U165" s="238"/>
      <c r="V165" s="238"/>
      <c r="W165" s="238"/>
      <c r="X165" s="238"/>
      <c r="Y165" s="238"/>
      <c r="Z165" s="238"/>
      <c r="AA165" s="238"/>
      <c r="AB165" s="238"/>
    </row>
    <row r="166" spans="2:28" x14ac:dyDescent="0.3">
      <c r="B166" s="35"/>
      <c r="C166" s="155" t="s">
        <v>162</v>
      </c>
      <c r="D166" s="129" t="s">
        <v>141</v>
      </c>
      <c r="E166" s="88">
        <f>E132-E164-E165</f>
        <v>0</v>
      </c>
      <c r="F166" s="88">
        <f>F132-F164-F165</f>
        <v>0</v>
      </c>
      <c r="G166" s="88">
        <f>G132-G164-G165</f>
        <v>0</v>
      </c>
      <c r="H166" s="88">
        <f t="shared" ref="H166:O166" si="41">H167*H170*12</f>
        <v>0</v>
      </c>
      <c r="I166" s="88">
        <f t="shared" si="41"/>
        <v>0</v>
      </c>
      <c r="J166" s="88">
        <f t="shared" si="41"/>
        <v>0</v>
      </c>
      <c r="K166" s="88">
        <f t="shared" si="41"/>
        <v>0</v>
      </c>
      <c r="L166" s="88">
        <f t="shared" si="41"/>
        <v>0</v>
      </c>
      <c r="M166" s="88">
        <f t="shared" si="41"/>
        <v>0</v>
      </c>
      <c r="N166" s="88">
        <f t="shared" si="41"/>
        <v>0</v>
      </c>
      <c r="O166" s="88">
        <f t="shared" si="41"/>
        <v>0</v>
      </c>
      <c r="Q166" s="35"/>
      <c r="S166" s="238"/>
      <c r="T166" s="238"/>
      <c r="U166" s="238"/>
      <c r="V166" s="238"/>
      <c r="W166" s="238"/>
      <c r="X166" s="238"/>
      <c r="Y166" s="238"/>
      <c r="Z166" s="238"/>
      <c r="AA166" s="238"/>
      <c r="AB166" s="238"/>
    </row>
    <row r="167" spans="2:28" x14ac:dyDescent="0.3">
      <c r="B167" s="35"/>
      <c r="C167" s="40" t="s">
        <v>163</v>
      </c>
      <c r="D167" s="43" t="s">
        <v>14</v>
      </c>
      <c r="E167" s="87">
        <v>0</v>
      </c>
      <c r="F167" s="87">
        <v>0</v>
      </c>
      <c r="G167" s="87">
        <v>0</v>
      </c>
      <c r="H167" s="87">
        <v>0</v>
      </c>
      <c r="I167" s="87">
        <v>0</v>
      </c>
      <c r="J167" s="87">
        <v>0</v>
      </c>
      <c r="K167" s="87">
        <v>0</v>
      </c>
      <c r="L167" s="87">
        <v>0</v>
      </c>
      <c r="M167" s="87">
        <v>0</v>
      </c>
      <c r="N167" s="87">
        <v>0</v>
      </c>
      <c r="O167" s="87">
        <v>0</v>
      </c>
      <c r="Q167" s="35"/>
      <c r="S167" s="238"/>
      <c r="T167" s="238"/>
      <c r="U167" s="238"/>
      <c r="V167" s="238"/>
      <c r="W167" s="238"/>
      <c r="X167" s="238"/>
      <c r="Y167" s="238"/>
      <c r="Z167" s="238"/>
      <c r="AA167" s="238"/>
      <c r="AB167" s="238"/>
    </row>
    <row r="168" spans="2:28" x14ac:dyDescent="0.3">
      <c r="B168" s="35"/>
      <c r="C168" s="40" t="s">
        <v>164</v>
      </c>
      <c r="D168" s="163" t="s">
        <v>165</v>
      </c>
      <c r="E168" s="88" t="e">
        <f>E164/E167/12</f>
        <v>#DIV/0!</v>
      </c>
      <c r="F168" s="88" t="e">
        <f>F164/F167/12</f>
        <v>#DIV/0!</v>
      </c>
      <c r="G168" s="88">
        <f>IFERROR(G164/G167/12,0)</f>
        <v>0</v>
      </c>
      <c r="H168" s="88">
        <f>G168*(1+'Date macro-economice'!H$9)*(1+'Date macro-economice'!H$11*'Costuri operare'!H174)*(1+'Costuri operare'!H171)</f>
        <v>0</v>
      </c>
      <c r="I168" s="88">
        <f>H168*(1+'Date macro-economice'!I$9)*(1+'Date macro-economice'!I$11*'Costuri operare'!I174)*(1+'Costuri operare'!I171)</f>
        <v>0</v>
      </c>
      <c r="J168" s="88">
        <f>I168*(1+'Date macro-economice'!J$9)*(1+'Date macro-economice'!J$11*'Costuri operare'!J174)*(1+'Costuri operare'!J171)</f>
        <v>0</v>
      </c>
      <c r="K168" s="88">
        <f>J168*(1+'Date macro-economice'!K$9)*(1+'Date macro-economice'!K$11*'Costuri operare'!K174)*(1+'Costuri operare'!K171)</f>
        <v>0</v>
      </c>
      <c r="L168" s="88">
        <f>K168*(1+'Date macro-economice'!L$9)*(1+'Date macro-economice'!L$11*'Costuri operare'!L174)*(1+'Costuri operare'!L171)</f>
        <v>0</v>
      </c>
      <c r="M168" s="88">
        <f>L168*(1+'Date macro-economice'!M$9)*(1+'Date macro-economice'!M$11*'Costuri operare'!M174)*(1+'Costuri operare'!M171)</f>
        <v>0</v>
      </c>
      <c r="N168" s="88">
        <f>M168*(1+'Date macro-economice'!N$9)*(1+'Date macro-economice'!N$11*'Costuri operare'!N174)*(1+'Costuri operare'!N171)</f>
        <v>0</v>
      </c>
      <c r="O168" s="88">
        <f>N168*(1+'Date macro-economice'!O$9)*(1+'Date macro-economice'!O$11*'Costuri operare'!O174)*(1+'Costuri operare'!O171)</f>
        <v>0</v>
      </c>
      <c r="Q168" s="35"/>
      <c r="S168" s="238"/>
      <c r="T168" s="238"/>
      <c r="U168" s="238"/>
      <c r="V168" s="238"/>
      <c r="W168" s="238"/>
      <c r="X168" s="238"/>
      <c r="Y168" s="238"/>
      <c r="Z168" s="238"/>
      <c r="AA168" s="238"/>
      <c r="AB168" s="238"/>
    </row>
    <row r="169" spans="2:28" ht="28.8" x14ac:dyDescent="0.3">
      <c r="B169" s="35"/>
      <c r="C169" s="40" t="s">
        <v>166</v>
      </c>
      <c r="D169" s="163" t="s">
        <v>165</v>
      </c>
      <c r="E169" s="88" t="e">
        <f>E165/E167/12</f>
        <v>#DIV/0!</v>
      </c>
      <c r="F169" s="88" t="e">
        <f>F165/F167/12</f>
        <v>#DIV/0!</v>
      </c>
      <c r="G169" s="88">
        <f>IFERROR(G165/G167/12,0)</f>
        <v>0</v>
      </c>
      <c r="H169" s="88">
        <f>G169*(1+'Date macro-economice'!H$9)*(1+'Date macro-economice'!H$11*'Costuri operare'!H174)*(1+'Costuri operare'!H172)</f>
        <v>0</v>
      </c>
      <c r="I169" s="88">
        <f>H169*(1+'Date macro-economice'!I$9)*(1+'Date macro-economice'!I$11*'Costuri operare'!I174)*(1+'Costuri operare'!I172)</f>
        <v>0</v>
      </c>
      <c r="J169" s="88">
        <f>I169*(1+'Date macro-economice'!J$9)*(1+'Date macro-economice'!J$11*'Costuri operare'!J174)*(1+'Costuri operare'!J172)</f>
        <v>0</v>
      </c>
      <c r="K169" s="88">
        <f>J169*(1+'Date macro-economice'!K$9)*(1+'Date macro-economice'!K$11*'Costuri operare'!K174)*(1+'Costuri operare'!K172)</f>
        <v>0</v>
      </c>
      <c r="L169" s="88">
        <f>K169*(1+'Date macro-economice'!L$9)*(1+'Date macro-economice'!L$11*'Costuri operare'!L174)*(1+'Costuri operare'!L172)</f>
        <v>0</v>
      </c>
      <c r="M169" s="88">
        <f>L169*(1+'Date macro-economice'!M$9)*(1+'Date macro-economice'!M$11*'Costuri operare'!M174)*(1+'Costuri operare'!M172)</f>
        <v>0</v>
      </c>
      <c r="N169" s="88">
        <f>M169*(1+'Date macro-economice'!N$9)*(1+'Date macro-economice'!N$11*'Costuri operare'!N174)*(1+'Costuri operare'!N172)</f>
        <v>0</v>
      </c>
      <c r="O169" s="88">
        <f>N169*(1+'Date macro-economice'!O$9)*(1+'Date macro-economice'!O$11*'Costuri operare'!O174)*(1+'Costuri operare'!O172)</f>
        <v>0</v>
      </c>
      <c r="Q169" s="35"/>
      <c r="S169" s="238"/>
      <c r="T169" s="238"/>
      <c r="U169" s="238"/>
      <c r="V169" s="238"/>
      <c r="W169" s="238"/>
      <c r="X169" s="238"/>
      <c r="Y169" s="238"/>
      <c r="Z169" s="238"/>
      <c r="AA169" s="238"/>
      <c r="AB169" s="238"/>
    </row>
    <row r="170" spans="2:28" x14ac:dyDescent="0.3">
      <c r="B170" s="35"/>
      <c r="C170" s="155" t="s">
        <v>167</v>
      </c>
      <c r="D170" s="164" t="s">
        <v>165</v>
      </c>
      <c r="E170" s="131" t="e">
        <f>E166/E167/12</f>
        <v>#DIV/0!</v>
      </c>
      <c r="F170" s="131" t="e">
        <f>F166/F167/12</f>
        <v>#DIV/0!</v>
      </c>
      <c r="G170" s="131">
        <f>IFERROR(G166/G167/12,0)</f>
        <v>0</v>
      </c>
      <c r="H170" s="88">
        <f>G170*(1+'Date macro-economice'!H$9)*(1+'Date macro-economice'!H$11*'Costuri operare'!H174)*(1+'Costuri operare'!H173)</f>
        <v>0</v>
      </c>
      <c r="I170" s="88">
        <f>H170*(1+'Date macro-economice'!I$9)*(1+'Date macro-economice'!I$11*'Costuri operare'!I174)*(1+'Costuri operare'!I173)</f>
        <v>0</v>
      </c>
      <c r="J170" s="88">
        <f>I170*(1+'Date macro-economice'!J$9)*(1+'Date macro-economice'!J$11*'Costuri operare'!J174)*(1+'Costuri operare'!J173)</f>
        <v>0</v>
      </c>
      <c r="K170" s="88">
        <f>J170*(1+'Date macro-economice'!K$9)*(1+'Date macro-economice'!K$11*'Costuri operare'!K174)*(1+'Costuri operare'!K173)</f>
        <v>0</v>
      </c>
      <c r="L170" s="88">
        <f>K170*(1+'Date macro-economice'!L$9)*(1+'Date macro-economice'!L$11*'Costuri operare'!L174)*(1+'Costuri operare'!L173)</f>
        <v>0</v>
      </c>
      <c r="M170" s="88">
        <f>L170*(1+'Date macro-economice'!M$9)*(1+'Date macro-economice'!M$11*'Costuri operare'!M174)*(1+'Costuri operare'!M173)</f>
        <v>0</v>
      </c>
      <c r="N170" s="88">
        <f>M170*(1+'Date macro-economice'!N$9)*(1+'Date macro-economice'!N$11*'Costuri operare'!N174)*(1+'Costuri operare'!N173)</f>
        <v>0</v>
      </c>
      <c r="O170" s="88">
        <f>N170*(1+'Date macro-economice'!O$9)*(1+'Date macro-economice'!O$11*'Costuri operare'!O174)*(1+'Costuri operare'!O173)</f>
        <v>0</v>
      </c>
      <c r="Q170" s="35"/>
      <c r="S170" s="238"/>
      <c r="T170" s="238"/>
      <c r="U170" s="238"/>
      <c r="V170" s="238"/>
      <c r="W170" s="238"/>
      <c r="X170" s="238"/>
      <c r="Y170" s="238"/>
      <c r="Z170" s="238"/>
      <c r="AA170" s="238"/>
      <c r="AB170" s="238"/>
    </row>
    <row r="171" spans="2:28" s="22" customFormat="1" ht="28.8" x14ac:dyDescent="0.3">
      <c r="B171" s="35"/>
      <c r="C171" s="40" t="s">
        <v>168</v>
      </c>
      <c r="D171" s="43" t="s">
        <v>47</v>
      </c>
      <c r="E171" s="92" t="s">
        <v>92</v>
      </c>
      <c r="F171" s="36" t="e">
        <f>(F168/E168)/((1+'Date macro-economice'!F$9)*(1+'Date macro-economice'!F$11*F$58))-1</f>
        <v>#DIV/0!</v>
      </c>
      <c r="G171" s="36">
        <f>IFERROR((G168/F168)/((1+'Date macro-economice'!G$9)*(1+'Date macro-economice'!G$11*G$58))-1,0)</f>
        <v>0</v>
      </c>
      <c r="H171" s="159">
        <v>0</v>
      </c>
      <c r="I171" s="159">
        <v>0</v>
      </c>
      <c r="J171" s="159">
        <v>0</v>
      </c>
      <c r="K171" s="159">
        <v>0</v>
      </c>
      <c r="L171" s="159">
        <v>0</v>
      </c>
      <c r="M171" s="159">
        <v>0</v>
      </c>
      <c r="N171" s="159">
        <v>0</v>
      </c>
      <c r="O171" s="159">
        <v>0</v>
      </c>
      <c r="Q171" s="35"/>
      <c r="S171" s="238"/>
      <c r="T171" s="238"/>
      <c r="U171" s="238"/>
      <c r="V171" s="238"/>
      <c r="W171" s="238"/>
      <c r="X171" s="238"/>
      <c r="Y171" s="238"/>
      <c r="Z171" s="238"/>
      <c r="AA171" s="238"/>
      <c r="AB171" s="238"/>
    </row>
    <row r="172" spans="2:28" s="22" customFormat="1" ht="43.2" x14ac:dyDescent="0.3">
      <c r="B172" s="35"/>
      <c r="C172" s="40" t="s">
        <v>169</v>
      </c>
      <c r="D172" s="43" t="s">
        <v>47</v>
      </c>
      <c r="E172" s="92" t="s">
        <v>92</v>
      </c>
      <c r="F172" s="36" t="e">
        <f>(F169/E169)/((1+'Date macro-economice'!F$9)*(1+'Date macro-economice'!F$11*F$58))-1</f>
        <v>#DIV/0!</v>
      </c>
      <c r="G172" s="36">
        <f>IFERROR((G169/F169)/((1+'Date macro-economice'!G$9)*(1+'Date macro-economice'!G$11*G$58))-1,0)</f>
        <v>0</v>
      </c>
      <c r="H172" s="159">
        <v>0</v>
      </c>
      <c r="I172" s="159">
        <v>0</v>
      </c>
      <c r="J172" s="159">
        <v>0</v>
      </c>
      <c r="K172" s="159">
        <v>0</v>
      </c>
      <c r="L172" s="159">
        <v>0</v>
      </c>
      <c r="M172" s="159">
        <v>0</v>
      </c>
      <c r="N172" s="159">
        <v>0</v>
      </c>
      <c r="O172" s="159">
        <v>0</v>
      </c>
      <c r="Q172" s="35"/>
      <c r="S172" s="238"/>
      <c r="T172" s="238"/>
      <c r="U172" s="238"/>
      <c r="V172" s="238"/>
      <c r="W172" s="238"/>
      <c r="X172" s="238"/>
      <c r="Y172" s="238"/>
      <c r="Z172" s="238"/>
      <c r="AA172" s="238"/>
      <c r="AB172" s="238"/>
    </row>
    <row r="173" spans="2:28" s="22" customFormat="1" ht="43.2" x14ac:dyDescent="0.3">
      <c r="B173" s="35"/>
      <c r="C173" s="40" t="s">
        <v>169</v>
      </c>
      <c r="D173" s="43" t="s">
        <v>47</v>
      </c>
      <c r="E173" s="92" t="s">
        <v>92</v>
      </c>
      <c r="F173" s="36" t="e">
        <f>(F170/E170)/((1+'Date macro-economice'!F$9)*(1+'Date macro-economice'!F$11*F$58))-1</f>
        <v>#DIV/0!</v>
      </c>
      <c r="G173" s="36">
        <f>IFERROR((G170/F170)/((1+'Date macro-economice'!G$9)*(1+'Date macro-economice'!G$11*G$58))-1,0)</f>
        <v>0</v>
      </c>
      <c r="H173" s="159">
        <v>0</v>
      </c>
      <c r="I173" s="159">
        <v>0</v>
      </c>
      <c r="J173" s="159">
        <v>0</v>
      </c>
      <c r="K173" s="159">
        <v>0</v>
      </c>
      <c r="L173" s="159">
        <v>0</v>
      </c>
      <c r="M173" s="159">
        <v>0</v>
      </c>
      <c r="N173" s="159">
        <v>0</v>
      </c>
      <c r="O173" s="159">
        <v>0</v>
      </c>
      <c r="Q173" s="35"/>
      <c r="S173" s="238"/>
      <c r="T173" s="238"/>
      <c r="U173" s="238"/>
      <c r="V173" s="238"/>
      <c r="W173" s="238"/>
      <c r="X173" s="238"/>
      <c r="Y173" s="238"/>
      <c r="Z173" s="238"/>
      <c r="AA173" s="238"/>
      <c r="AB173" s="238"/>
    </row>
    <row r="174" spans="2:28" s="22" customFormat="1" ht="43.2" x14ac:dyDescent="0.3">
      <c r="B174" s="35"/>
      <c r="C174" s="40" t="s">
        <v>171</v>
      </c>
      <c r="D174" s="43" t="s">
        <v>47</v>
      </c>
      <c r="E174" s="92"/>
      <c r="F174" s="165">
        <v>0.75</v>
      </c>
      <c r="G174" s="165">
        <v>0.75</v>
      </c>
      <c r="H174" s="165">
        <v>0.75</v>
      </c>
      <c r="I174" s="165">
        <v>0.75</v>
      </c>
      <c r="J174" s="165">
        <v>0.75</v>
      </c>
      <c r="K174" s="165">
        <v>0.75</v>
      </c>
      <c r="L174" s="165">
        <v>0.75</v>
      </c>
      <c r="M174" s="165">
        <v>0.75</v>
      </c>
      <c r="N174" s="165">
        <v>0.75</v>
      </c>
      <c r="O174" s="165">
        <v>0.75</v>
      </c>
      <c r="Q174" s="35"/>
      <c r="S174" s="238"/>
      <c r="T174" s="238"/>
      <c r="U174" s="238"/>
      <c r="V174" s="238"/>
      <c r="W174" s="238"/>
      <c r="X174" s="238"/>
      <c r="Y174" s="238"/>
      <c r="Z174" s="238"/>
      <c r="AA174" s="238"/>
      <c r="AB174" s="238"/>
    </row>
    <row r="175" spans="2:28" x14ac:dyDescent="0.3">
      <c r="B175" s="35"/>
      <c r="Q175" s="35"/>
      <c r="S175" s="238"/>
      <c r="T175" s="238"/>
      <c r="U175" s="238"/>
      <c r="V175" s="238"/>
      <c r="W175" s="238"/>
      <c r="X175" s="238"/>
      <c r="Y175" s="238"/>
      <c r="Z175" s="238"/>
      <c r="AA175" s="238"/>
      <c r="AB175" s="238"/>
    </row>
    <row r="176" spans="2:28" ht="28.8" x14ac:dyDescent="0.3">
      <c r="B176" s="35"/>
      <c r="C176" s="40" t="s">
        <v>172</v>
      </c>
      <c r="D176" s="43" t="s">
        <v>47</v>
      </c>
      <c r="E176" s="92" t="s">
        <v>92</v>
      </c>
      <c r="F176" s="162" t="e">
        <f>(F133/E133)/(1+'Date macro-economice'!F$9)-1</f>
        <v>#DIV/0!</v>
      </c>
      <c r="G176" s="162">
        <f>IFERROR((G133/F133)/(1+'Date macro-economice'!G$9)-1,0)</f>
        <v>0</v>
      </c>
      <c r="H176" s="159"/>
      <c r="I176" s="159"/>
      <c r="J176" s="159"/>
      <c r="K176" s="159"/>
      <c r="L176" s="159"/>
      <c r="M176" s="159">
        <v>0</v>
      </c>
      <c r="N176" s="159">
        <v>0</v>
      </c>
      <c r="O176" s="159">
        <v>0</v>
      </c>
      <c r="Q176" s="35"/>
      <c r="S176" s="238"/>
      <c r="T176" s="238"/>
      <c r="U176" s="238"/>
      <c r="V176" s="238"/>
      <c r="W176" s="238"/>
      <c r="X176" s="238"/>
      <c r="Y176" s="238"/>
      <c r="Z176" s="238"/>
      <c r="AA176" s="238"/>
      <c r="AB176" s="238"/>
    </row>
    <row r="177" spans="2:28" ht="28.8" x14ac:dyDescent="0.3">
      <c r="B177" s="35"/>
      <c r="C177" s="40" t="s">
        <v>173</v>
      </c>
      <c r="D177" s="43" t="s">
        <v>47</v>
      </c>
      <c r="E177" s="92" t="s">
        <v>92</v>
      </c>
      <c r="F177" s="162" t="e">
        <f>(F134/E134)/(1+'Date macro-economice'!F$9)-1</f>
        <v>#DIV/0!</v>
      </c>
      <c r="G177" s="162">
        <f>IFERROR((G134/F134)/(1+'Date macro-economice'!G$9)-1,0)</f>
        <v>0</v>
      </c>
      <c r="H177" s="159"/>
      <c r="I177" s="159"/>
      <c r="J177" s="159"/>
      <c r="K177" s="159"/>
      <c r="L177" s="159"/>
      <c r="M177" s="159">
        <v>0</v>
      </c>
      <c r="N177" s="159">
        <v>0</v>
      </c>
      <c r="O177" s="159">
        <v>0</v>
      </c>
      <c r="Q177" s="35"/>
      <c r="S177" s="238"/>
      <c r="T177" s="238"/>
      <c r="U177" s="238"/>
      <c r="V177" s="238"/>
      <c r="W177" s="238"/>
      <c r="X177" s="238"/>
      <c r="Y177" s="238"/>
      <c r="Z177" s="238"/>
      <c r="AA177" s="238"/>
      <c r="AB177" s="238"/>
    </row>
    <row r="178" spans="2:28" ht="28.8" x14ac:dyDescent="0.3">
      <c r="B178" s="35"/>
      <c r="C178" s="40" t="s">
        <v>174</v>
      </c>
      <c r="D178" s="43" t="s">
        <v>47</v>
      </c>
      <c r="E178" s="92" t="s">
        <v>92</v>
      </c>
      <c r="F178" s="162" t="e">
        <f>(F138/E138)/(1+'Date macro-economice'!F$9)-1</f>
        <v>#DIV/0!</v>
      </c>
      <c r="G178" s="162">
        <f>IFERROR((G138/F138)/(1+'Date macro-economice'!G$9)-1,0)</f>
        <v>0</v>
      </c>
      <c r="H178" s="159"/>
      <c r="I178" s="159"/>
      <c r="J178" s="159"/>
      <c r="K178" s="159"/>
      <c r="L178" s="159"/>
      <c r="M178" s="159">
        <v>0</v>
      </c>
      <c r="N178" s="159">
        <v>0</v>
      </c>
      <c r="O178" s="159">
        <v>0</v>
      </c>
      <c r="Q178" s="35"/>
      <c r="S178" s="238"/>
      <c r="T178" s="238"/>
      <c r="U178" s="238"/>
      <c r="V178" s="238"/>
      <c r="W178" s="238"/>
      <c r="X178" s="238"/>
      <c r="Y178" s="238"/>
      <c r="Z178" s="238"/>
      <c r="AA178" s="238"/>
      <c r="AB178" s="238"/>
    </row>
    <row r="179" spans="2:28" x14ac:dyDescent="0.3">
      <c r="B179" s="35"/>
      <c r="Q179" s="35"/>
      <c r="S179" s="238"/>
      <c r="T179" s="238"/>
      <c r="U179" s="238"/>
      <c r="V179" s="238"/>
      <c r="W179" s="238"/>
      <c r="X179" s="238"/>
      <c r="Y179" s="238"/>
      <c r="Z179" s="238"/>
      <c r="AA179" s="238"/>
      <c r="AB179" s="238"/>
    </row>
    <row r="180" spans="2:28" ht="28.8" x14ac:dyDescent="0.3">
      <c r="B180" s="35"/>
      <c r="C180" s="40" t="s">
        <v>175</v>
      </c>
      <c r="D180" s="43" t="s">
        <v>47</v>
      </c>
      <c r="E180" s="92" t="s">
        <v>92</v>
      </c>
      <c r="F180" s="162" t="e">
        <f>F135/E135-1</f>
        <v>#DIV/0!</v>
      </c>
      <c r="G180" s="162">
        <f>IFERROR(G135/F135-1,0)</f>
        <v>0</v>
      </c>
      <c r="H180" s="166">
        <f>IFERROR('Amortizare si redeventa'!H92,0)</f>
        <v>0</v>
      </c>
      <c r="I180" s="166">
        <f>IFERROR('Amortizare si redeventa'!I92,0)</f>
        <v>0</v>
      </c>
      <c r="J180" s="166">
        <f>IFERROR('Amortizare si redeventa'!J92,0)</f>
        <v>0</v>
      </c>
      <c r="K180" s="166">
        <f>IFERROR('Amortizare si redeventa'!K92,0)</f>
        <v>0</v>
      </c>
      <c r="L180" s="166">
        <f>IFERROR('Amortizare si redeventa'!L92,0)</f>
        <v>0</v>
      </c>
      <c r="M180" s="166">
        <f>IFERROR('Amortizare si redeventa'!M92,0)</f>
        <v>0</v>
      </c>
      <c r="N180" s="166">
        <f>IFERROR('Amortizare si redeventa'!N92,0)</f>
        <v>0</v>
      </c>
      <c r="O180" s="166">
        <f>IFERROR('Amortizare si redeventa'!O92,0)</f>
        <v>0</v>
      </c>
      <c r="Q180" s="35"/>
      <c r="S180" s="238"/>
      <c r="T180" s="238"/>
      <c r="U180" s="238"/>
      <c r="V180" s="238"/>
      <c r="W180" s="238"/>
      <c r="X180" s="238"/>
      <c r="Y180" s="238"/>
      <c r="Z180" s="238"/>
      <c r="AA180" s="238"/>
      <c r="AB180" s="238"/>
    </row>
    <row r="181" spans="2:28" ht="28.8" x14ac:dyDescent="0.3">
      <c r="B181" s="35"/>
      <c r="C181" s="40" t="s">
        <v>176</v>
      </c>
      <c r="D181" s="43" t="s">
        <v>47</v>
      </c>
      <c r="E181" s="92" t="s">
        <v>92</v>
      </c>
      <c r="F181" s="162" t="e">
        <f>F136/E136-1</f>
        <v>#DIV/0!</v>
      </c>
      <c r="G181" s="162">
        <f>IFERROR(G136/F136-1,0)</f>
        <v>0</v>
      </c>
      <c r="H181" s="166">
        <f>IFERROR('Amortizare si redeventa'!H98,0)</f>
        <v>0</v>
      </c>
      <c r="I181" s="166">
        <f>IFERROR('Amortizare si redeventa'!I98,0)</f>
        <v>0</v>
      </c>
      <c r="J181" s="166">
        <f>IFERROR('Amortizare si redeventa'!J98,0)</f>
        <v>0</v>
      </c>
      <c r="K181" s="166">
        <f>IFERROR('Amortizare si redeventa'!K98,0)</f>
        <v>0</v>
      </c>
      <c r="L181" s="166">
        <f>IFERROR('Amortizare si redeventa'!L98,0)</f>
        <v>0</v>
      </c>
      <c r="M181" s="166">
        <f>IFERROR('Amortizare si redeventa'!M98,0)</f>
        <v>0</v>
      </c>
      <c r="N181" s="166">
        <f>IFERROR('Amortizare si redeventa'!N98,0)</f>
        <v>0</v>
      </c>
      <c r="O181" s="166">
        <f>IFERROR('Amortizare si redeventa'!O98,0)</f>
        <v>0</v>
      </c>
      <c r="Q181" s="35"/>
      <c r="S181" s="238"/>
      <c r="T181" s="238"/>
      <c r="U181" s="238"/>
      <c r="V181" s="238"/>
      <c r="W181" s="238"/>
      <c r="X181" s="238"/>
      <c r="Y181" s="238"/>
      <c r="Z181" s="238"/>
      <c r="AA181" s="238"/>
      <c r="AB181" s="238"/>
    </row>
    <row r="182" spans="2:28" x14ac:dyDescent="0.3">
      <c r="B182" s="35"/>
      <c r="Q182" s="35"/>
      <c r="S182" s="238"/>
      <c r="T182" s="238"/>
      <c r="U182" s="238"/>
      <c r="V182" s="238"/>
      <c r="W182" s="238"/>
      <c r="X182" s="238"/>
      <c r="Y182" s="238"/>
      <c r="Z182" s="238"/>
      <c r="AA182" s="238"/>
      <c r="AB182" s="238"/>
    </row>
    <row r="183" spans="2:28" ht="6.6" customHeight="1" x14ac:dyDescent="0.3">
      <c r="B183" s="35"/>
      <c r="C183" s="35"/>
      <c r="D183" s="35"/>
      <c r="E183" s="35"/>
      <c r="F183" s="35"/>
      <c r="G183" s="35"/>
      <c r="H183" s="35"/>
      <c r="I183" s="35"/>
      <c r="J183" s="35"/>
      <c r="K183" s="35"/>
      <c r="L183" s="35"/>
      <c r="M183" s="35"/>
      <c r="N183" s="35"/>
      <c r="O183" s="35"/>
      <c r="P183" s="35"/>
      <c r="Q183" s="35"/>
    </row>
    <row r="185" spans="2:28" ht="8.1" customHeight="1" x14ac:dyDescent="0.3">
      <c r="B185" s="23"/>
      <c r="C185" s="23"/>
      <c r="D185" s="23"/>
      <c r="E185" s="23"/>
      <c r="F185" s="23"/>
      <c r="G185" s="23"/>
      <c r="H185" s="23"/>
      <c r="I185" s="23"/>
      <c r="J185" s="23"/>
      <c r="K185" s="23"/>
      <c r="L185" s="23"/>
      <c r="M185" s="23"/>
      <c r="N185" s="23"/>
      <c r="O185" s="23"/>
      <c r="P185" s="23"/>
      <c r="Q185" s="23"/>
    </row>
    <row r="186" spans="2:28" x14ac:dyDescent="0.3">
      <c r="B186" s="23"/>
      <c r="Q186" s="23"/>
    </row>
    <row r="187" spans="2:28" s="22" customFormat="1" ht="63" customHeight="1" x14ac:dyDescent="0.3">
      <c r="B187" s="35"/>
      <c r="C187" s="86" t="s">
        <v>190</v>
      </c>
      <c r="D187" s="86"/>
      <c r="E187" s="94">
        <f>F187-1</f>
        <v>2022</v>
      </c>
      <c r="F187" s="94">
        <f>G187-1</f>
        <v>2023</v>
      </c>
      <c r="G187" s="95">
        <f>'Date generale'!$D$8</f>
        <v>2024</v>
      </c>
      <c r="H187" s="96">
        <f t="shared" ref="H187:O187" si="42">G187+1</f>
        <v>2025</v>
      </c>
      <c r="I187" s="96">
        <f t="shared" si="42"/>
        <v>2026</v>
      </c>
      <c r="J187" s="96">
        <f t="shared" si="42"/>
        <v>2027</v>
      </c>
      <c r="K187" s="96">
        <f t="shared" si="42"/>
        <v>2028</v>
      </c>
      <c r="L187" s="96">
        <f t="shared" si="42"/>
        <v>2029</v>
      </c>
      <c r="M187" s="96">
        <f t="shared" si="42"/>
        <v>2030</v>
      </c>
      <c r="N187" s="96">
        <f t="shared" si="42"/>
        <v>2031</v>
      </c>
      <c r="O187" s="96">
        <f t="shared" si="42"/>
        <v>2032</v>
      </c>
      <c r="Q187" s="35"/>
      <c r="S187" s="236" t="s">
        <v>191</v>
      </c>
      <c r="T187" s="236"/>
      <c r="U187" s="236"/>
      <c r="V187" s="236"/>
      <c r="W187" s="236"/>
      <c r="X187" s="236"/>
      <c r="Y187" s="236"/>
      <c r="Z187" s="236"/>
      <c r="AA187" s="236"/>
      <c r="AB187" s="236"/>
    </row>
    <row r="188" spans="2:28" x14ac:dyDescent="0.3">
      <c r="B188" s="23"/>
      <c r="C188" s="97"/>
      <c r="D188" s="97"/>
      <c r="E188" s="98">
        <f>F188-1</f>
        <v>-3</v>
      </c>
      <c r="F188" s="98">
        <f>G188-1</f>
        <v>-2</v>
      </c>
      <c r="G188" s="99">
        <v>-1</v>
      </c>
      <c r="H188" s="99">
        <v>0</v>
      </c>
      <c r="I188" s="99">
        <f t="shared" ref="I188:O188" si="43">H188+1</f>
        <v>1</v>
      </c>
      <c r="J188" s="99">
        <f t="shared" si="43"/>
        <v>2</v>
      </c>
      <c r="K188" s="99">
        <f t="shared" si="43"/>
        <v>3</v>
      </c>
      <c r="L188" s="99">
        <f t="shared" si="43"/>
        <v>4</v>
      </c>
      <c r="M188" s="99">
        <f t="shared" si="43"/>
        <v>5</v>
      </c>
      <c r="N188" s="99">
        <f t="shared" si="43"/>
        <v>6</v>
      </c>
      <c r="O188" s="99">
        <f t="shared" si="43"/>
        <v>7</v>
      </c>
      <c r="Q188" s="35"/>
      <c r="S188" s="167" t="s">
        <v>130</v>
      </c>
      <c r="T188" s="167" t="s">
        <v>131</v>
      </c>
      <c r="U188" s="167" t="s">
        <v>132</v>
      </c>
      <c r="V188" s="167" t="s">
        <v>133</v>
      </c>
      <c r="W188" s="167" t="s">
        <v>134</v>
      </c>
      <c r="X188" s="167" t="s">
        <v>135</v>
      </c>
      <c r="Y188" s="167" t="s">
        <v>136</v>
      </c>
      <c r="Z188" s="167" t="s">
        <v>137</v>
      </c>
      <c r="AA188" s="167" t="s">
        <v>138</v>
      </c>
      <c r="AB188" s="167" t="s">
        <v>139</v>
      </c>
    </row>
    <row r="189" spans="2:28" s="24" customFormat="1" x14ac:dyDescent="0.3">
      <c r="B189" s="61"/>
      <c r="C189" s="42"/>
      <c r="D189" s="51"/>
      <c r="E189" s="62"/>
      <c r="F189" s="62"/>
      <c r="G189" s="62"/>
      <c r="H189" s="62"/>
      <c r="I189" s="62"/>
      <c r="J189" s="62"/>
      <c r="K189" s="62"/>
      <c r="L189" s="62"/>
      <c r="M189" s="62"/>
      <c r="N189" s="62"/>
      <c r="O189" s="62"/>
      <c r="Q189" s="35"/>
      <c r="S189" s="238"/>
      <c r="T189" s="238"/>
      <c r="U189" s="238"/>
      <c r="V189" s="238"/>
      <c r="W189" s="238"/>
      <c r="X189" s="238"/>
      <c r="Y189" s="238"/>
      <c r="Z189" s="238"/>
      <c r="AA189" s="238"/>
      <c r="AB189" s="238"/>
    </row>
    <row r="190" spans="2:28" x14ac:dyDescent="0.3">
      <c r="B190" s="23"/>
      <c r="C190" s="50" t="s">
        <v>130</v>
      </c>
      <c r="D190" s="43" t="s">
        <v>141</v>
      </c>
      <c r="E190" s="87">
        <v>0</v>
      </c>
      <c r="F190" s="87">
        <v>0</v>
      </c>
      <c r="G190" s="87">
        <v>0</v>
      </c>
      <c r="H190" s="88">
        <f>H214</f>
        <v>0</v>
      </c>
      <c r="I190" s="88">
        <f t="shared" ref="I190:O190" si="44">I214</f>
        <v>0</v>
      </c>
      <c r="J190" s="88">
        <f t="shared" si="44"/>
        <v>0</v>
      </c>
      <c r="K190" s="88">
        <f t="shared" si="44"/>
        <v>0</v>
      </c>
      <c r="L190" s="88">
        <f t="shared" si="44"/>
        <v>0</v>
      </c>
      <c r="M190" s="88">
        <f t="shared" si="44"/>
        <v>0</v>
      </c>
      <c r="N190" s="88">
        <f t="shared" si="44"/>
        <v>0</v>
      </c>
      <c r="O190" s="88">
        <f t="shared" si="44"/>
        <v>0</v>
      </c>
      <c r="Q190" s="35"/>
      <c r="S190" s="238"/>
      <c r="T190" s="238"/>
      <c r="U190" s="238"/>
      <c r="V190" s="238"/>
      <c r="W190" s="238"/>
      <c r="X190" s="238"/>
      <c r="Y190" s="238"/>
      <c r="Z190" s="238"/>
      <c r="AA190" s="238"/>
      <c r="AB190" s="238"/>
    </row>
    <row r="191" spans="2:28" s="22" customFormat="1" x14ac:dyDescent="0.3">
      <c r="B191" s="35"/>
      <c r="C191" s="50" t="s">
        <v>131</v>
      </c>
      <c r="D191" s="43" t="s">
        <v>141</v>
      </c>
      <c r="E191" s="87">
        <v>0</v>
      </c>
      <c r="F191" s="87">
        <v>0</v>
      </c>
      <c r="G191" s="87">
        <v>0</v>
      </c>
      <c r="H191" s="88">
        <f>H208</f>
        <v>0</v>
      </c>
      <c r="I191" s="88">
        <f t="shared" ref="I191:O191" si="45">I208</f>
        <v>0</v>
      </c>
      <c r="J191" s="88">
        <f t="shared" si="45"/>
        <v>0</v>
      </c>
      <c r="K191" s="88">
        <f t="shared" si="45"/>
        <v>0</v>
      </c>
      <c r="L191" s="88">
        <f t="shared" si="45"/>
        <v>0</v>
      </c>
      <c r="M191" s="88">
        <f t="shared" si="45"/>
        <v>0</v>
      </c>
      <c r="N191" s="88">
        <f t="shared" si="45"/>
        <v>0</v>
      </c>
      <c r="O191" s="88">
        <f t="shared" si="45"/>
        <v>0</v>
      </c>
      <c r="Q191" s="35"/>
      <c r="S191" s="238"/>
      <c r="T191" s="238"/>
      <c r="U191" s="238"/>
      <c r="V191" s="238"/>
      <c r="W191" s="238"/>
      <c r="X191" s="238"/>
      <c r="Y191" s="238"/>
      <c r="Z191" s="238"/>
      <c r="AA191" s="238"/>
      <c r="AB191" s="238"/>
    </row>
    <row r="192" spans="2:28" s="53" customFormat="1" x14ac:dyDescent="0.3">
      <c r="B192" s="63"/>
      <c r="C192" s="40" t="s">
        <v>132</v>
      </c>
      <c r="D192" s="43" t="s">
        <v>141</v>
      </c>
      <c r="E192" s="87">
        <v>0</v>
      </c>
      <c r="F192" s="87">
        <v>0</v>
      </c>
      <c r="G192" s="87">
        <v>0</v>
      </c>
      <c r="H192" s="88">
        <f>G192*(1+'Date macro-economice'!H$9)*(1+'Costuri operare'!H216)</f>
        <v>0</v>
      </c>
      <c r="I192" s="88">
        <f>H192*(1+'Date macro-economice'!I$9)*(1+'Costuri operare'!I216)</f>
        <v>0</v>
      </c>
      <c r="J192" s="88">
        <f>I192*(1+'Date macro-economice'!J$9)*(1+'Costuri operare'!J216)</f>
        <v>0</v>
      </c>
      <c r="K192" s="88">
        <f>J192*(1+'Date macro-economice'!K$9)*(1+'Costuri operare'!K216)</f>
        <v>0</v>
      </c>
      <c r="L192" s="88">
        <f>K192*(1+'Date macro-economice'!L$9)*(1+'Costuri operare'!L216)</f>
        <v>0</v>
      </c>
      <c r="M192" s="88">
        <f>L192*(1+'Date macro-economice'!M$9)*(1+'Costuri operare'!M216)</f>
        <v>0</v>
      </c>
      <c r="N192" s="88">
        <f>M192*(1+'Date macro-economice'!N$9)*(1+'Costuri operare'!N216)</f>
        <v>0</v>
      </c>
      <c r="O192" s="88">
        <f>N192*(1+'Date macro-economice'!O$9)*(1+'Costuri operare'!O216)</f>
        <v>0</v>
      </c>
      <c r="Q192" s="35"/>
      <c r="S192" s="238"/>
      <c r="T192" s="238"/>
      <c r="U192" s="238"/>
      <c r="V192" s="238"/>
      <c r="W192" s="238"/>
      <c r="X192" s="238"/>
      <c r="Y192" s="238"/>
      <c r="Z192" s="238"/>
      <c r="AA192" s="238"/>
      <c r="AB192" s="238"/>
    </row>
    <row r="193" spans="2:28" s="22" customFormat="1" x14ac:dyDescent="0.3">
      <c r="B193" s="35"/>
      <c r="C193" s="40" t="s">
        <v>133</v>
      </c>
      <c r="D193" s="43" t="s">
        <v>141</v>
      </c>
      <c r="E193" s="87">
        <v>0</v>
      </c>
      <c r="F193" s="87">
        <v>0</v>
      </c>
      <c r="G193" s="87">
        <v>0</v>
      </c>
      <c r="H193" s="88">
        <f t="shared" ref="H193:O193" si="46">H223</f>
        <v>0</v>
      </c>
      <c r="I193" s="88">
        <f t="shared" si="46"/>
        <v>0</v>
      </c>
      <c r="J193" s="88">
        <f t="shared" si="46"/>
        <v>0</v>
      </c>
      <c r="K193" s="88">
        <f t="shared" si="46"/>
        <v>0</v>
      </c>
      <c r="L193" s="88">
        <f t="shared" si="46"/>
        <v>0</v>
      </c>
      <c r="M193" s="88">
        <f t="shared" si="46"/>
        <v>0</v>
      </c>
      <c r="N193" s="88">
        <f t="shared" si="46"/>
        <v>0</v>
      </c>
      <c r="O193" s="88">
        <f t="shared" si="46"/>
        <v>0</v>
      </c>
      <c r="Q193" s="35"/>
      <c r="S193" s="238"/>
      <c r="T193" s="238"/>
      <c r="U193" s="238"/>
      <c r="V193" s="238"/>
      <c r="W193" s="238"/>
      <c r="X193" s="238"/>
      <c r="Y193" s="238"/>
      <c r="Z193" s="238"/>
      <c r="AA193" s="238"/>
      <c r="AB193" s="238"/>
    </row>
    <row r="194" spans="2:28" s="22" customFormat="1" x14ac:dyDescent="0.3">
      <c r="B194" s="35"/>
      <c r="C194" s="40" t="s">
        <v>134</v>
      </c>
      <c r="D194" s="43" t="s">
        <v>141</v>
      </c>
      <c r="E194" s="87">
        <v>0</v>
      </c>
      <c r="F194" s="87">
        <v>0</v>
      </c>
      <c r="G194" s="87">
        <v>0</v>
      </c>
      <c r="H194" s="88">
        <f t="shared" ref="H194:O194" si="47">H226+H227+H228</f>
        <v>0</v>
      </c>
      <c r="I194" s="88">
        <f t="shared" si="47"/>
        <v>0</v>
      </c>
      <c r="J194" s="88">
        <f t="shared" si="47"/>
        <v>0</v>
      </c>
      <c r="K194" s="88">
        <f t="shared" si="47"/>
        <v>0</v>
      </c>
      <c r="L194" s="88">
        <f t="shared" si="47"/>
        <v>0</v>
      </c>
      <c r="M194" s="88">
        <f t="shared" si="47"/>
        <v>0</v>
      </c>
      <c r="N194" s="88">
        <f t="shared" si="47"/>
        <v>0</v>
      </c>
      <c r="O194" s="88">
        <f t="shared" si="47"/>
        <v>0</v>
      </c>
      <c r="Q194" s="35"/>
      <c r="S194" s="238"/>
      <c r="T194" s="238"/>
      <c r="U194" s="238"/>
      <c r="V194" s="238"/>
      <c r="W194" s="238"/>
      <c r="X194" s="238"/>
      <c r="Y194" s="238"/>
      <c r="Z194" s="238"/>
      <c r="AA194" s="238"/>
      <c r="AB194" s="238"/>
    </row>
    <row r="195" spans="2:28" s="22" customFormat="1" x14ac:dyDescent="0.3">
      <c r="B195" s="35"/>
      <c r="C195" s="40" t="s">
        <v>135</v>
      </c>
      <c r="D195" s="43" t="s">
        <v>141</v>
      </c>
      <c r="E195" s="87">
        <v>0</v>
      </c>
      <c r="F195" s="87">
        <v>0</v>
      </c>
      <c r="G195" s="87">
        <v>0</v>
      </c>
      <c r="H195" s="88">
        <f>G195*(1+H238)*(1+'Date macro-economice'!H$9)</f>
        <v>0</v>
      </c>
      <c r="I195" s="88">
        <f>H195*(1+I238)*(1+'Date macro-economice'!I$9)</f>
        <v>0</v>
      </c>
      <c r="J195" s="88">
        <f>I195*(1+J238)*(1+'Date macro-economice'!J$9)</f>
        <v>0</v>
      </c>
      <c r="K195" s="88">
        <f>J195*(1+K238)*(1+'Date macro-economice'!K$9)</f>
        <v>0</v>
      </c>
      <c r="L195" s="88">
        <f>K195*(1+L238)*(1+'Date macro-economice'!L$9)</f>
        <v>0</v>
      </c>
      <c r="M195" s="88">
        <f>L195*(1+M238)*(1+'Date macro-economice'!M$9)</f>
        <v>0</v>
      </c>
      <c r="N195" s="88">
        <f>M195*(1+N238)*(1+'Date macro-economice'!N$9)</f>
        <v>0</v>
      </c>
      <c r="O195" s="88">
        <f>N195*(1+O238)*(1+'Date macro-economice'!O$9)</f>
        <v>0</v>
      </c>
      <c r="Q195" s="35"/>
      <c r="S195" s="238"/>
      <c r="T195" s="238"/>
      <c r="U195" s="238"/>
      <c r="V195" s="238"/>
      <c r="W195" s="238"/>
      <c r="X195" s="238"/>
      <c r="Y195" s="238"/>
      <c r="Z195" s="238"/>
      <c r="AA195" s="238"/>
      <c r="AB195" s="238"/>
    </row>
    <row r="196" spans="2:28" s="22" customFormat="1" x14ac:dyDescent="0.3">
      <c r="B196" s="35"/>
      <c r="C196" s="40" t="s">
        <v>136</v>
      </c>
      <c r="D196" s="43" t="s">
        <v>141</v>
      </c>
      <c r="E196" s="87">
        <v>0</v>
      </c>
      <c r="F196" s="87">
        <v>0</v>
      </c>
      <c r="G196" s="87">
        <v>0</v>
      </c>
      <c r="H196" s="88">
        <f>G196*(1+H239)*(1+'Date macro-economice'!H$9)</f>
        <v>0</v>
      </c>
      <c r="I196" s="88">
        <f>H196*(1+I239)*(1+'Date macro-economice'!I$9)</f>
        <v>0</v>
      </c>
      <c r="J196" s="88">
        <f>I196*(1+J239)*(1+'Date macro-economice'!J$9)</f>
        <v>0</v>
      </c>
      <c r="K196" s="88">
        <f>J196*(1+K239)*(1+'Date macro-economice'!K$9)</f>
        <v>0</v>
      </c>
      <c r="L196" s="88">
        <f>K196*(1+L239)*(1+'Date macro-economice'!L$9)</f>
        <v>0</v>
      </c>
      <c r="M196" s="88">
        <f>L196*(1+M239)*(1+'Date macro-economice'!M$9)</f>
        <v>0</v>
      </c>
      <c r="N196" s="88">
        <f>M196*(1+N239)*(1+'Date macro-economice'!N$9)</f>
        <v>0</v>
      </c>
      <c r="O196" s="88">
        <f>N196*(1+O239)*(1+'Date macro-economice'!O$9)</f>
        <v>0</v>
      </c>
      <c r="Q196" s="35"/>
      <c r="S196" s="238"/>
      <c r="T196" s="238"/>
      <c r="U196" s="238"/>
      <c r="V196" s="238"/>
      <c r="W196" s="238"/>
      <c r="X196" s="238"/>
      <c r="Y196" s="238"/>
      <c r="Z196" s="238"/>
      <c r="AA196" s="238"/>
      <c r="AB196" s="238"/>
    </row>
    <row r="197" spans="2:28" s="22" customFormat="1" x14ac:dyDescent="0.3">
      <c r="B197" s="35"/>
      <c r="C197" s="40" t="s">
        <v>137</v>
      </c>
      <c r="D197" s="43" t="s">
        <v>141</v>
      </c>
      <c r="E197" s="87">
        <v>0</v>
      </c>
      <c r="F197" s="87">
        <v>0</v>
      </c>
      <c r="G197" s="87">
        <v>0</v>
      </c>
      <c r="H197" s="88">
        <f t="shared" ref="H197:O198" si="48">G197*(1+H242)</f>
        <v>0</v>
      </c>
      <c r="I197" s="88">
        <f t="shared" si="48"/>
        <v>0</v>
      </c>
      <c r="J197" s="88">
        <f t="shared" si="48"/>
        <v>0</v>
      </c>
      <c r="K197" s="88">
        <f t="shared" si="48"/>
        <v>0</v>
      </c>
      <c r="L197" s="88">
        <f t="shared" si="48"/>
        <v>0</v>
      </c>
      <c r="M197" s="88">
        <f t="shared" si="48"/>
        <v>0</v>
      </c>
      <c r="N197" s="88">
        <f t="shared" si="48"/>
        <v>0</v>
      </c>
      <c r="O197" s="88">
        <f t="shared" si="48"/>
        <v>0</v>
      </c>
      <c r="Q197" s="35"/>
      <c r="S197" s="238"/>
      <c r="T197" s="238"/>
      <c r="U197" s="238"/>
      <c r="V197" s="238"/>
      <c r="W197" s="238"/>
      <c r="X197" s="238"/>
      <c r="Y197" s="238"/>
      <c r="Z197" s="238"/>
      <c r="AA197" s="238"/>
      <c r="AB197" s="238"/>
    </row>
    <row r="198" spans="2:28" s="22" customFormat="1" x14ac:dyDescent="0.3">
      <c r="B198" s="35"/>
      <c r="C198" s="40" t="s">
        <v>138</v>
      </c>
      <c r="D198" s="43" t="s">
        <v>141</v>
      </c>
      <c r="E198" s="87">
        <v>0</v>
      </c>
      <c r="F198" s="87">
        <v>0</v>
      </c>
      <c r="G198" s="87">
        <v>0</v>
      </c>
      <c r="H198" s="88">
        <f t="shared" si="48"/>
        <v>0</v>
      </c>
      <c r="I198" s="88">
        <f t="shared" si="48"/>
        <v>0</v>
      </c>
      <c r="J198" s="88">
        <f t="shared" si="48"/>
        <v>0</v>
      </c>
      <c r="K198" s="88">
        <f t="shared" si="48"/>
        <v>0</v>
      </c>
      <c r="L198" s="88">
        <f t="shared" si="48"/>
        <v>0</v>
      </c>
      <c r="M198" s="88">
        <f t="shared" si="48"/>
        <v>0</v>
      </c>
      <c r="N198" s="88">
        <f t="shared" si="48"/>
        <v>0</v>
      </c>
      <c r="O198" s="88">
        <f t="shared" si="48"/>
        <v>0</v>
      </c>
      <c r="Q198" s="35"/>
      <c r="S198" s="238"/>
      <c r="T198" s="238"/>
      <c r="U198" s="238"/>
      <c r="V198" s="238"/>
      <c r="W198" s="238"/>
      <c r="X198" s="238"/>
      <c r="Y198" s="238"/>
      <c r="Z198" s="238"/>
      <c r="AA198" s="238"/>
      <c r="AB198" s="238"/>
    </row>
    <row r="199" spans="2:28" s="22" customFormat="1" ht="28.8" x14ac:dyDescent="0.3">
      <c r="B199" s="35"/>
      <c r="C199" s="40" t="s">
        <v>142</v>
      </c>
      <c r="D199" s="43" t="s">
        <v>141</v>
      </c>
      <c r="E199" s="87">
        <v>0</v>
      </c>
      <c r="F199" s="87">
        <v>0</v>
      </c>
      <c r="G199" s="87">
        <v>0</v>
      </c>
      <c r="H199" s="87">
        <v>0</v>
      </c>
      <c r="I199" s="87">
        <v>0</v>
      </c>
      <c r="J199" s="87">
        <v>0</v>
      </c>
      <c r="K199" s="87">
        <v>0</v>
      </c>
      <c r="L199" s="87">
        <v>0</v>
      </c>
      <c r="M199" s="87">
        <v>0</v>
      </c>
      <c r="N199" s="87">
        <v>0</v>
      </c>
      <c r="O199" s="87">
        <v>0</v>
      </c>
      <c r="Q199" s="35"/>
      <c r="S199" s="238"/>
      <c r="T199" s="238"/>
      <c r="U199" s="238"/>
      <c r="V199" s="238"/>
      <c r="W199" s="238"/>
      <c r="X199" s="238"/>
      <c r="Y199" s="238"/>
      <c r="Z199" s="238"/>
      <c r="AA199" s="238"/>
      <c r="AB199" s="238"/>
    </row>
    <row r="200" spans="2:28" s="22" customFormat="1" x14ac:dyDescent="0.3">
      <c r="B200" s="35"/>
      <c r="C200" s="155" t="s">
        <v>143</v>
      </c>
      <c r="D200" s="129" t="s">
        <v>141</v>
      </c>
      <c r="E200" s="87">
        <v>0</v>
      </c>
      <c r="F200" s="87">
        <v>0</v>
      </c>
      <c r="G200" s="87">
        <v>0</v>
      </c>
      <c r="H200" s="88">
        <f>G200*(1+H240)*(1+'Date macro-economice'!H$9)</f>
        <v>0</v>
      </c>
      <c r="I200" s="88">
        <f>H200*(1+I240)*(1+'Date macro-economice'!I$9)</f>
        <v>0</v>
      </c>
      <c r="J200" s="88">
        <f>I200*(1+J240)*(1+'Date macro-economice'!J$9)</f>
        <v>0</v>
      </c>
      <c r="K200" s="88">
        <f>J200*(1+K240)*(1+'Date macro-economice'!K$9)</f>
        <v>0</v>
      </c>
      <c r="L200" s="88">
        <f>K200*(1+L240)*(1+'Date macro-economice'!L$9)</f>
        <v>0</v>
      </c>
      <c r="M200" s="88">
        <f>L200*(1+M240)*(1+'Date macro-economice'!M$9)</f>
        <v>0</v>
      </c>
      <c r="N200" s="88">
        <f>M200*(1+N240)*(1+'Date macro-economice'!N$9)</f>
        <v>0</v>
      </c>
      <c r="O200" s="88">
        <f>N200*(1+O240)*(1+'Date macro-economice'!O$9)</f>
        <v>0</v>
      </c>
      <c r="Q200" s="35"/>
      <c r="S200" s="238"/>
      <c r="T200" s="238"/>
      <c r="U200" s="238"/>
      <c r="V200" s="238"/>
      <c r="W200" s="238"/>
      <c r="X200" s="238"/>
      <c r="Y200" s="238"/>
      <c r="Z200" s="238"/>
      <c r="AA200" s="238"/>
      <c r="AB200" s="238"/>
    </row>
    <row r="201" spans="2:28" s="22" customFormat="1" x14ac:dyDescent="0.3">
      <c r="B201" s="35"/>
      <c r="C201" s="42" t="s">
        <v>144</v>
      </c>
      <c r="D201" s="51" t="s">
        <v>141</v>
      </c>
      <c r="E201" s="62">
        <f t="shared" ref="E201:O201" si="49">SUM(E190:E200)</f>
        <v>0</v>
      </c>
      <c r="F201" s="62">
        <f t="shared" si="49"/>
        <v>0</v>
      </c>
      <c r="G201" s="62">
        <f t="shared" si="49"/>
        <v>0</v>
      </c>
      <c r="H201" s="62">
        <f t="shared" si="49"/>
        <v>0</v>
      </c>
      <c r="I201" s="62">
        <f t="shared" si="49"/>
        <v>0</v>
      </c>
      <c r="J201" s="62">
        <f t="shared" si="49"/>
        <v>0</v>
      </c>
      <c r="K201" s="62">
        <f t="shared" si="49"/>
        <v>0</v>
      </c>
      <c r="L201" s="62">
        <f t="shared" si="49"/>
        <v>0</v>
      </c>
      <c r="M201" s="62">
        <f t="shared" si="49"/>
        <v>0</v>
      </c>
      <c r="N201" s="62">
        <f t="shared" si="49"/>
        <v>0</v>
      </c>
      <c r="O201" s="62">
        <f t="shared" si="49"/>
        <v>0</v>
      </c>
      <c r="Q201" s="35"/>
      <c r="S201" s="238"/>
      <c r="T201" s="238"/>
      <c r="U201" s="238"/>
      <c r="V201" s="238"/>
      <c r="W201" s="238"/>
      <c r="X201" s="238"/>
      <c r="Y201" s="238"/>
      <c r="Z201" s="238"/>
      <c r="AA201" s="238"/>
      <c r="AB201" s="238"/>
    </row>
    <row r="202" spans="2:28" s="22" customFormat="1" x14ac:dyDescent="0.3">
      <c r="B202" s="35"/>
      <c r="Q202" s="35"/>
      <c r="S202" s="238"/>
      <c r="T202" s="238"/>
      <c r="U202" s="238"/>
      <c r="V202" s="238"/>
      <c r="W202" s="238"/>
      <c r="X202" s="238"/>
      <c r="Y202" s="238"/>
      <c r="Z202" s="238"/>
      <c r="AA202" s="238"/>
      <c r="AB202" s="238"/>
    </row>
    <row r="203" spans="2:28" s="22" customFormat="1" x14ac:dyDescent="0.3">
      <c r="B203" s="35"/>
      <c r="Q203" s="35"/>
      <c r="S203" s="238"/>
      <c r="T203" s="238"/>
      <c r="U203" s="238"/>
      <c r="V203" s="238"/>
      <c r="W203" s="238"/>
      <c r="X203" s="238"/>
      <c r="Y203" s="238"/>
      <c r="Z203" s="238"/>
      <c r="AA203" s="238"/>
      <c r="AB203" s="238"/>
    </row>
    <row r="204" spans="2:28" s="22" customFormat="1" x14ac:dyDescent="0.3">
      <c r="B204" s="35"/>
      <c r="C204" s="66" t="s">
        <v>145</v>
      </c>
      <c r="D204" s="40"/>
      <c r="E204" s="40"/>
      <c r="F204" s="40"/>
      <c r="G204" s="40"/>
      <c r="H204" s="40"/>
      <c r="I204" s="40"/>
      <c r="J204" s="40"/>
      <c r="K204" s="40"/>
      <c r="L204" s="40"/>
      <c r="M204" s="40"/>
      <c r="N204" s="40"/>
      <c r="O204" s="40"/>
      <c r="Q204" s="35"/>
      <c r="S204" s="238"/>
      <c r="T204" s="238"/>
      <c r="U204" s="238"/>
      <c r="V204" s="238"/>
      <c r="W204" s="238"/>
      <c r="X204" s="238"/>
      <c r="Y204" s="238"/>
      <c r="Z204" s="238"/>
      <c r="AA204" s="238"/>
      <c r="AB204" s="238"/>
    </row>
    <row r="205" spans="2:28" s="22" customFormat="1" x14ac:dyDescent="0.3">
      <c r="B205" s="35"/>
      <c r="C205" s="40" t="s">
        <v>189</v>
      </c>
      <c r="D205" s="43" t="s">
        <v>83</v>
      </c>
      <c r="E205" s="87">
        <v>0</v>
      </c>
      <c r="F205" s="87">
        <v>0</v>
      </c>
      <c r="G205" s="87">
        <v>0</v>
      </c>
      <c r="H205" s="87">
        <v>0</v>
      </c>
      <c r="I205" s="87">
        <v>0</v>
      </c>
      <c r="J205" s="87">
        <v>0</v>
      </c>
      <c r="K205" s="87">
        <v>0</v>
      </c>
      <c r="L205" s="87">
        <v>0</v>
      </c>
      <c r="M205" s="87">
        <v>0</v>
      </c>
      <c r="N205" s="87">
        <v>0</v>
      </c>
      <c r="O205" s="87">
        <v>0</v>
      </c>
      <c r="Q205" s="35"/>
      <c r="S205" s="238"/>
      <c r="T205" s="238"/>
      <c r="U205" s="238"/>
      <c r="V205" s="238"/>
      <c r="W205" s="238"/>
      <c r="X205" s="238"/>
      <c r="Y205" s="238"/>
      <c r="Z205" s="238"/>
      <c r="AA205" s="238"/>
      <c r="AB205" s="238"/>
    </row>
    <row r="206" spans="2:28" s="22" customFormat="1" x14ac:dyDescent="0.3">
      <c r="B206" s="35"/>
      <c r="C206" s="40" t="s">
        <v>147</v>
      </c>
      <c r="D206" s="43" t="s">
        <v>36</v>
      </c>
      <c r="E206" s="150" t="e">
        <f>E208/E205</f>
        <v>#DIV/0!</v>
      </c>
      <c r="F206" s="150" t="e">
        <f>F208/F205</f>
        <v>#DIV/0!</v>
      </c>
      <c r="G206" s="150">
        <f>IFERROR(G208/G205,0)</f>
        <v>0</v>
      </c>
      <c r="H206" s="150">
        <f>G206*(1+'Date macro-economice'!H$9)*(1+'Costuri operare'!H207)</f>
        <v>0</v>
      </c>
      <c r="I206" s="150">
        <f>H206*(1+'Date macro-economice'!I$9)*(1+'Costuri operare'!I207)</f>
        <v>0</v>
      </c>
      <c r="J206" s="150">
        <f>I206*(1+'Date macro-economice'!J$9)*(1+'Costuri operare'!J207)</f>
        <v>0</v>
      </c>
      <c r="K206" s="150">
        <f>J206*(1+'Date macro-economice'!K$9)*(1+'Costuri operare'!K207)</f>
        <v>0</v>
      </c>
      <c r="L206" s="150">
        <f>K206*(1+'Date macro-economice'!L$9)*(1+'Costuri operare'!L207)</f>
        <v>0</v>
      </c>
      <c r="M206" s="150">
        <f>L206*(1+'Date macro-economice'!M$9)*(1+'Costuri operare'!M207)</f>
        <v>0</v>
      </c>
      <c r="N206" s="150">
        <f>M206*(1+'Date macro-economice'!N$9)*(1+'Costuri operare'!N207)</f>
        <v>0</v>
      </c>
      <c r="O206" s="150">
        <f>N206*(1+'Date macro-economice'!O$9)*(1+'Costuri operare'!O207)</f>
        <v>0</v>
      </c>
      <c r="Q206" s="35"/>
      <c r="S206" s="238"/>
      <c r="T206" s="238"/>
      <c r="U206" s="238"/>
      <c r="V206" s="238"/>
      <c r="W206" s="238"/>
      <c r="X206" s="238"/>
      <c r="Y206" s="238"/>
      <c r="Z206" s="238"/>
      <c r="AA206" s="238"/>
      <c r="AB206" s="238"/>
    </row>
    <row r="207" spans="2:28" s="22" customFormat="1" x14ac:dyDescent="0.3">
      <c r="B207" s="35"/>
      <c r="C207" s="40" t="s">
        <v>148</v>
      </c>
      <c r="D207" s="43" t="s">
        <v>47</v>
      </c>
      <c r="E207" s="158" t="s">
        <v>92</v>
      </c>
      <c r="F207" s="36" t="e">
        <f>(F206/E206)/(1+'Date macro-economice'!F$9)-1</f>
        <v>#DIV/0!</v>
      </c>
      <c r="G207" s="36" t="e">
        <f>(G206/F206)/(1+'Date macro-economice'!G$9)-1</f>
        <v>#DIV/0!</v>
      </c>
      <c r="H207" s="159">
        <v>0</v>
      </c>
      <c r="I207" s="159">
        <v>0</v>
      </c>
      <c r="J207" s="159">
        <v>0</v>
      </c>
      <c r="K207" s="159">
        <v>0</v>
      </c>
      <c r="L207" s="159">
        <v>0</v>
      </c>
      <c r="M207" s="159">
        <v>0</v>
      </c>
      <c r="N207" s="159">
        <v>0</v>
      </c>
      <c r="O207" s="159">
        <v>0</v>
      </c>
      <c r="Q207" s="35"/>
      <c r="S207" s="238"/>
      <c r="T207" s="238"/>
      <c r="U207" s="238"/>
      <c r="V207" s="238"/>
      <c r="W207" s="238"/>
      <c r="X207" s="238"/>
      <c r="Y207" s="238"/>
      <c r="Z207" s="238"/>
      <c r="AA207" s="238"/>
      <c r="AB207" s="238"/>
    </row>
    <row r="208" spans="2:28" x14ac:dyDescent="0.3">
      <c r="B208" s="35"/>
      <c r="C208" s="81" t="s">
        <v>149</v>
      </c>
      <c r="D208" s="82" t="s">
        <v>141</v>
      </c>
      <c r="E208" s="91">
        <f>E191</f>
        <v>0</v>
      </c>
      <c r="F208" s="91">
        <f>F191</f>
        <v>0</v>
      </c>
      <c r="G208" s="91">
        <f>G191</f>
        <v>0</v>
      </c>
      <c r="H208" s="91">
        <f>H205*H206</f>
        <v>0</v>
      </c>
      <c r="I208" s="91">
        <f t="shared" ref="I208:O208" si="50">I205*I206</f>
        <v>0</v>
      </c>
      <c r="J208" s="91">
        <f t="shared" si="50"/>
        <v>0</v>
      </c>
      <c r="K208" s="91">
        <f t="shared" si="50"/>
        <v>0</v>
      </c>
      <c r="L208" s="91">
        <f t="shared" si="50"/>
        <v>0</v>
      </c>
      <c r="M208" s="91">
        <f t="shared" si="50"/>
        <v>0</v>
      </c>
      <c r="N208" s="91">
        <f t="shared" si="50"/>
        <v>0</v>
      </c>
      <c r="O208" s="91">
        <f t="shared" si="50"/>
        <v>0</v>
      </c>
      <c r="Q208" s="35"/>
      <c r="S208" s="238"/>
      <c r="T208" s="238"/>
      <c r="U208" s="238"/>
      <c r="V208" s="238"/>
      <c r="W208" s="238"/>
      <c r="X208" s="238"/>
      <c r="Y208" s="238"/>
      <c r="Z208" s="238"/>
      <c r="AA208" s="238"/>
      <c r="AB208" s="238"/>
    </row>
    <row r="209" spans="2:28" x14ac:dyDescent="0.3">
      <c r="B209" s="35"/>
      <c r="Q209" s="35"/>
      <c r="S209" s="238"/>
      <c r="T209" s="238"/>
      <c r="U209" s="238"/>
      <c r="V209" s="238"/>
      <c r="W209" s="238"/>
      <c r="X209" s="238"/>
      <c r="Y209" s="238"/>
      <c r="Z209" s="238"/>
      <c r="AA209" s="238"/>
      <c r="AB209" s="238"/>
    </row>
    <row r="210" spans="2:28" s="22" customFormat="1" x14ac:dyDescent="0.3">
      <c r="B210" s="35"/>
      <c r="C210" s="66" t="s">
        <v>150</v>
      </c>
      <c r="D210" s="40"/>
      <c r="E210" s="40"/>
      <c r="F210" s="40"/>
      <c r="G210" s="40"/>
      <c r="H210" s="40"/>
      <c r="I210" s="40"/>
      <c r="J210" s="40"/>
      <c r="K210" s="40"/>
      <c r="L210" s="40"/>
      <c r="M210" s="40"/>
      <c r="N210" s="40"/>
      <c r="O210" s="40"/>
      <c r="Q210" s="35"/>
      <c r="S210" s="238"/>
      <c r="T210" s="238"/>
      <c r="U210" s="238"/>
      <c r="V210" s="238"/>
      <c r="W210" s="238"/>
      <c r="X210" s="238"/>
      <c r="Y210" s="238"/>
      <c r="Z210" s="238"/>
      <c r="AA210" s="238"/>
      <c r="AB210" s="238"/>
    </row>
    <row r="211" spans="2:28" s="22" customFormat="1" x14ac:dyDescent="0.3">
      <c r="B211" s="35"/>
      <c r="C211" s="40" t="s">
        <v>151</v>
      </c>
      <c r="D211" s="43" t="s">
        <v>83</v>
      </c>
      <c r="E211" s="87">
        <v>0</v>
      </c>
      <c r="F211" s="87">
        <v>0</v>
      </c>
      <c r="G211" s="87">
        <v>0</v>
      </c>
      <c r="H211" s="87">
        <v>0</v>
      </c>
      <c r="I211" s="87">
        <v>0</v>
      </c>
      <c r="J211" s="87">
        <v>0</v>
      </c>
      <c r="K211" s="87">
        <v>0</v>
      </c>
      <c r="L211" s="87">
        <v>0</v>
      </c>
      <c r="M211" s="87">
        <v>0</v>
      </c>
      <c r="N211" s="87">
        <v>0</v>
      </c>
      <c r="O211" s="87">
        <v>0</v>
      </c>
      <c r="Q211" s="35"/>
      <c r="S211" s="238"/>
      <c r="T211" s="238"/>
      <c r="U211" s="238"/>
      <c r="V211" s="238"/>
      <c r="W211" s="238"/>
      <c r="X211" s="238"/>
      <c r="Y211" s="238"/>
      <c r="Z211" s="238"/>
      <c r="AA211" s="238"/>
      <c r="AB211" s="238"/>
    </row>
    <row r="212" spans="2:28" s="22" customFormat="1" x14ac:dyDescent="0.3">
      <c r="B212" s="35"/>
      <c r="C212" s="40" t="s">
        <v>147</v>
      </c>
      <c r="D212" s="43" t="s">
        <v>36</v>
      </c>
      <c r="E212" s="170" t="e">
        <f>E214/E211</f>
        <v>#DIV/0!</v>
      </c>
      <c r="F212" s="170" t="e">
        <f>F214/F211</f>
        <v>#DIV/0!</v>
      </c>
      <c r="G212" s="170">
        <f>IFERROR(G214/G211,0)</f>
        <v>0</v>
      </c>
      <c r="H212" s="40">
        <f>G212*(1+'Date macro-economice'!G$9)*(1+'Costuri operare'!H213)</f>
        <v>0</v>
      </c>
      <c r="I212" s="40">
        <f>H212*(1+'Date macro-economice'!H$9)*(1+'Costuri operare'!I213)</f>
        <v>0</v>
      </c>
      <c r="J212" s="40">
        <f>I212*(1+'Date macro-economice'!I$9)*(1+'Costuri operare'!J213)</f>
        <v>0</v>
      </c>
      <c r="K212" s="40">
        <f>J212*(1+'Date macro-economice'!J$9)*(1+'Costuri operare'!K213)</f>
        <v>0</v>
      </c>
      <c r="L212" s="40">
        <f>K212*(1+'Date macro-economice'!K$9)*(1+'Costuri operare'!L213)</f>
        <v>0</v>
      </c>
      <c r="M212" s="40">
        <f>L212*(1+'Date macro-economice'!L$9)*(1+'Costuri operare'!M213)</f>
        <v>0</v>
      </c>
      <c r="N212" s="40">
        <f>M212*(1+'Date macro-economice'!M$9)*(1+'Costuri operare'!N213)</f>
        <v>0</v>
      </c>
      <c r="O212" s="40">
        <f>N212*(1+'Date macro-economice'!N$9)*(1+'Costuri operare'!O213)</f>
        <v>0</v>
      </c>
      <c r="Q212" s="35"/>
      <c r="S212" s="238"/>
      <c r="T212" s="238"/>
      <c r="U212" s="238"/>
      <c r="V212" s="238"/>
      <c r="W212" s="238"/>
      <c r="X212" s="238"/>
      <c r="Y212" s="238"/>
      <c r="Z212" s="238"/>
      <c r="AA212" s="238"/>
      <c r="AB212" s="238"/>
    </row>
    <row r="213" spans="2:28" s="22" customFormat="1" x14ac:dyDescent="0.3">
      <c r="B213" s="35"/>
      <c r="C213" s="40" t="s">
        <v>148</v>
      </c>
      <c r="D213" s="43" t="s">
        <v>47</v>
      </c>
      <c r="E213" s="158" t="s">
        <v>92</v>
      </c>
      <c r="F213" s="36" t="e">
        <f>(F212/E212)/(1+'Date macro-economice'!F$9)-1</f>
        <v>#DIV/0!</v>
      </c>
      <c r="G213" s="36" t="e">
        <f>(G212/F212)/(1+'Date macro-economice'!G$9)-1</f>
        <v>#DIV/0!</v>
      </c>
      <c r="H213" s="159">
        <v>0</v>
      </c>
      <c r="I213" s="159">
        <v>0</v>
      </c>
      <c r="J213" s="159">
        <v>0</v>
      </c>
      <c r="K213" s="159">
        <v>0</v>
      </c>
      <c r="L213" s="159">
        <v>0</v>
      </c>
      <c r="M213" s="159">
        <v>0</v>
      </c>
      <c r="N213" s="159">
        <v>0</v>
      </c>
      <c r="O213" s="159">
        <v>0</v>
      </c>
      <c r="Q213" s="35"/>
      <c r="S213" s="238"/>
      <c r="T213" s="238"/>
      <c r="U213" s="238"/>
      <c r="V213" s="238"/>
      <c r="W213" s="238"/>
      <c r="X213" s="238"/>
      <c r="Y213" s="238"/>
      <c r="Z213" s="238"/>
      <c r="AA213" s="238"/>
      <c r="AB213" s="238"/>
    </row>
    <row r="214" spans="2:28" x14ac:dyDescent="0.3">
      <c r="B214" s="35"/>
      <c r="C214" s="81" t="s">
        <v>149</v>
      </c>
      <c r="D214" s="82" t="s">
        <v>141</v>
      </c>
      <c r="E214" s="91">
        <f>E190</f>
        <v>0</v>
      </c>
      <c r="F214" s="91">
        <f>F190</f>
        <v>0</v>
      </c>
      <c r="G214" s="91">
        <f>G190</f>
        <v>0</v>
      </c>
      <c r="H214" s="91">
        <f>H211*H212</f>
        <v>0</v>
      </c>
      <c r="I214" s="91">
        <f t="shared" ref="I214:O214" si="51">I211*I212</f>
        <v>0</v>
      </c>
      <c r="J214" s="91">
        <f t="shared" si="51"/>
        <v>0</v>
      </c>
      <c r="K214" s="91">
        <f t="shared" si="51"/>
        <v>0</v>
      </c>
      <c r="L214" s="91">
        <f t="shared" si="51"/>
        <v>0</v>
      </c>
      <c r="M214" s="91">
        <f t="shared" si="51"/>
        <v>0</v>
      </c>
      <c r="N214" s="91">
        <f t="shared" si="51"/>
        <v>0</v>
      </c>
      <c r="O214" s="91">
        <f t="shared" si="51"/>
        <v>0</v>
      </c>
      <c r="Q214" s="35"/>
      <c r="S214" s="238"/>
      <c r="T214" s="238"/>
      <c r="U214" s="238"/>
      <c r="V214" s="238"/>
      <c r="W214" s="238"/>
      <c r="X214" s="238"/>
      <c r="Y214" s="238"/>
      <c r="Z214" s="238"/>
      <c r="AA214" s="238"/>
      <c r="AB214" s="238"/>
    </row>
    <row r="215" spans="2:28" x14ac:dyDescent="0.3">
      <c r="B215" s="35"/>
      <c r="Q215" s="35"/>
      <c r="S215" s="238"/>
      <c r="T215" s="238"/>
      <c r="U215" s="238"/>
      <c r="V215" s="238"/>
      <c r="W215" s="238"/>
      <c r="X215" s="238"/>
      <c r="Y215" s="238"/>
      <c r="Z215" s="238"/>
      <c r="AA215" s="238"/>
      <c r="AB215" s="238"/>
    </row>
    <row r="216" spans="2:28" x14ac:dyDescent="0.3">
      <c r="B216" s="35"/>
      <c r="C216" s="40" t="s">
        <v>152</v>
      </c>
      <c r="D216" s="43" t="s">
        <v>47</v>
      </c>
      <c r="E216" s="92" t="s">
        <v>92</v>
      </c>
      <c r="F216" s="162" t="e">
        <f>(F192/E192)/(1+'Date macro-economice'!F$9)-1</f>
        <v>#DIV/0!</v>
      </c>
      <c r="G216" s="162" t="e">
        <f>(G192/F192)/(1+'Date macro-economice'!G$9)-1</f>
        <v>#DIV/0!</v>
      </c>
      <c r="H216" s="159">
        <v>0</v>
      </c>
      <c r="I216" s="159">
        <v>0</v>
      </c>
      <c r="J216" s="159">
        <v>0</v>
      </c>
      <c r="K216" s="159">
        <v>0</v>
      </c>
      <c r="L216" s="159">
        <v>0</v>
      </c>
      <c r="M216" s="159">
        <v>0</v>
      </c>
      <c r="N216" s="159">
        <v>0</v>
      </c>
      <c r="O216" s="159">
        <v>0</v>
      </c>
      <c r="Q216" s="35"/>
      <c r="S216" s="238"/>
      <c r="T216" s="238"/>
      <c r="U216" s="238"/>
      <c r="V216" s="238"/>
      <c r="W216" s="238"/>
      <c r="X216" s="238"/>
      <c r="Y216" s="238"/>
      <c r="Z216" s="238"/>
      <c r="AA216" s="238"/>
      <c r="AB216" s="238"/>
    </row>
    <row r="217" spans="2:28" x14ac:dyDescent="0.3">
      <c r="B217" s="35"/>
      <c r="Q217" s="35"/>
      <c r="S217" s="238"/>
      <c r="T217" s="238"/>
      <c r="U217" s="238"/>
      <c r="V217" s="238"/>
      <c r="W217" s="238"/>
      <c r="X217" s="238"/>
      <c r="Y217" s="238"/>
      <c r="Z217" s="238"/>
      <c r="AA217" s="238"/>
      <c r="AB217" s="238"/>
    </row>
    <row r="218" spans="2:28" s="22" customFormat="1" x14ac:dyDescent="0.3">
      <c r="B218" s="35"/>
      <c r="C218" s="66" t="s">
        <v>153</v>
      </c>
      <c r="D218" s="40"/>
      <c r="E218" s="40"/>
      <c r="F218" s="40"/>
      <c r="G218" s="40"/>
      <c r="H218" s="40"/>
      <c r="I218" s="40"/>
      <c r="J218" s="40"/>
      <c r="K218" s="40"/>
      <c r="L218" s="40"/>
      <c r="M218" s="40"/>
      <c r="N218" s="40"/>
      <c r="O218" s="40"/>
      <c r="Q218" s="35"/>
      <c r="S218" s="238"/>
      <c r="T218" s="238"/>
      <c r="U218" s="238"/>
      <c r="V218" s="238"/>
      <c r="W218" s="238"/>
      <c r="X218" s="238"/>
      <c r="Y218" s="238"/>
      <c r="Z218" s="238"/>
      <c r="AA218" s="238"/>
      <c r="AB218" s="238"/>
    </row>
    <row r="219" spans="2:28" s="22" customFormat="1" x14ac:dyDescent="0.3">
      <c r="B219" s="35"/>
      <c r="C219" s="40" t="s">
        <v>154</v>
      </c>
      <c r="D219" s="43" t="s">
        <v>155</v>
      </c>
      <c r="E219" s="87">
        <v>0</v>
      </c>
      <c r="F219" s="87">
        <v>0</v>
      </c>
      <c r="G219" s="87">
        <v>0</v>
      </c>
      <c r="H219" s="87">
        <v>0</v>
      </c>
      <c r="I219" s="87">
        <v>0</v>
      </c>
      <c r="J219" s="87">
        <v>0</v>
      </c>
      <c r="K219" s="87">
        <v>0</v>
      </c>
      <c r="L219" s="87">
        <v>0</v>
      </c>
      <c r="M219" s="87">
        <v>0</v>
      </c>
      <c r="N219" s="87">
        <v>0</v>
      </c>
      <c r="O219" s="87">
        <v>0</v>
      </c>
      <c r="Q219" s="35"/>
      <c r="S219" s="238"/>
      <c r="T219" s="238"/>
      <c r="U219" s="238"/>
      <c r="V219" s="238"/>
      <c r="W219" s="238"/>
      <c r="X219" s="238"/>
      <c r="Y219" s="238"/>
      <c r="Z219" s="238"/>
      <c r="AA219" s="238"/>
      <c r="AB219" s="238"/>
    </row>
    <row r="220" spans="2:28" s="22" customFormat="1" x14ac:dyDescent="0.3">
      <c r="B220" s="35"/>
      <c r="C220" s="40" t="s">
        <v>156</v>
      </c>
      <c r="D220" s="43" t="s">
        <v>157</v>
      </c>
      <c r="E220" s="105" t="e">
        <f>E219/Cererea!E64</f>
        <v>#DIV/0!</v>
      </c>
      <c r="F220" s="105" t="e">
        <f>F219/Cererea!F64</f>
        <v>#DIV/0!</v>
      </c>
      <c r="G220" s="105">
        <f>IFERROR(G219/Cererea!G64,0)</f>
        <v>0</v>
      </c>
      <c r="H220" s="105">
        <f>IFERROR(H219/Cererea!H64,0)</f>
        <v>0</v>
      </c>
      <c r="I220" s="105">
        <f>IFERROR(I219/Cererea!I64,0)</f>
        <v>0</v>
      </c>
      <c r="J220" s="105">
        <f>IFERROR(J219/Cererea!J64,0)</f>
        <v>0</v>
      </c>
      <c r="K220" s="105">
        <f>IFERROR(K219/Cererea!K64,0)</f>
        <v>0</v>
      </c>
      <c r="L220" s="105">
        <f>IFERROR(L219/Cererea!L64,0)</f>
        <v>0</v>
      </c>
      <c r="M220" s="105">
        <f>IFERROR(M219/Cererea!M64,0)</f>
        <v>0</v>
      </c>
      <c r="N220" s="105">
        <f>IFERROR(N219/Cererea!N64,0)</f>
        <v>0</v>
      </c>
      <c r="O220" s="105">
        <f>IFERROR(O219/Cererea!O64,0)</f>
        <v>0</v>
      </c>
      <c r="Q220" s="35"/>
      <c r="S220" s="238"/>
      <c r="T220" s="238"/>
      <c r="U220" s="238"/>
      <c r="V220" s="238"/>
      <c r="W220" s="238"/>
      <c r="X220" s="238"/>
      <c r="Y220" s="238"/>
      <c r="Z220" s="238"/>
      <c r="AA220" s="238"/>
      <c r="AB220" s="238"/>
    </row>
    <row r="221" spans="2:28" s="22" customFormat="1" x14ac:dyDescent="0.3">
      <c r="B221" s="35"/>
      <c r="C221" s="40" t="s">
        <v>147</v>
      </c>
      <c r="D221" s="43" t="s">
        <v>158</v>
      </c>
      <c r="E221" s="161" t="e">
        <f>E193/E219</f>
        <v>#DIV/0!</v>
      </c>
      <c r="F221" s="161" t="e">
        <f>F193/F219</f>
        <v>#DIV/0!</v>
      </c>
      <c r="G221" s="161">
        <f>IFERROR(G193/G219,0)</f>
        <v>0</v>
      </c>
      <c r="H221" s="161">
        <f>G221*(1+'Date macro-economice'!H$9)*(1+H222)</f>
        <v>0</v>
      </c>
      <c r="I221" s="161">
        <f>H221*(1+'Date macro-economice'!I$9)*(1+I222)</f>
        <v>0</v>
      </c>
      <c r="J221" s="161">
        <f>I221*(1+'Date macro-economice'!J$9)*(1+J222)</f>
        <v>0</v>
      </c>
      <c r="K221" s="161">
        <f>J221*(1+'Date macro-economice'!K$9)*(1+K222)</f>
        <v>0</v>
      </c>
      <c r="L221" s="161">
        <f>K221*(1+'Date macro-economice'!L$9)*(1+L222)</f>
        <v>0</v>
      </c>
      <c r="M221" s="161">
        <f>L221*(1+'Date macro-economice'!M$9)*(1+M222)</f>
        <v>0</v>
      </c>
      <c r="N221" s="161">
        <f>M221*(1+'Date macro-economice'!N$9)*(1+N222)</f>
        <v>0</v>
      </c>
      <c r="O221" s="161">
        <f>N221*(1+'Date macro-economice'!O$9)*(1+O222)</f>
        <v>0</v>
      </c>
      <c r="Q221" s="35"/>
      <c r="S221" s="238"/>
      <c r="T221" s="238"/>
      <c r="U221" s="238"/>
      <c r="V221" s="238"/>
      <c r="W221" s="238"/>
      <c r="X221" s="238"/>
      <c r="Y221" s="238"/>
      <c r="Z221" s="238"/>
      <c r="AA221" s="238"/>
      <c r="AB221" s="238"/>
    </row>
    <row r="222" spans="2:28" s="22" customFormat="1" x14ac:dyDescent="0.3">
      <c r="B222" s="35"/>
      <c r="C222" s="40" t="s">
        <v>148</v>
      </c>
      <c r="D222" s="43" t="s">
        <v>47</v>
      </c>
      <c r="E222" s="158" t="s">
        <v>92</v>
      </c>
      <c r="F222" s="36" t="e">
        <f>(F221/E221)/(1+'Date macro-economice'!F$9)-1</f>
        <v>#DIV/0!</v>
      </c>
      <c r="G222" s="36" t="e">
        <f>(G221/F221)/(1+'Date macro-economice'!G$9)-1</f>
        <v>#DIV/0!</v>
      </c>
      <c r="H222" s="159">
        <v>0</v>
      </c>
      <c r="I222" s="159">
        <v>0</v>
      </c>
      <c r="J222" s="159">
        <v>0</v>
      </c>
      <c r="K222" s="159">
        <v>0</v>
      </c>
      <c r="L222" s="159">
        <v>0</v>
      </c>
      <c r="M222" s="159">
        <v>0</v>
      </c>
      <c r="N222" s="159">
        <v>0</v>
      </c>
      <c r="O222" s="159">
        <v>0</v>
      </c>
      <c r="Q222" s="35"/>
      <c r="S222" s="238"/>
      <c r="T222" s="238"/>
      <c r="U222" s="238"/>
      <c r="V222" s="238"/>
      <c r="W222" s="238"/>
      <c r="X222" s="238"/>
      <c r="Y222" s="238"/>
      <c r="Z222" s="238"/>
      <c r="AA222" s="238"/>
      <c r="AB222" s="238"/>
    </row>
    <row r="223" spans="2:28" x14ac:dyDescent="0.3">
      <c r="B223" s="35"/>
      <c r="C223" s="81" t="s">
        <v>149</v>
      </c>
      <c r="D223" s="82" t="s">
        <v>141</v>
      </c>
      <c r="E223" s="91">
        <f>E193</f>
        <v>0</v>
      </c>
      <c r="F223" s="91">
        <f>F193</f>
        <v>0</v>
      </c>
      <c r="G223" s="91">
        <f>G193</f>
        <v>0</v>
      </c>
      <c r="H223" s="91">
        <f t="shared" ref="H223:O223" si="52">H219*H221</f>
        <v>0</v>
      </c>
      <c r="I223" s="91">
        <f t="shared" si="52"/>
        <v>0</v>
      </c>
      <c r="J223" s="91">
        <f t="shared" si="52"/>
        <v>0</v>
      </c>
      <c r="K223" s="91">
        <f t="shared" si="52"/>
        <v>0</v>
      </c>
      <c r="L223" s="91">
        <f t="shared" si="52"/>
        <v>0</v>
      </c>
      <c r="M223" s="91">
        <f t="shared" si="52"/>
        <v>0</v>
      </c>
      <c r="N223" s="91">
        <f t="shared" si="52"/>
        <v>0</v>
      </c>
      <c r="O223" s="91">
        <f t="shared" si="52"/>
        <v>0</v>
      </c>
      <c r="Q223" s="35"/>
      <c r="S223" s="238"/>
      <c r="T223" s="238"/>
      <c r="U223" s="238"/>
      <c r="V223" s="238"/>
      <c r="W223" s="238"/>
      <c r="X223" s="238"/>
      <c r="Y223" s="238"/>
      <c r="Z223" s="238"/>
      <c r="AA223" s="238"/>
      <c r="AB223" s="238"/>
    </row>
    <row r="224" spans="2:28" x14ac:dyDescent="0.3">
      <c r="B224" s="35"/>
      <c r="Q224" s="35"/>
      <c r="S224" s="238"/>
      <c r="T224" s="238"/>
      <c r="U224" s="238"/>
      <c r="V224" s="238"/>
      <c r="W224" s="238"/>
      <c r="X224" s="238"/>
      <c r="Y224" s="238"/>
      <c r="Z224" s="238"/>
      <c r="AA224" s="238"/>
      <c r="AB224" s="238"/>
    </row>
    <row r="225" spans="2:28" x14ac:dyDescent="0.3">
      <c r="B225" s="35"/>
      <c r="C225" s="66" t="s">
        <v>159</v>
      </c>
      <c r="Q225" s="35"/>
      <c r="S225" s="238"/>
      <c r="T225" s="238"/>
      <c r="U225" s="238"/>
      <c r="V225" s="238"/>
      <c r="W225" s="238"/>
      <c r="X225" s="238"/>
      <c r="Y225" s="238"/>
      <c r="Z225" s="238"/>
      <c r="AA225" s="238"/>
      <c r="AB225" s="238"/>
    </row>
    <row r="226" spans="2:28" x14ac:dyDescent="0.3">
      <c r="B226" s="35"/>
      <c r="C226" s="40" t="s">
        <v>160</v>
      </c>
      <c r="D226" s="43" t="s">
        <v>141</v>
      </c>
      <c r="E226" s="87">
        <v>0</v>
      </c>
      <c r="F226" s="87">
        <v>0</v>
      </c>
      <c r="G226" s="87">
        <v>0</v>
      </c>
      <c r="H226" s="88">
        <f>H229*H230*12</f>
        <v>0</v>
      </c>
      <c r="I226" s="88">
        <f t="shared" ref="I226:O226" si="53">I229*I230*12</f>
        <v>0</v>
      </c>
      <c r="J226" s="88">
        <f t="shared" si="53"/>
        <v>0</v>
      </c>
      <c r="K226" s="88">
        <f t="shared" si="53"/>
        <v>0</v>
      </c>
      <c r="L226" s="88">
        <f t="shared" si="53"/>
        <v>0</v>
      </c>
      <c r="M226" s="88">
        <f t="shared" si="53"/>
        <v>0</v>
      </c>
      <c r="N226" s="88">
        <f t="shared" si="53"/>
        <v>0</v>
      </c>
      <c r="O226" s="88">
        <f t="shared" si="53"/>
        <v>0</v>
      </c>
      <c r="Q226" s="35"/>
      <c r="S226" s="238"/>
      <c r="T226" s="238"/>
      <c r="U226" s="238"/>
      <c r="V226" s="238"/>
      <c r="W226" s="238"/>
      <c r="X226" s="238"/>
      <c r="Y226" s="238"/>
      <c r="Z226" s="238"/>
      <c r="AA226" s="238"/>
      <c r="AB226" s="238"/>
    </row>
    <row r="227" spans="2:28" x14ac:dyDescent="0.3">
      <c r="B227" s="35"/>
      <c r="C227" s="40" t="s">
        <v>161</v>
      </c>
      <c r="D227" s="43" t="s">
        <v>141</v>
      </c>
      <c r="E227" s="87">
        <v>0</v>
      </c>
      <c r="F227" s="87">
        <v>0</v>
      </c>
      <c r="G227" s="87">
        <v>0</v>
      </c>
      <c r="H227" s="88">
        <f>H229*H231*12</f>
        <v>0</v>
      </c>
      <c r="I227" s="88">
        <f t="shared" ref="I227:O227" si="54">I229*I231*12</f>
        <v>0</v>
      </c>
      <c r="J227" s="88">
        <f t="shared" si="54"/>
        <v>0</v>
      </c>
      <c r="K227" s="88">
        <f t="shared" si="54"/>
        <v>0</v>
      </c>
      <c r="L227" s="88">
        <f t="shared" si="54"/>
        <v>0</v>
      </c>
      <c r="M227" s="88">
        <f t="shared" si="54"/>
        <v>0</v>
      </c>
      <c r="N227" s="88">
        <f t="shared" si="54"/>
        <v>0</v>
      </c>
      <c r="O227" s="88">
        <f t="shared" si="54"/>
        <v>0</v>
      </c>
      <c r="Q227" s="35"/>
      <c r="S227" s="238"/>
      <c r="T227" s="238"/>
      <c r="U227" s="238"/>
      <c r="V227" s="238"/>
      <c r="W227" s="238"/>
      <c r="X227" s="238"/>
      <c r="Y227" s="238"/>
      <c r="Z227" s="238"/>
      <c r="AA227" s="238"/>
      <c r="AB227" s="238"/>
    </row>
    <row r="228" spans="2:28" x14ac:dyDescent="0.3">
      <c r="B228" s="35"/>
      <c r="C228" s="155" t="s">
        <v>162</v>
      </c>
      <c r="D228" s="129" t="s">
        <v>141</v>
      </c>
      <c r="E228" s="88">
        <f>E194-E226-E227</f>
        <v>0</v>
      </c>
      <c r="F228" s="88">
        <f>F194-F226-F227</f>
        <v>0</v>
      </c>
      <c r="G228" s="88">
        <f>G194-G226-G227</f>
        <v>0</v>
      </c>
      <c r="H228" s="88">
        <f t="shared" ref="H228:O228" si="55">H229*H232*12</f>
        <v>0</v>
      </c>
      <c r="I228" s="88">
        <f t="shared" si="55"/>
        <v>0</v>
      </c>
      <c r="J228" s="88">
        <f t="shared" si="55"/>
        <v>0</v>
      </c>
      <c r="K228" s="88">
        <f t="shared" si="55"/>
        <v>0</v>
      </c>
      <c r="L228" s="88">
        <f t="shared" si="55"/>
        <v>0</v>
      </c>
      <c r="M228" s="88">
        <f t="shared" si="55"/>
        <v>0</v>
      </c>
      <c r="N228" s="88">
        <f t="shared" si="55"/>
        <v>0</v>
      </c>
      <c r="O228" s="88">
        <f t="shared" si="55"/>
        <v>0</v>
      </c>
      <c r="Q228" s="35"/>
      <c r="S228" s="238"/>
      <c r="T228" s="238"/>
      <c r="U228" s="238"/>
      <c r="V228" s="238"/>
      <c r="W228" s="238"/>
      <c r="X228" s="238"/>
      <c r="Y228" s="238"/>
      <c r="Z228" s="238"/>
      <c r="AA228" s="238"/>
      <c r="AB228" s="238"/>
    </row>
    <row r="229" spans="2:28" x14ac:dyDescent="0.3">
      <c r="B229" s="35"/>
      <c r="C229" s="40" t="s">
        <v>163</v>
      </c>
      <c r="D229" s="43" t="s">
        <v>14</v>
      </c>
      <c r="E229" s="87">
        <v>0</v>
      </c>
      <c r="F229" s="87">
        <v>0</v>
      </c>
      <c r="G229" s="87">
        <v>0</v>
      </c>
      <c r="H229" s="87">
        <v>0</v>
      </c>
      <c r="I229" s="87">
        <v>0</v>
      </c>
      <c r="J229" s="87">
        <v>0</v>
      </c>
      <c r="K229" s="87">
        <v>0</v>
      </c>
      <c r="L229" s="87">
        <v>0</v>
      </c>
      <c r="M229" s="87">
        <v>0</v>
      </c>
      <c r="N229" s="87">
        <v>0</v>
      </c>
      <c r="O229" s="87">
        <v>0</v>
      </c>
      <c r="Q229" s="35"/>
      <c r="S229" s="238"/>
      <c r="T229" s="238"/>
      <c r="U229" s="238"/>
      <c r="V229" s="238"/>
      <c r="W229" s="238"/>
      <c r="X229" s="238"/>
      <c r="Y229" s="238"/>
      <c r="Z229" s="238"/>
      <c r="AA229" s="238"/>
      <c r="AB229" s="238"/>
    </row>
    <row r="230" spans="2:28" x14ac:dyDescent="0.3">
      <c r="B230" s="35"/>
      <c r="C230" s="40" t="s">
        <v>164</v>
      </c>
      <c r="D230" s="163" t="s">
        <v>165</v>
      </c>
      <c r="E230" s="88" t="e">
        <f>E226/E229/12</f>
        <v>#DIV/0!</v>
      </c>
      <c r="F230" s="88" t="e">
        <f>F226/F229/12</f>
        <v>#DIV/0!</v>
      </c>
      <c r="G230" s="88">
        <f>IFERROR(G226/G229/12,0)</f>
        <v>0</v>
      </c>
      <c r="H230" s="88">
        <f>G230*(1+'Date macro-economice'!H$9)*(1+'Date macro-economice'!H$11*'Costuri operare'!H236)*(1+'Costuri operare'!H233)</f>
        <v>0</v>
      </c>
      <c r="I230" s="88">
        <f>H230*(1+'Date macro-economice'!I$9)*(1+'Date macro-economice'!I$11*'Costuri operare'!I236)*(1+'Costuri operare'!I233)</f>
        <v>0</v>
      </c>
      <c r="J230" s="88">
        <f>I230*(1+'Date macro-economice'!J$9)*(1+'Date macro-economice'!J$11*'Costuri operare'!J236)*(1+'Costuri operare'!J233)</f>
        <v>0</v>
      </c>
      <c r="K230" s="88">
        <f>J230*(1+'Date macro-economice'!K$9)*(1+'Date macro-economice'!K$11*'Costuri operare'!K236)*(1+'Costuri operare'!K233)</f>
        <v>0</v>
      </c>
      <c r="L230" s="88">
        <f>K230*(1+'Date macro-economice'!L$9)*(1+'Date macro-economice'!L$11*'Costuri operare'!L236)*(1+'Costuri operare'!L233)</f>
        <v>0</v>
      </c>
      <c r="M230" s="88">
        <f>L230*(1+'Date macro-economice'!M$9)*(1+'Date macro-economice'!M$11*'Costuri operare'!M236)*(1+'Costuri operare'!M233)</f>
        <v>0</v>
      </c>
      <c r="N230" s="88">
        <f>M230*(1+'Date macro-economice'!N$9)*(1+'Date macro-economice'!N$11*'Costuri operare'!N236)*(1+'Costuri operare'!N233)</f>
        <v>0</v>
      </c>
      <c r="O230" s="88">
        <f>N230*(1+'Date macro-economice'!O$9)*(1+'Date macro-economice'!O$11*'Costuri operare'!O236)*(1+'Costuri operare'!O233)</f>
        <v>0</v>
      </c>
      <c r="Q230" s="35"/>
      <c r="S230" s="238"/>
      <c r="T230" s="238"/>
      <c r="U230" s="238"/>
      <c r="V230" s="238"/>
      <c r="W230" s="238"/>
      <c r="X230" s="238"/>
      <c r="Y230" s="238"/>
      <c r="Z230" s="238"/>
      <c r="AA230" s="238"/>
      <c r="AB230" s="238"/>
    </row>
    <row r="231" spans="2:28" ht="28.8" x14ac:dyDescent="0.3">
      <c r="B231" s="35"/>
      <c r="C231" s="40" t="s">
        <v>166</v>
      </c>
      <c r="D231" s="163" t="s">
        <v>165</v>
      </c>
      <c r="E231" s="88" t="e">
        <f>E227/E229/12</f>
        <v>#DIV/0!</v>
      </c>
      <c r="F231" s="88" t="e">
        <f>F227/F229/12</f>
        <v>#DIV/0!</v>
      </c>
      <c r="G231" s="88">
        <f>IFERROR(G227/G229/12,0)</f>
        <v>0</v>
      </c>
      <c r="H231" s="88">
        <f>G231*(1+'Date macro-economice'!H$9)*(1+'Date macro-economice'!H$11*'Costuri operare'!H236)*(1+'Costuri operare'!H234)</f>
        <v>0</v>
      </c>
      <c r="I231" s="88">
        <f>H231*(1+'Date macro-economice'!I$9)*(1+'Date macro-economice'!I$11*'Costuri operare'!I236)*(1+'Costuri operare'!I234)</f>
        <v>0</v>
      </c>
      <c r="J231" s="88">
        <f>I231*(1+'Date macro-economice'!J$9)*(1+'Date macro-economice'!J$11*'Costuri operare'!J236)*(1+'Costuri operare'!J234)</f>
        <v>0</v>
      </c>
      <c r="K231" s="88">
        <f>J231*(1+'Date macro-economice'!K$9)*(1+'Date macro-economice'!K$11*'Costuri operare'!K236)*(1+'Costuri operare'!K234)</f>
        <v>0</v>
      </c>
      <c r="L231" s="88">
        <f>K231*(1+'Date macro-economice'!L$9)*(1+'Date macro-economice'!L$11*'Costuri operare'!L236)*(1+'Costuri operare'!L234)</f>
        <v>0</v>
      </c>
      <c r="M231" s="88">
        <f>L231*(1+'Date macro-economice'!M$9)*(1+'Date macro-economice'!M$11*'Costuri operare'!M236)*(1+'Costuri operare'!M234)</f>
        <v>0</v>
      </c>
      <c r="N231" s="88">
        <f>M231*(1+'Date macro-economice'!N$9)*(1+'Date macro-economice'!N$11*'Costuri operare'!N236)*(1+'Costuri operare'!N234)</f>
        <v>0</v>
      </c>
      <c r="O231" s="88">
        <f>N231*(1+'Date macro-economice'!O$9)*(1+'Date macro-economice'!O$11*'Costuri operare'!O236)*(1+'Costuri operare'!O234)</f>
        <v>0</v>
      </c>
      <c r="Q231" s="35"/>
      <c r="S231" s="238"/>
      <c r="T231" s="238"/>
      <c r="U231" s="238"/>
      <c r="V231" s="238"/>
      <c r="W231" s="238"/>
      <c r="X231" s="238"/>
      <c r="Y231" s="238"/>
      <c r="Z231" s="238"/>
      <c r="AA231" s="238"/>
      <c r="AB231" s="238"/>
    </row>
    <row r="232" spans="2:28" x14ac:dyDescent="0.3">
      <c r="B232" s="35"/>
      <c r="C232" s="155" t="s">
        <v>167</v>
      </c>
      <c r="D232" s="164" t="s">
        <v>165</v>
      </c>
      <c r="E232" s="131" t="e">
        <f>E228/E229/12</f>
        <v>#DIV/0!</v>
      </c>
      <c r="F232" s="131" t="e">
        <f>F228/F229/12</f>
        <v>#DIV/0!</v>
      </c>
      <c r="G232" s="131">
        <f>IFERROR(G228/G229/12,0)</f>
        <v>0</v>
      </c>
      <c r="H232" s="88">
        <f>G232*(1+'Date macro-economice'!H$9)*(1+'Date macro-economice'!H$11*'Costuri operare'!H236)*(1+'Costuri operare'!H235)</f>
        <v>0</v>
      </c>
      <c r="I232" s="88">
        <f>H232*(1+'Date macro-economice'!I$9)*(1+'Date macro-economice'!I$11*'Costuri operare'!I236)*(1+'Costuri operare'!I235)</f>
        <v>0</v>
      </c>
      <c r="J232" s="88">
        <f>I232*(1+'Date macro-economice'!J$9)*(1+'Date macro-economice'!J$11*'Costuri operare'!J236)*(1+'Costuri operare'!J235)</f>
        <v>0</v>
      </c>
      <c r="K232" s="88">
        <f>J232*(1+'Date macro-economice'!K$9)*(1+'Date macro-economice'!K$11*'Costuri operare'!K236)*(1+'Costuri operare'!K235)</f>
        <v>0</v>
      </c>
      <c r="L232" s="88">
        <f>K232*(1+'Date macro-economice'!L$9)*(1+'Date macro-economice'!L$11*'Costuri operare'!L236)*(1+'Costuri operare'!L235)</f>
        <v>0</v>
      </c>
      <c r="M232" s="88">
        <f>L232*(1+'Date macro-economice'!M$9)*(1+'Date macro-economice'!M$11*'Costuri operare'!M236)*(1+'Costuri operare'!M235)</f>
        <v>0</v>
      </c>
      <c r="N232" s="88">
        <f>M232*(1+'Date macro-economice'!N$9)*(1+'Date macro-economice'!N$11*'Costuri operare'!N236)*(1+'Costuri operare'!N235)</f>
        <v>0</v>
      </c>
      <c r="O232" s="88">
        <f>N232*(1+'Date macro-economice'!O$9)*(1+'Date macro-economice'!O$11*'Costuri operare'!O236)*(1+'Costuri operare'!O235)</f>
        <v>0</v>
      </c>
      <c r="Q232" s="35"/>
      <c r="S232" s="238"/>
      <c r="T232" s="238"/>
      <c r="U232" s="238"/>
      <c r="V232" s="238"/>
      <c r="W232" s="238"/>
      <c r="X232" s="238"/>
      <c r="Y232" s="238"/>
      <c r="Z232" s="238"/>
      <c r="AA232" s="238"/>
      <c r="AB232" s="238"/>
    </row>
    <row r="233" spans="2:28" s="22" customFormat="1" ht="28.8" x14ac:dyDescent="0.3">
      <c r="B233" s="35"/>
      <c r="C233" s="40" t="s">
        <v>168</v>
      </c>
      <c r="D233" s="43" t="s">
        <v>47</v>
      </c>
      <c r="E233" s="92" t="s">
        <v>92</v>
      </c>
      <c r="F233" s="36" t="e">
        <f>(F230/E230)/((1+'Date macro-economice'!F$9)*(1+'Date macro-economice'!F$11*F$58))-1</f>
        <v>#DIV/0!</v>
      </c>
      <c r="G233" s="36" t="e">
        <f>(G230/F230)/((1+'Date macro-economice'!G$9)*(1+'Date macro-economice'!G$11*G$58))-1</f>
        <v>#DIV/0!</v>
      </c>
      <c r="H233" s="159">
        <v>0</v>
      </c>
      <c r="I233" s="159">
        <v>0</v>
      </c>
      <c r="J233" s="159">
        <v>0</v>
      </c>
      <c r="K233" s="159">
        <v>0</v>
      </c>
      <c r="L233" s="159">
        <v>0</v>
      </c>
      <c r="M233" s="159">
        <v>0</v>
      </c>
      <c r="N233" s="159">
        <v>0</v>
      </c>
      <c r="O233" s="159">
        <v>0</v>
      </c>
      <c r="Q233" s="35"/>
      <c r="S233" s="238"/>
      <c r="T233" s="238"/>
      <c r="U233" s="238"/>
      <c r="V233" s="238"/>
      <c r="W233" s="238"/>
      <c r="X233" s="238"/>
      <c r="Y233" s="238"/>
      <c r="Z233" s="238"/>
      <c r="AA233" s="238"/>
      <c r="AB233" s="238"/>
    </row>
    <row r="234" spans="2:28" s="22" customFormat="1" ht="43.2" x14ac:dyDescent="0.3">
      <c r="B234" s="35"/>
      <c r="C234" s="40" t="s">
        <v>169</v>
      </c>
      <c r="D234" s="43" t="s">
        <v>47</v>
      </c>
      <c r="E234" s="92" t="s">
        <v>92</v>
      </c>
      <c r="F234" s="36" t="e">
        <f>(F231/E231)/((1+'Date macro-economice'!F$9)*(1+'Date macro-economice'!F$11*F$58))-1</f>
        <v>#DIV/0!</v>
      </c>
      <c r="G234" s="36" t="e">
        <f>(G231/F231)/((1+'Date macro-economice'!G$9)*(1+'Date macro-economice'!G$11*G$58))-1</f>
        <v>#DIV/0!</v>
      </c>
      <c r="H234" s="159">
        <v>0</v>
      </c>
      <c r="I234" s="159">
        <v>0</v>
      </c>
      <c r="J234" s="159">
        <v>0</v>
      </c>
      <c r="K234" s="159">
        <v>0</v>
      </c>
      <c r="L234" s="159">
        <v>0</v>
      </c>
      <c r="M234" s="159">
        <v>0</v>
      </c>
      <c r="N234" s="159">
        <v>0</v>
      </c>
      <c r="O234" s="159">
        <v>0</v>
      </c>
      <c r="Q234" s="35"/>
      <c r="S234" s="238"/>
      <c r="T234" s="238"/>
      <c r="U234" s="238"/>
      <c r="V234" s="238"/>
      <c r="W234" s="238"/>
      <c r="X234" s="238"/>
      <c r="Y234" s="238"/>
      <c r="Z234" s="238"/>
      <c r="AA234" s="238"/>
      <c r="AB234" s="238"/>
    </row>
    <row r="235" spans="2:28" s="22" customFormat="1" ht="43.2" x14ac:dyDescent="0.3">
      <c r="B235" s="35"/>
      <c r="C235" s="40" t="s">
        <v>169</v>
      </c>
      <c r="D235" s="43" t="s">
        <v>47</v>
      </c>
      <c r="E235" s="92" t="s">
        <v>92</v>
      </c>
      <c r="F235" s="36" t="e">
        <f>(F232/E232)/((1+'Date macro-economice'!F$9)*(1+'Date macro-economice'!F$11*F$58))-1</f>
        <v>#DIV/0!</v>
      </c>
      <c r="G235" s="36" t="e">
        <f>(G232/F232)/((1+'Date macro-economice'!G$9)*(1+'Date macro-economice'!G$11*G$58))-1</f>
        <v>#DIV/0!</v>
      </c>
      <c r="H235" s="159">
        <v>0</v>
      </c>
      <c r="I235" s="159">
        <v>0</v>
      </c>
      <c r="J235" s="159">
        <v>0</v>
      </c>
      <c r="K235" s="159">
        <v>0</v>
      </c>
      <c r="L235" s="159">
        <v>0</v>
      </c>
      <c r="M235" s="159">
        <v>0</v>
      </c>
      <c r="N235" s="159">
        <v>0</v>
      </c>
      <c r="O235" s="159">
        <v>0</v>
      </c>
      <c r="Q235" s="35"/>
      <c r="S235" s="238"/>
      <c r="T235" s="238"/>
      <c r="U235" s="238"/>
      <c r="V235" s="238"/>
      <c r="W235" s="238"/>
      <c r="X235" s="238"/>
      <c r="Y235" s="238"/>
      <c r="Z235" s="238"/>
      <c r="AA235" s="238"/>
      <c r="AB235" s="238"/>
    </row>
    <row r="236" spans="2:28" s="22" customFormat="1" ht="43.2" x14ac:dyDescent="0.3">
      <c r="B236" s="35"/>
      <c r="C236" s="40" t="s">
        <v>171</v>
      </c>
      <c r="D236" s="43" t="s">
        <v>47</v>
      </c>
      <c r="E236" s="92"/>
      <c r="F236" s="165">
        <v>0.75</v>
      </c>
      <c r="G236" s="165">
        <v>0.75</v>
      </c>
      <c r="H236" s="165">
        <v>0.75</v>
      </c>
      <c r="I236" s="165">
        <v>0.75</v>
      </c>
      <c r="J236" s="165">
        <v>0.75</v>
      </c>
      <c r="K236" s="165">
        <v>0.75</v>
      </c>
      <c r="L236" s="165">
        <v>0.75</v>
      </c>
      <c r="M236" s="165">
        <v>0.75</v>
      </c>
      <c r="N236" s="165">
        <v>0.75</v>
      </c>
      <c r="O236" s="165">
        <v>0.75</v>
      </c>
      <c r="Q236" s="35"/>
      <c r="S236" s="238"/>
      <c r="T236" s="238"/>
      <c r="U236" s="238"/>
      <c r="V236" s="238"/>
      <c r="W236" s="238"/>
      <c r="X236" s="238"/>
      <c r="Y236" s="238"/>
      <c r="Z236" s="238"/>
      <c r="AA236" s="238"/>
      <c r="AB236" s="238"/>
    </row>
    <row r="237" spans="2:28" x14ac:dyDescent="0.3">
      <c r="B237" s="35"/>
      <c r="Q237" s="35"/>
      <c r="S237" s="238"/>
      <c r="T237" s="238"/>
      <c r="U237" s="238"/>
      <c r="V237" s="238"/>
      <c r="W237" s="238"/>
      <c r="X237" s="238"/>
      <c r="Y237" s="238"/>
      <c r="Z237" s="238"/>
      <c r="AA237" s="238"/>
      <c r="AB237" s="238"/>
    </row>
    <row r="238" spans="2:28" ht="28.8" x14ac:dyDescent="0.3">
      <c r="B238" s="35"/>
      <c r="C238" s="40" t="s">
        <v>172</v>
      </c>
      <c r="D238" s="43" t="s">
        <v>47</v>
      </c>
      <c r="E238" s="92" t="s">
        <v>92</v>
      </c>
      <c r="F238" s="162" t="e">
        <f>(F195/E195)/(1+'Date macro-economice'!F$9)-1</f>
        <v>#DIV/0!</v>
      </c>
      <c r="G238" s="162" t="e">
        <f>(G195/F195)/(1+'Date macro-economice'!G$9)-1</f>
        <v>#DIV/0!</v>
      </c>
      <c r="H238" s="159">
        <v>0</v>
      </c>
      <c r="I238" s="159">
        <v>0</v>
      </c>
      <c r="J238" s="159">
        <v>0</v>
      </c>
      <c r="K238" s="159">
        <v>0</v>
      </c>
      <c r="L238" s="159">
        <v>0</v>
      </c>
      <c r="M238" s="159">
        <v>0</v>
      </c>
      <c r="N238" s="159">
        <v>0</v>
      </c>
      <c r="O238" s="159">
        <v>0</v>
      </c>
      <c r="Q238" s="35"/>
      <c r="S238" s="238"/>
      <c r="T238" s="238"/>
      <c r="U238" s="238"/>
      <c r="V238" s="238"/>
      <c r="W238" s="238"/>
      <c r="X238" s="238"/>
      <c r="Y238" s="238"/>
      <c r="Z238" s="238"/>
      <c r="AA238" s="238"/>
      <c r="AB238" s="238"/>
    </row>
    <row r="239" spans="2:28" ht="28.8" x14ac:dyDescent="0.3">
      <c r="B239" s="35"/>
      <c r="C239" s="40" t="s">
        <v>173</v>
      </c>
      <c r="D239" s="43" t="s">
        <v>47</v>
      </c>
      <c r="E239" s="92" t="s">
        <v>92</v>
      </c>
      <c r="F239" s="162" t="e">
        <f>(F196/E196)/(1+'Date macro-economice'!F$9)-1</f>
        <v>#DIV/0!</v>
      </c>
      <c r="G239" s="162" t="e">
        <f>(G196/F196)/(1+'Date macro-economice'!G$9)-1</f>
        <v>#DIV/0!</v>
      </c>
      <c r="H239" s="159">
        <v>0</v>
      </c>
      <c r="I239" s="159">
        <v>0</v>
      </c>
      <c r="J239" s="159">
        <v>0</v>
      </c>
      <c r="K239" s="159">
        <v>0</v>
      </c>
      <c r="L239" s="159">
        <v>0</v>
      </c>
      <c r="M239" s="159">
        <v>0</v>
      </c>
      <c r="N239" s="159">
        <v>0</v>
      </c>
      <c r="O239" s="159">
        <v>0</v>
      </c>
      <c r="Q239" s="35"/>
      <c r="S239" s="238"/>
      <c r="T239" s="238"/>
      <c r="U239" s="238"/>
      <c r="V239" s="238"/>
      <c r="W239" s="238"/>
      <c r="X239" s="238"/>
      <c r="Y239" s="238"/>
      <c r="Z239" s="238"/>
      <c r="AA239" s="238"/>
      <c r="AB239" s="238"/>
    </row>
    <row r="240" spans="2:28" ht="28.8" x14ac:dyDescent="0.3">
      <c r="B240" s="35"/>
      <c r="C240" s="40" t="s">
        <v>174</v>
      </c>
      <c r="D240" s="43" t="s">
        <v>47</v>
      </c>
      <c r="E240" s="92" t="s">
        <v>92</v>
      </c>
      <c r="F240" s="162" t="e">
        <f>(F200/E200)/(1+'Date macro-economice'!F$9)-1</f>
        <v>#DIV/0!</v>
      </c>
      <c r="G240" s="162" t="e">
        <f>(G200/F200)/(1+'Date macro-economice'!G$9)-1</f>
        <v>#DIV/0!</v>
      </c>
      <c r="H240" s="159">
        <v>0</v>
      </c>
      <c r="I240" s="159">
        <v>0</v>
      </c>
      <c r="J240" s="159">
        <v>0</v>
      </c>
      <c r="K240" s="159">
        <v>0</v>
      </c>
      <c r="L240" s="159">
        <v>0</v>
      </c>
      <c r="M240" s="159">
        <v>0</v>
      </c>
      <c r="N240" s="159">
        <v>0</v>
      </c>
      <c r="O240" s="159">
        <v>0</v>
      </c>
      <c r="Q240" s="35"/>
      <c r="S240" s="238"/>
      <c r="T240" s="238"/>
      <c r="U240" s="238"/>
      <c r="V240" s="238"/>
      <c r="W240" s="238"/>
      <c r="X240" s="238"/>
      <c r="Y240" s="238"/>
      <c r="Z240" s="238"/>
      <c r="AA240" s="238"/>
      <c r="AB240" s="238"/>
    </row>
    <row r="241" spans="2:28" x14ac:dyDescent="0.3">
      <c r="B241" s="35"/>
      <c r="Q241" s="35"/>
      <c r="S241" s="238"/>
      <c r="T241" s="238"/>
      <c r="U241" s="238"/>
      <c r="V241" s="238"/>
      <c r="W241" s="238"/>
      <c r="X241" s="238"/>
      <c r="Y241" s="238"/>
      <c r="Z241" s="238"/>
      <c r="AA241" s="238"/>
      <c r="AB241" s="238"/>
    </row>
    <row r="242" spans="2:28" ht="28.8" x14ac:dyDescent="0.3">
      <c r="B242" s="35"/>
      <c r="C242" s="40" t="s">
        <v>175</v>
      </c>
      <c r="D242" s="43" t="s">
        <v>47</v>
      </c>
      <c r="E242" s="92" t="s">
        <v>92</v>
      </c>
      <c r="F242" s="162" t="e">
        <f>F197/E197-1</f>
        <v>#DIV/0!</v>
      </c>
      <c r="G242" s="162" t="e">
        <f>G197/F197-1</f>
        <v>#DIV/0!</v>
      </c>
      <c r="H242" s="166">
        <f>IFERROR('Amortizare si redeventa'!H127,0)</f>
        <v>0</v>
      </c>
      <c r="I242" s="166">
        <f>IFERROR('Amortizare si redeventa'!I127,0)</f>
        <v>0</v>
      </c>
      <c r="J242" s="166">
        <f>IFERROR('Amortizare si redeventa'!J127,0)</f>
        <v>0</v>
      </c>
      <c r="K242" s="166">
        <f>IFERROR('Amortizare si redeventa'!K127,0)</f>
        <v>0</v>
      </c>
      <c r="L242" s="166">
        <f>IFERROR('Amortizare si redeventa'!L127,0)</f>
        <v>0</v>
      </c>
      <c r="M242" s="166">
        <f>IFERROR('Amortizare si redeventa'!M127,0)</f>
        <v>0</v>
      </c>
      <c r="N242" s="166">
        <f>IFERROR('Amortizare si redeventa'!N127,0)</f>
        <v>0</v>
      </c>
      <c r="O242" s="166">
        <f>IFERROR('Amortizare si redeventa'!O127,0)</f>
        <v>0</v>
      </c>
      <c r="Q242" s="35"/>
      <c r="S242" s="238"/>
      <c r="T242" s="238"/>
      <c r="U242" s="238"/>
      <c r="V242" s="238"/>
      <c r="W242" s="238"/>
      <c r="X242" s="238"/>
      <c r="Y242" s="238"/>
      <c r="Z242" s="238"/>
      <c r="AA242" s="238"/>
      <c r="AB242" s="238"/>
    </row>
    <row r="243" spans="2:28" ht="28.8" x14ac:dyDescent="0.3">
      <c r="B243" s="35"/>
      <c r="C243" s="40" t="s">
        <v>176</v>
      </c>
      <c r="D243" s="43" t="s">
        <v>47</v>
      </c>
      <c r="E243" s="92" t="s">
        <v>92</v>
      </c>
      <c r="F243" s="162" t="e">
        <f>F198/E198-1</f>
        <v>#DIV/0!</v>
      </c>
      <c r="G243" s="162" t="e">
        <f>G198/F198-1</f>
        <v>#DIV/0!</v>
      </c>
      <c r="H243" s="166">
        <f>IFERROR('Amortizare si redeventa'!H133,0)</f>
        <v>0</v>
      </c>
      <c r="I243" s="166">
        <f>IFERROR('Amortizare si redeventa'!I133,0)</f>
        <v>0</v>
      </c>
      <c r="J243" s="166">
        <f>IFERROR('Amortizare si redeventa'!J133,0)</f>
        <v>0</v>
      </c>
      <c r="K243" s="166">
        <f>IFERROR('Amortizare si redeventa'!K133,0)</f>
        <v>0</v>
      </c>
      <c r="L243" s="166">
        <f>IFERROR('Amortizare si redeventa'!L133,0)</f>
        <v>0</v>
      </c>
      <c r="M243" s="166">
        <f>IFERROR('Amortizare si redeventa'!M133,0)</f>
        <v>0</v>
      </c>
      <c r="N243" s="166">
        <f>IFERROR('Amortizare si redeventa'!N133,0)</f>
        <v>0</v>
      </c>
      <c r="O243" s="166">
        <f>IFERROR('Amortizare si redeventa'!O133,0)</f>
        <v>0</v>
      </c>
      <c r="Q243" s="35"/>
      <c r="S243" s="238"/>
      <c r="T243" s="238"/>
      <c r="U243" s="238"/>
      <c r="V243" s="238"/>
      <c r="W243" s="238"/>
      <c r="X243" s="238"/>
      <c r="Y243" s="238"/>
      <c r="Z243" s="238"/>
      <c r="AA243" s="238"/>
      <c r="AB243" s="238"/>
    </row>
    <row r="244" spans="2:28" x14ac:dyDescent="0.3">
      <c r="B244" s="35"/>
      <c r="Q244" s="35"/>
      <c r="S244" s="238"/>
      <c r="T244" s="238"/>
      <c r="U244" s="238"/>
      <c r="V244" s="238"/>
      <c r="W244" s="238"/>
      <c r="X244" s="238"/>
      <c r="Y244" s="238"/>
      <c r="Z244" s="238"/>
      <c r="AA244" s="238"/>
      <c r="AB244" s="238"/>
    </row>
    <row r="245" spans="2:28" ht="6.6" customHeight="1" x14ac:dyDescent="0.3">
      <c r="B245" s="35"/>
      <c r="C245" s="35"/>
      <c r="D245" s="35"/>
      <c r="E245" s="35"/>
      <c r="F245" s="35"/>
      <c r="G245" s="35"/>
      <c r="H245" s="35"/>
      <c r="I245" s="35"/>
      <c r="J245" s="35"/>
      <c r="K245" s="35"/>
      <c r="L245" s="35"/>
      <c r="M245" s="35"/>
      <c r="N245" s="35"/>
      <c r="O245" s="35"/>
      <c r="P245" s="35"/>
      <c r="Q245" s="35"/>
    </row>
    <row r="247" spans="2:28" ht="8.1" customHeight="1" x14ac:dyDescent="0.3">
      <c r="B247" s="23"/>
      <c r="C247" s="23"/>
      <c r="D247" s="23"/>
      <c r="E247" s="23"/>
      <c r="F247" s="23"/>
      <c r="G247" s="23"/>
      <c r="H247" s="23"/>
      <c r="I247" s="23"/>
      <c r="J247" s="23"/>
      <c r="K247" s="23"/>
      <c r="L247" s="23"/>
      <c r="M247" s="23"/>
      <c r="N247" s="23"/>
      <c r="O247" s="23"/>
      <c r="P247" s="23"/>
      <c r="Q247" s="23"/>
    </row>
    <row r="248" spans="2:28" x14ac:dyDescent="0.3">
      <c r="B248" s="23"/>
      <c r="Q248" s="23"/>
    </row>
    <row r="249" spans="2:28" s="22" customFormat="1" ht="39.75" customHeight="1" x14ac:dyDescent="0.3">
      <c r="B249" s="35"/>
      <c r="C249" s="86" t="s">
        <v>192</v>
      </c>
      <c r="D249" s="86"/>
      <c r="E249" s="94">
        <f>F249-1</f>
        <v>2022</v>
      </c>
      <c r="F249" s="94">
        <f>G249-1</f>
        <v>2023</v>
      </c>
      <c r="G249" s="95">
        <f>'Date generale'!$D$8</f>
        <v>2024</v>
      </c>
      <c r="H249" s="96">
        <f t="shared" ref="H249:O249" si="56">G249+1</f>
        <v>2025</v>
      </c>
      <c r="I249" s="96">
        <f t="shared" si="56"/>
        <v>2026</v>
      </c>
      <c r="J249" s="96">
        <f t="shared" si="56"/>
        <v>2027</v>
      </c>
      <c r="K249" s="96">
        <f t="shared" si="56"/>
        <v>2028</v>
      </c>
      <c r="L249" s="96">
        <f t="shared" si="56"/>
        <v>2029</v>
      </c>
      <c r="M249" s="96">
        <f t="shared" si="56"/>
        <v>2030</v>
      </c>
      <c r="N249" s="96">
        <f t="shared" si="56"/>
        <v>2031</v>
      </c>
      <c r="O249" s="96">
        <f t="shared" si="56"/>
        <v>2032</v>
      </c>
      <c r="Q249" s="35"/>
      <c r="S249" s="234" t="s">
        <v>193</v>
      </c>
      <c r="T249" s="234"/>
      <c r="U249" s="234"/>
      <c r="V249" s="234"/>
      <c r="W249" s="234"/>
      <c r="X249" s="234"/>
      <c r="Y249" s="234"/>
      <c r="Z249" s="234"/>
      <c r="AA249" s="234"/>
      <c r="AB249" s="234"/>
    </row>
    <row r="250" spans="2:28" x14ac:dyDescent="0.3">
      <c r="B250" s="23"/>
      <c r="C250" s="97"/>
      <c r="D250" s="97"/>
      <c r="E250" s="98">
        <f>F250-1</f>
        <v>-3</v>
      </c>
      <c r="F250" s="98">
        <f>G250-1</f>
        <v>-2</v>
      </c>
      <c r="G250" s="99">
        <v>-1</v>
      </c>
      <c r="H250" s="99">
        <v>0</v>
      </c>
      <c r="I250" s="99">
        <f t="shared" ref="I250:O250" si="57">H250+1</f>
        <v>1</v>
      </c>
      <c r="J250" s="99">
        <f t="shared" si="57"/>
        <v>2</v>
      </c>
      <c r="K250" s="99">
        <f t="shared" si="57"/>
        <v>3</v>
      </c>
      <c r="L250" s="99">
        <f t="shared" si="57"/>
        <v>4</v>
      </c>
      <c r="M250" s="99">
        <f t="shared" si="57"/>
        <v>5</v>
      </c>
      <c r="N250" s="99">
        <f t="shared" si="57"/>
        <v>6</v>
      </c>
      <c r="O250" s="99">
        <f t="shared" si="57"/>
        <v>7</v>
      </c>
      <c r="Q250" s="35"/>
      <c r="S250" s="167" t="s">
        <v>130</v>
      </c>
      <c r="T250" s="167" t="s">
        <v>131</v>
      </c>
      <c r="U250" s="167" t="s">
        <v>132</v>
      </c>
      <c r="V250" s="167" t="s">
        <v>133</v>
      </c>
      <c r="W250" s="167" t="s">
        <v>134</v>
      </c>
      <c r="X250" s="167" t="s">
        <v>135</v>
      </c>
      <c r="Y250" s="167" t="s">
        <v>136</v>
      </c>
      <c r="Z250" s="167" t="s">
        <v>137</v>
      </c>
      <c r="AA250" s="167" t="s">
        <v>138</v>
      </c>
      <c r="AB250" s="167" t="s">
        <v>139</v>
      </c>
    </row>
    <row r="251" spans="2:28" s="24" customFormat="1" x14ac:dyDescent="0.3">
      <c r="B251" s="61"/>
      <c r="C251" s="42"/>
      <c r="D251" s="51"/>
      <c r="E251" s="62"/>
      <c r="F251" s="62"/>
      <c r="G251" s="62"/>
      <c r="H251" s="62"/>
      <c r="I251" s="62"/>
      <c r="J251" s="62"/>
      <c r="K251" s="62"/>
      <c r="L251" s="62"/>
      <c r="M251" s="62"/>
      <c r="N251" s="62"/>
      <c r="O251" s="62"/>
      <c r="Q251" s="35"/>
      <c r="S251" s="238"/>
      <c r="T251" s="238"/>
      <c r="U251" s="238"/>
      <c r="V251" s="238"/>
      <c r="W251" s="238"/>
      <c r="X251" s="238"/>
      <c r="Y251" s="238"/>
      <c r="Z251" s="238"/>
      <c r="AA251" s="238"/>
      <c r="AB251" s="238"/>
    </row>
    <row r="252" spans="2:28" x14ac:dyDescent="0.3">
      <c r="B252" s="23"/>
      <c r="C252" s="50" t="s">
        <v>130</v>
      </c>
      <c r="D252" s="43" t="s">
        <v>141</v>
      </c>
      <c r="E252" s="87">
        <v>0</v>
      </c>
      <c r="F252" s="87">
        <v>0</v>
      </c>
      <c r="G252" s="87">
        <v>0</v>
      </c>
      <c r="H252" s="88">
        <f>H276</f>
        <v>0</v>
      </c>
      <c r="I252" s="88">
        <f t="shared" ref="I252:O252" si="58">I276</f>
        <v>0</v>
      </c>
      <c r="J252" s="88">
        <f t="shared" si="58"/>
        <v>0</v>
      </c>
      <c r="K252" s="88">
        <f t="shared" si="58"/>
        <v>0</v>
      </c>
      <c r="L252" s="88">
        <f t="shared" si="58"/>
        <v>0</v>
      </c>
      <c r="M252" s="88">
        <f t="shared" si="58"/>
        <v>0</v>
      </c>
      <c r="N252" s="88">
        <f t="shared" si="58"/>
        <v>0</v>
      </c>
      <c r="O252" s="88">
        <f t="shared" si="58"/>
        <v>0</v>
      </c>
      <c r="Q252" s="35"/>
      <c r="S252" s="238"/>
      <c r="T252" s="238"/>
      <c r="U252" s="238"/>
      <c r="V252" s="238"/>
      <c r="W252" s="238"/>
      <c r="X252" s="238"/>
      <c r="Y252" s="238"/>
      <c r="Z252" s="238"/>
      <c r="AA252" s="238"/>
      <c r="AB252" s="238"/>
    </row>
    <row r="253" spans="2:28" s="22" customFormat="1" x14ac:dyDescent="0.3">
      <c r="B253" s="35"/>
      <c r="C253" s="50" t="s">
        <v>131</v>
      </c>
      <c r="D253" s="43" t="s">
        <v>141</v>
      </c>
      <c r="E253" s="87">
        <v>0</v>
      </c>
      <c r="F253" s="87">
        <v>0</v>
      </c>
      <c r="G253" s="87">
        <v>0</v>
      </c>
      <c r="H253" s="88">
        <f>H270</f>
        <v>0</v>
      </c>
      <c r="I253" s="88">
        <f t="shared" ref="I253:O253" si="59">I270</f>
        <v>0</v>
      </c>
      <c r="J253" s="88">
        <f t="shared" si="59"/>
        <v>0</v>
      </c>
      <c r="K253" s="88">
        <f t="shared" si="59"/>
        <v>0</v>
      </c>
      <c r="L253" s="88">
        <f t="shared" si="59"/>
        <v>0</v>
      </c>
      <c r="M253" s="88">
        <f t="shared" si="59"/>
        <v>0</v>
      </c>
      <c r="N253" s="88">
        <f t="shared" si="59"/>
        <v>0</v>
      </c>
      <c r="O253" s="88">
        <f t="shared" si="59"/>
        <v>0</v>
      </c>
      <c r="Q253" s="35"/>
      <c r="S253" s="238"/>
      <c r="T253" s="238"/>
      <c r="U253" s="238"/>
      <c r="V253" s="238"/>
      <c r="W253" s="238"/>
      <c r="X253" s="238"/>
      <c r="Y253" s="238"/>
      <c r="Z253" s="238"/>
      <c r="AA253" s="238"/>
      <c r="AB253" s="238"/>
    </row>
    <row r="254" spans="2:28" s="53" customFormat="1" x14ac:dyDescent="0.3">
      <c r="B254" s="63"/>
      <c r="C254" s="40" t="s">
        <v>132</v>
      </c>
      <c r="D254" s="43" t="s">
        <v>141</v>
      </c>
      <c r="E254" s="87">
        <v>0</v>
      </c>
      <c r="F254" s="87">
        <v>0</v>
      </c>
      <c r="G254" s="87">
        <v>0</v>
      </c>
      <c r="H254" s="88">
        <f>G254*(1+'Date macro-economice'!H$9)*(1+'Costuri operare'!H278)</f>
        <v>0</v>
      </c>
      <c r="I254" s="88">
        <f>H254*(1+'Date macro-economice'!I$9)*(1+'Costuri operare'!I278)</f>
        <v>0</v>
      </c>
      <c r="J254" s="88">
        <f>I254*(1+'Date macro-economice'!J$9)*(1+'Costuri operare'!J278)</f>
        <v>0</v>
      </c>
      <c r="K254" s="88">
        <f>J254*(1+'Date macro-economice'!K$9)*(1+'Costuri operare'!K278)</f>
        <v>0</v>
      </c>
      <c r="L254" s="88">
        <f>K254*(1+'Date macro-economice'!L$9)*(1+'Costuri operare'!L278)</f>
        <v>0</v>
      </c>
      <c r="M254" s="88">
        <f>L254*(1+'Date macro-economice'!M$9)*(1+'Costuri operare'!M278)</f>
        <v>0</v>
      </c>
      <c r="N254" s="88">
        <f>M254*(1+'Date macro-economice'!N$9)*(1+'Costuri operare'!N278)</f>
        <v>0</v>
      </c>
      <c r="O254" s="88">
        <f>N254*(1+'Date macro-economice'!O$9)*(1+'Costuri operare'!O278)</f>
        <v>0</v>
      </c>
      <c r="Q254" s="35"/>
      <c r="S254" s="238"/>
      <c r="T254" s="238"/>
      <c r="U254" s="238"/>
      <c r="V254" s="238"/>
      <c r="W254" s="238"/>
      <c r="X254" s="238"/>
      <c r="Y254" s="238"/>
      <c r="Z254" s="238"/>
      <c r="AA254" s="238"/>
      <c r="AB254" s="238"/>
    </row>
    <row r="255" spans="2:28" s="22" customFormat="1" x14ac:dyDescent="0.3">
      <c r="B255" s="35"/>
      <c r="C255" s="40" t="s">
        <v>133</v>
      </c>
      <c r="D255" s="43" t="s">
        <v>141</v>
      </c>
      <c r="E255" s="87">
        <v>0</v>
      </c>
      <c r="F255" s="87">
        <v>0</v>
      </c>
      <c r="G255" s="87">
        <v>0</v>
      </c>
      <c r="H255" s="88">
        <f t="shared" ref="H255:O255" si="60">H285</f>
        <v>0</v>
      </c>
      <c r="I255" s="88">
        <f t="shared" si="60"/>
        <v>0</v>
      </c>
      <c r="J255" s="88">
        <f t="shared" si="60"/>
        <v>0</v>
      </c>
      <c r="K255" s="88">
        <f t="shared" si="60"/>
        <v>0</v>
      </c>
      <c r="L255" s="88">
        <f t="shared" si="60"/>
        <v>0</v>
      </c>
      <c r="M255" s="88">
        <f t="shared" si="60"/>
        <v>0</v>
      </c>
      <c r="N255" s="88">
        <f t="shared" si="60"/>
        <v>0</v>
      </c>
      <c r="O255" s="88">
        <f t="shared" si="60"/>
        <v>0</v>
      </c>
      <c r="Q255" s="35"/>
      <c r="S255" s="238"/>
      <c r="T255" s="238"/>
      <c r="U255" s="238"/>
      <c r="V255" s="238"/>
      <c r="W255" s="238"/>
      <c r="X255" s="238"/>
      <c r="Y255" s="238"/>
      <c r="Z255" s="238"/>
      <c r="AA255" s="238"/>
      <c r="AB255" s="238"/>
    </row>
    <row r="256" spans="2:28" s="22" customFormat="1" x14ac:dyDescent="0.3">
      <c r="B256" s="35"/>
      <c r="C256" s="40" t="s">
        <v>134</v>
      </c>
      <c r="D256" s="43" t="s">
        <v>141</v>
      </c>
      <c r="E256" s="87">
        <v>0</v>
      </c>
      <c r="F256" s="87">
        <v>0</v>
      </c>
      <c r="G256" s="87">
        <v>0</v>
      </c>
      <c r="H256" s="88">
        <f t="shared" ref="H256:O256" si="61">H288+H289+H290</f>
        <v>0</v>
      </c>
      <c r="I256" s="88">
        <f t="shared" si="61"/>
        <v>0</v>
      </c>
      <c r="J256" s="88">
        <f t="shared" si="61"/>
        <v>0</v>
      </c>
      <c r="K256" s="88">
        <f t="shared" si="61"/>
        <v>0</v>
      </c>
      <c r="L256" s="88">
        <f t="shared" si="61"/>
        <v>0</v>
      </c>
      <c r="M256" s="88">
        <f t="shared" si="61"/>
        <v>0</v>
      </c>
      <c r="N256" s="88">
        <f t="shared" si="61"/>
        <v>0</v>
      </c>
      <c r="O256" s="88">
        <f t="shared" si="61"/>
        <v>0</v>
      </c>
      <c r="Q256" s="35"/>
      <c r="S256" s="238"/>
      <c r="T256" s="238"/>
      <c r="U256" s="238"/>
      <c r="V256" s="238"/>
      <c r="W256" s="238"/>
      <c r="X256" s="238"/>
      <c r="Y256" s="238"/>
      <c r="Z256" s="238"/>
      <c r="AA256" s="238"/>
      <c r="AB256" s="238"/>
    </row>
    <row r="257" spans="2:28" s="22" customFormat="1" x14ac:dyDescent="0.3">
      <c r="B257" s="35"/>
      <c r="C257" s="40" t="s">
        <v>135</v>
      </c>
      <c r="D257" s="43" t="s">
        <v>141</v>
      </c>
      <c r="E257" s="87">
        <v>0</v>
      </c>
      <c r="F257" s="87">
        <v>0</v>
      </c>
      <c r="G257" s="87">
        <v>0</v>
      </c>
      <c r="H257" s="88">
        <f>G257*(1+H300)*(1+'Date macro-economice'!H$9)</f>
        <v>0</v>
      </c>
      <c r="I257" s="88">
        <f>H257*(1+I300)*(1+'Date macro-economice'!I$9)</f>
        <v>0</v>
      </c>
      <c r="J257" s="88">
        <f>I257*(1+J300)*(1+'Date macro-economice'!J$9)</f>
        <v>0</v>
      </c>
      <c r="K257" s="88">
        <f>J257*(1+K300)*(1+'Date macro-economice'!K$9)</f>
        <v>0</v>
      </c>
      <c r="L257" s="88">
        <f>K257*(1+L300)*(1+'Date macro-economice'!L$9)</f>
        <v>0</v>
      </c>
      <c r="M257" s="88">
        <f>L257*(1+M300)*(1+'Date macro-economice'!M$9)</f>
        <v>0</v>
      </c>
      <c r="N257" s="88">
        <f>M257*(1+N300)*(1+'Date macro-economice'!N$9)</f>
        <v>0</v>
      </c>
      <c r="O257" s="88">
        <f>N257*(1+O300)*(1+'Date macro-economice'!O$9)</f>
        <v>0</v>
      </c>
      <c r="Q257" s="35"/>
      <c r="S257" s="238"/>
      <c r="T257" s="238"/>
      <c r="U257" s="238"/>
      <c r="V257" s="238"/>
      <c r="W257" s="238"/>
      <c r="X257" s="238"/>
      <c r="Y257" s="238"/>
      <c r="Z257" s="238"/>
      <c r="AA257" s="238"/>
      <c r="AB257" s="238"/>
    </row>
    <row r="258" spans="2:28" s="22" customFormat="1" x14ac:dyDescent="0.3">
      <c r="B258" s="35"/>
      <c r="C258" s="40" t="s">
        <v>136</v>
      </c>
      <c r="D258" s="43" t="s">
        <v>141</v>
      </c>
      <c r="E258" s="87">
        <v>0</v>
      </c>
      <c r="F258" s="87">
        <v>0</v>
      </c>
      <c r="G258" s="87">
        <v>0</v>
      </c>
      <c r="H258" s="88">
        <f>G258*(1+H301)*(1+'Date macro-economice'!H$9)</f>
        <v>0</v>
      </c>
      <c r="I258" s="88">
        <f>H258*(1+I301)*(1+'Date macro-economice'!I$9)</f>
        <v>0</v>
      </c>
      <c r="J258" s="88">
        <f>I258*(1+J301)*(1+'Date macro-economice'!J$9)</f>
        <v>0</v>
      </c>
      <c r="K258" s="88">
        <f>J258*(1+K301)*(1+'Date macro-economice'!K$9)</f>
        <v>0</v>
      </c>
      <c r="L258" s="88">
        <f>K258*(1+L301)*(1+'Date macro-economice'!L$9)</f>
        <v>0</v>
      </c>
      <c r="M258" s="88">
        <f>L258*(1+M301)*(1+'Date macro-economice'!M$9)</f>
        <v>0</v>
      </c>
      <c r="N258" s="88">
        <f>M258*(1+N301)*(1+'Date macro-economice'!N$9)</f>
        <v>0</v>
      </c>
      <c r="O258" s="88">
        <f>N258*(1+O301)*(1+'Date macro-economice'!O$9)</f>
        <v>0</v>
      </c>
      <c r="Q258" s="35"/>
      <c r="S258" s="238"/>
      <c r="T258" s="238"/>
      <c r="U258" s="238"/>
      <c r="V258" s="238"/>
      <c r="W258" s="238"/>
      <c r="X258" s="238"/>
      <c r="Y258" s="238"/>
      <c r="Z258" s="238"/>
      <c r="AA258" s="238"/>
      <c r="AB258" s="238"/>
    </row>
    <row r="259" spans="2:28" s="22" customFormat="1" x14ac:dyDescent="0.3">
      <c r="B259" s="35"/>
      <c r="C259" s="40" t="s">
        <v>137</v>
      </c>
      <c r="D259" s="43" t="s">
        <v>141</v>
      </c>
      <c r="E259" s="87">
        <v>0</v>
      </c>
      <c r="F259" s="87">
        <v>0</v>
      </c>
      <c r="G259" s="87">
        <v>0</v>
      </c>
      <c r="H259" s="88">
        <f t="shared" ref="H259:O260" si="62">G259*(1+H304)</f>
        <v>0</v>
      </c>
      <c r="I259" s="88">
        <f t="shared" si="62"/>
        <v>0</v>
      </c>
      <c r="J259" s="88">
        <f t="shared" si="62"/>
        <v>0</v>
      </c>
      <c r="K259" s="88">
        <f t="shared" si="62"/>
        <v>0</v>
      </c>
      <c r="L259" s="88">
        <f t="shared" si="62"/>
        <v>0</v>
      </c>
      <c r="M259" s="88">
        <f t="shared" si="62"/>
        <v>0</v>
      </c>
      <c r="N259" s="88">
        <f t="shared" si="62"/>
        <v>0</v>
      </c>
      <c r="O259" s="88">
        <f t="shared" si="62"/>
        <v>0</v>
      </c>
      <c r="Q259" s="35"/>
      <c r="S259" s="238"/>
      <c r="T259" s="238"/>
      <c r="U259" s="238"/>
      <c r="V259" s="238"/>
      <c r="W259" s="238"/>
      <c r="X259" s="238"/>
      <c r="Y259" s="238"/>
      <c r="Z259" s="238"/>
      <c r="AA259" s="238"/>
      <c r="AB259" s="238"/>
    </row>
    <row r="260" spans="2:28" s="22" customFormat="1" x14ac:dyDescent="0.3">
      <c r="B260" s="35"/>
      <c r="C260" s="40" t="s">
        <v>138</v>
      </c>
      <c r="D260" s="43" t="s">
        <v>141</v>
      </c>
      <c r="E260" s="87">
        <v>0</v>
      </c>
      <c r="F260" s="87">
        <v>0</v>
      </c>
      <c r="G260" s="87">
        <v>0</v>
      </c>
      <c r="H260" s="88">
        <f t="shared" si="62"/>
        <v>0</v>
      </c>
      <c r="I260" s="88">
        <f t="shared" si="62"/>
        <v>0</v>
      </c>
      <c r="J260" s="88">
        <f t="shared" si="62"/>
        <v>0</v>
      </c>
      <c r="K260" s="88">
        <f t="shared" si="62"/>
        <v>0</v>
      </c>
      <c r="L260" s="88">
        <f t="shared" si="62"/>
        <v>0</v>
      </c>
      <c r="M260" s="88">
        <f t="shared" si="62"/>
        <v>0</v>
      </c>
      <c r="N260" s="88">
        <f t="shared" si="62"/>
        <v>0</v>
      </c>
      <c r="O260" s="88">
        <f t="shared" si="62"/>
        <v>0</v>
      </c>
      <c r="Q260" s="35"/>
      <c r="S260" s="238"/>
      <c r="T260" s="238"/>
      <c r="U260" s="238"/>
      <c r="V260" s="238"/>
      <c r="W260" s="238"/>
      <c r="X260" s="238"/>
      <c r="Y260" s="238"/>
      <c r="Z260" s="238"/>
      <c r="AA260" s="238"/>
      <c r="AB260" s="238"/>
    </row>
    <row r="261" spans="2:28" s="22" customFormat="1" ht="28.8" x14ac:dyDescent="0.3">
      <c r="B261" s="35"/>
      <c r="C261" s="40" t="s">
        <v>142</v>
      </c>
      <c r="D261" s="43" t="s">
        <v>141</v>
      </c>
      <c r="E261" s="87">
        <v>0</v>
      </c>
      <c r="F261" s="87">
        <v>0</v>
      </c>
      <c r="G261" s="87">
        <v>0</v>
      </c>
      <c r="H261" s="87">
        <v>0</v>
      </c>
      <c r="I261" s="87">
        <v>0</v>
      </c>
      <c r="J261" s="87">
        <v>0</v>
      </c>
      <c r="K261" s="87">
        <v>0</v>
      </c>
      <c r="L261" s="87">
        <v>0</v>
      </c>
      <c r="M261" s="87">
        <v>0</v>
      </c>
      <c r="N261" s="87">
        <v>0</v>
      </c>
      <c r="O261" s="87">
        <v>0</v>
      </c>
      <c r="Q261" s="35"/>
      <c r="S261" s="238"/>
      <c r="T261" s="238"/>
      <c r="U261" s="238"/>
      <c r="V261" s="238"/>
      <c r="W261" s="238"/>
      <c r="X261" s="238"/>
      <c r="Y261" s="238"/>
      <c r="Z261" s="238"/>
      <c r="AA261" s="238"/>
      <c r="AB261" s="238"/>
    </row>
    <row r="262" spans="2:28" s="22" customFormat="1" x14ac:dyDescent="0.3">
      <c r="B262" s="35"/>
      <c r="C262" s="155" t="s">
        <v>143</v>
      </c>
      <c r="D262" s="129" t="s">
        <v>141</v>
      </c>
      <c r="E262" s="87">
        <v>0</v>
      </c>
      <c r="F262" s="87">
        <v>0</v>
      </c>
      <c r="G262" s="87">
        <v>0</v>
      </c>
      <c r="H262" s="88">
        <f>G262*(1+H302)*(1+'Date macro-economice'!H$9)</f>
        <v>0</v>
      </c>
      <c r="I262" s="88">
        <f>H262*(1+I302)*(1+'Date macro-economice'!I$9)</f>
        <v>0</v>
      </c>
      <c r="J262" s="88">
        <f>I262*(1+J302)*(1+'Date macro-economice'!J$9)</f>
        <v>0</v>
      </c>
      <c r="K262" s="88">
        <f>J262*(1+K302)*(1+'Date macro-economice'!K$9)</f>
        <v>0</v>
      </c>
      <c r="L262" s="88">
        <f>K262*(1+L302)*(1+'Date macro-economice'!L$9)</f>
        <v>0</v>
      </c>
      <c r="M262" s="88">
        <f>L262*(1+M302)*(1+'Date macro-economice'!M$9)</f>
        <v>0</v>
      </c>
      <c r="N262" s="88">
        <f>M262*(1+N302)*(1+'Date macro-economice'!N$9)</f>
        <v>0</v>
      </c>
      <c r="O262" s="88">
        <f>N262*(1+O302)*(1+'Date macro-economice'!O$9)</f>
        <v>0</v>
      </c>
      <c r="Q262" s="35"/>
      <c r="S262" s="238"/>
      <c r="T262" s="238"/>
      <c r="U262" s="238"/>
      <c r="V262" s="238"/>
      <c r="W262" s="238"/>
      <c r="X262" s="238"/>
      <c r="Y262" s="238"/>
      <c r="Z262" s="238"/>
      <c r="AA262" s="238"/>
      <c r="AB262" s="238"/>
    </row>
    <row r="263" spans="2:28" s="22" customFormat="1" x14ac:dyDescent="0.3">
      <c r="B263" s="35"/>
      <c r="C263" s="42" t="s">
        <v>144</v>
      </c>
      <c r="D263" s="51" t="s">
        <v>141</v>
      </c>
      <c r="E263" s="62">
        <f t="shared" ref="E263:O263" si="63">SUM(E252:E262)</f>
        <v>0</v>
      </c>
      <c r="F263" s="62">
        <f t="shared" si="63"/>
        <v>0</v>
      </c>
      <c r="G263" s="62">
        <f t="shared" si="63"/>
        <v>0</v>
      </c>
      <c r="H263" s="62">
        <f t="shared" si="63"/>
        <v>0</v>
      </c>
      <c r="I263" s="62">
        <f t="shared" si="63"/>
        <v>0</v>
      </c>
      <c r="J263" s="62">
        <f t="shared" si="63"/>
        <v>0</v>
      </c>
      <c r="K263" s="62">
        <f t="shared" si="63"/>
        <v>0</v>
      </c>
      <c r="L263" s="62">
        <f t="shared" si="63"/>
        <v>0</v>
      </c>
      <c r="M263" s="62">
        <f t="shared" si="63"/>
        <v>0</v>
      </c>
      <c r="N263" s="62">
        <f t="shared" si="63"/>
        <v>0</v>
      </c>
      <c r="O263" s="62">
        <f t="shared" si="63"/>
        <v>0</v>
      </c>
      <c r="Q263" s="35"/>
      <c r="S263" s="238"/>
      <c r="T263" s="238"/>
      <c r="U263" s="238"/>
      <c r="V263" s="238"/>
      <c r="W263" s="238"/>
      <c r="X263" s="238"/>
      <c r="Y263" s="238"/>
      <c r="Z263" s="238"/>
      <c r="AA263" s="238"/>
      <c r="AB263" s="238"/>
    </row>
    <row r="264" spans="2:28" s="22" customFormat="1" x14ac:dyDescent="0.3">
      <c r="B264" s="35"/>
      <c r="Q264" s="35"/>
      <c r="S264" s="238"/>
      <c r="T264" s="238"/>
      <c r="U264" s="238"/>
      <c r="V264" s="238"/>
      <c r="W264" s="238"/>
      <c r="X264" s="238"/>
      <c r="Y264" s="238"/>
      <c r="Z264" s="238"/>
      <c r="AA264" s="238"/>
      <c r="AB264" s="238"/>
    </row>
    <row r="265" spans="2:28" s="22" customFormat="1" x14ac:dyDescent="0.3">
      <c r="B265" s="35"/>
      <c r="Q265" s="35"/>
      <c r="S265" s="238"/>
      <c r="T265" s="238"/>
      <c r="U265" s="238"/>
      <c r="V265" s="238"/>
      <c r="W265" s="238"/>
      <c r="X265" s="238"/>
      <c r="Y265" s="238"/>
      <c r="Z265" s="238"/>
      <c r="AA265" s="238"/>
      <c r="AB265" s="238"/>
    </row>
    <row r="266" spans="2:28" s="22" customFormat="1" x14ac:dyDescent="0.3">
      <c r="B266" s="35"/>
      <c r="C266" s="66" t="s">
        <v>145</v>
      </c>
      <c r="D266" s="40"/>
      <c r="E266" s="40"/>
      <c r="F266" s="40"/>
      <c r="G266" s="40"/>
      <c r="H266" s="40"/>
      <c r="I266" s="40"/>
      <c r="J266" s="40"/>
      <c r="K266" s="40"/>
      <c r="L266" s="40"/>
      <c r="M266" s="40"/>
      <c r="N266" s="40"/>
      <c r="O266" s="40"/>
      <c r="Q266" s="35"/>
      <c r="S266" s="238"/>
      <c r="T266" s="238"/>
      <c r="U266" s="238"/>
      <c r="V266" s="238"/>
      <c r="W266" s="238"/>
      <c r="X266" s="238"/>
      <c r="Y266" s="238"/>
      <c r="Z266" s="238"/>
      <c r="AA266" s="238"/>
      <c r="AB266" s="238"/>
    </row>
    <row r="267" spans="2:28" s="22" customFormat="1" x14ac:dyDescent="0.3">
      <c r="B267" s="35"/>
      <c r="C267" s="40" t="s">
        <v>189</v>
      </c>
      <c r="D267" s="43" t="s">
        <v>83</v>
      </c>
      <c r="E267" s="87">
        <v>0</v>
      </c>
      <c r="F267" s="87">
        <v>0</v>
      </c>
      <c r="G267" s="87">
        <v>0</v>
      </c>
      <c r="H267" s="87">
        <v>0</v>
      </c>
      <c r="I267" s="87">
        <v>0</v>
      </c>
      <c r="J267" s="87">
        <v>0</v>
      </c>
      <c r="K267" s="87">
        <v>0</v>
      </c>
      <c r="L267" s="87">
        <v>0</v>
      </c>
      <c r="M267" s="87">
        <v>0</v>
      </c>
      <c r="N267" s="87">
        <v>0</v>
      </c>
      <c r="O267" s="87">
        <v>0</v>
      </c>
      <c r="Q267" s="35"/>
      <c r="S267" s="238"/>
      <c r="T267" s="238"/>
      <c r="U267" s="238"/>
      <c r="V267" s="238"/>
      <c r="W267" s="238"/>
      <c r="X267" s="238"/>
      <c r="Y267" s="238"/>
      <c r="Z267" s="238"/>
      <c r="AA267" s="238"/>
      <c r="AB267" s="238"/>
    </row>
    <row r="268" spans="2:28" s="22" customFormat="1" x14ac:dyDescent="0.3">
      <c r="B268" s="35"/>
      <c r="C268" s="40" t="s">
        <v>147</v>
      </c>
      <c r="D268" s="43" t="s">
        <v>36</v>
      </c>
      <c r="E268" s="150" t="e">
        <f>E270/E267</f>
        <v>#DIV/0!</v>
      </c>
      <c r="F268" s="150" t="e">
        <f>F270/F267</f>
        <v>#DIV/0!</v>
      </c>
      <c r="G268" s="150">
        <f>IFERROR(G270/G267,0)</f>
        <v>0</v>
      </c>
      <c r="H268" s="150">
        <f>G268*(1+'Date macro-economice'!H$9)*(1+'Costuri operare'!H269)</f>
        <v>0</v>
      </c>
      <c r="I268" s="150">
        <f>H268*(1+'Date macro-economice'!I$9)*(1+'Costuri operare'!I269)</f>
        <v>0</v>
      </c>
      <c r="J268" s="150">
        <f>I268*(1+'Date macro-economice'!J$9)*(1+'Costuri operare'!J269)</f>
        <v>0</v>
      </c>
      <c r="K268" s="150">
        <f>J268*(1+'Date macro-economice'!K$9)*(1+'Costuri operare'!K269)</f>
        <v>0</v>
      </c>
      <c r="L268" s="150">
        <f>K268*(1+'Date macro-economice'!L$9)*(1+'Costuri operare'!L269)</f>
        <v>0</v>
      </c>
      <c r="M268" s="150">
        <f>L268*(1+'Date macro-economice'!M$9)*(1+'Costuri operare'!M269)</f>
        <v>0</v>
      </c>
      <c r="N268" s="150">
        <f>M268*(1+'Date macro-economice'!N$9)*(1+'Costuri operare'!N269)</f>
        <v>0</v>
      </c>
      <c r="O268" s="150">
        <f>N268*(1+'Date macro-economice'!O$9)*(1+'Costuri operare'!O269)</f>
        <v>0</v>
      </c>
      <c r="Q268" s="35"/>
      <c r="S268" s="238"/>
      <c r="T268" s="238"/>
      <c r="U268" s="238"/>
      <c r="V268" s="238"/>
      <c r="W268" s="238"/>
      <c r="X268" s="238"/>
      <c r="Y268" s="238"/>
      <c r="Z268" s="238"/>
      <c r="AA268" s="238"/>
      <c r="AB268" s="238"/>
    </row>
    <row r="269" spans="2:28" s="22" customFormat="1" x14ac:dyDescent="0.3">
      <c r="B269" s="35"/>
      <c r="C269" s="40" t="s">
        <v>148</v>
      </c>
      <c r="D269" s="43" t="s">
        <v>47</v>
      </c>
      <c r="E269" s="158" t="s">
        <v>92</v>
      </c>
      <c r="F269" s="36" t="e">
        <f>(F268/E268)/(1+'Date macro-economice'!F$9)-1</f>
        <v>#DIV/0!</v>
      </c>
      <c r="G269" s="36" t="e">
        <f>(G268/F268)/(1+'Date macro-economice'!G$9)-1</f>
        <v>#DIV/0!</v>
      </c>
      <c r="H269" s="159">
        <v>0</v>
      </c>
      <c r="I269" s="159">
        <v>0</v>
      </c>
      <c r="J269" s="159">
        <v>0</v>
      </c>
      <c r="K269" s="159">
        <v>0</v>
      </c>
      <c r="L269" s="159">
        <v>0</v>
      </c>
      <c r="M269" s="159">
        <v>0</v>
      </c>
      <c r="N269" s="159">
        <v>0</v>
      </c>
      <c r="O269" s="159">
        <v>0</v>
      </c>
      <c r="Q269" s="35"/>
      <c r="S269" s="238"/>
      <c r="T269" s="238"/>
      <c r="U269" s="238"/>
      <c r="V269" s="238"/>
      <c r="W269" s="238"/>
      <c r="X269" s="238"/>
      <c r="Y269" s="238"/>
      <c r="Z269" s="238"/>
      <c r="AA269" s="238"/>
      <c r="AB269" s="238"/>
    </row>
    <row r="270" spans="2:28" x14ac:dyDescent="0.3">
      <c r="B270" s="35"/>
      <c r="C270" s="81" t="s">
        <v>149</v>
      </c>
      <c r="D270" s="82" t="s">
        <v>141</v>
      </c>
      <c r="E270" s="91">
        <f>E253</f>
        <v>0</v>
      </c>
      <c r="F270" s="91">
        <f>F253</f>
        <v>0</v>
      </c>
      <c r="G270" s="91">
        <f>G253</f>
        <v>0</v>
      </c>
      <c r="H270" s="91">
        <f>H267*H268</f>
        <v>0</v>
      </c>
      <c r="I270" s="91">
        <f t="shared" ref="I270:O270" si="64">I267*I268</f>
        <v>0</v>
      </c>
      <c r="J270" s="91">
        <f t="shared" si="64"/>
        <v>0</v>
      </c>
      <c r="K270" s="91">
        <f t="shared" si="64"/>
        <v>0</v>
      </c>
      <c r="L270" s="91">
        <f t="shared" si="64"/>
        <v>0</v>
      </c>
      <c r="M270" s="91">
        <f t="shared" si="64"/>
        <v>0</v>
      </c>
      <c r="N270" s="91">
        <f t="shared" si="64"/>
        <v>0</v>
      </c>
      <c r="O270" s="91">
        <f t="shared" si="64"/>
        <v>0</v>
      </c>
      <c r="Q270" s="35"/>
      <c r="S270" s="238"/>
      <c r="T270" s="238"/>
      <c r="U270" s="238"/>
      <c r="V270" s="238"/>
      <c r="W270" s="238"/>
      <c r="X270" s="238"/>
      <c r="Y270" s="238"/>
      <c r="Z270" s="238"/>
      <c r="AA270" s="238"/>
      <c r="AB270" s="238"/>
    </row>
    <row r="271" spans="2:28" x14ac:dyDescent="0.3">
      <c r="B271" s="35"/>
      <c r="Q271" s="35"/>
      <c r="S271" s="238"/>
      <c r="T271" s="238"/>
      <c r="U271" s="238"/>
      <c r="V271" s="238"/>
      <c r="W271" s="238"/>
      <c r="X271" s="238"/>
      <c r="Y271" s="238"/>
      <c r="Z271" s="238"/>
      <c r="AA271" s="238"/>
      <c r="AB271" s="238"/>
    </row>
    <row r="272" spans="2:28" s="22" customFormat="1" x14ac:dyDescent="0.3">
      <c r="B272" s="35"/>
      <c r="C272" s="66" t="s">
        <v>150</v>
      </c>
      <c r="D272" s="40"/>
      <c r="E272" s="40"/>
      <c r="F272" s="40"/>
      <c r="G272" s="40"/>
      <c r="H272" s="40"/>
      <c r="I272" s="40"/>
      <c r="J272" s="40"/>
      <c r="K272" s="40"/>
      <c r="L272" s="40"/>
      <c r="M272" s="40"/>
      <c r="N272" s="40"/>
      <c r="O272" s="40"/>
      <c r="Q272" s="35"/>
      <c r="S272" s="238"/>
      <c r="T272" s="238"/>
      <c r="U272" s="238"/>
      <c r="V272" s="238"/>
      <c r="W272" s="238"/>
      <c r="X272" s="238"/>
      <c r="Y272" s="238"/>
      <c r="Z272" s="238"/>
      <c r="AA272" s="238"/>
      <c r="AB272" s="238"/>
    </row>
    <row r="273" spans="2:28" s="22" customFormat="1" x14ac:dyDescent="0.3">
      <c r="B273" s="35"/>
      <c r="C273" s="40" t="s">
        <v>151</v>
      </c>
      <c r="D273" s="43" t="s">
        <v>83</v>
      </c>
      <c r="E273" s="87">
        <v>0</v>
      </c>
      <c r="F273" s="87">
        <v>0</v>
      </c>
      <c r="G273" s="87">
        <v>0</v>
      </c>
      <c r="H273" s="87">
        <v>0</v>
      </c>
      <c r="I273" s="87">
        <v>0</v>
      </c>
      <c r="J273" s="87">
        <v>0</v>
      </c>
      <c r="K273" s="87">
        <v>0</v>
      </c>
      <c r="L273" s="87">
        <v>0</v>
      </c>
      <c r="M273" s="87">
        <v>0</v>
      </c>
      <c r="N273" s="87">
        <v>0</v>
      </c>
      <c r="O273" s="87">
        <v>0</v>
      </c>
      <c r="Q273" s="35"/>
      <c r="S273" s="238"/>
      <c r="T273" s="238"/>
      <c r="U273" s="238"/>
      <c r="V273" s="238"/>
      <c r="W273" s="238"/>
      <c r="X273" s="238"/>
      <c r="Y273" s="238"/>
      <c r="Z273" s="238"/>
      <c r="AA273" s="238"/>
      <c r="AB273" s="238"/>
    </row>
    <row r="274" spans="2:28" s="22" customFormat="1" x14ac:dyDescent="0.3">
      <c r="B274" s="35"/>
      <c r="C274" s="40" t="s">
        <v>147</v>
      </c>
      <c r="D274" s="43" t="s">
        <v>36</v>
      </c>
      <c r="E274" s="170" t="e">
        <f>E276/E273</f>
        <v>#DIV/0!</v>
      </c>
      <c r="F274" s="170" t="e">
        <f>F276/F273</f>
        <v>#DIV/0!</v>
      </c>
      <c r="G274" s="170">
        <f>IFERROR(G276/G273,0)</f>
        <v>0</v>
      </c>
      <c r="H274" s="40">
        <f>G274*(1+'Date macro-economice'!G$9)*(1+'Costuri operare'!H275)</f>
        <v>0</v>
      </c>
      <c r="I274" s="40">
        <f>H274*(1+'Date macro-economice'!H$9)*(1+'Costuri operare'!I275)</f>
        <v>0</v>
      </c>
      <c r="J274" s="40">
        <f>I274*(1+'Date macro-economice'!I$9)*(1+'Costuri operare'!J275)</f>
        <v>0</v>
      </c>
      <c r="K274" s="40">
        <f>J274*(1+'Date macro-economice'!J$9)*(1+'Costuri operare'!K275)</f>
        <v>0</v>
      </c>
      <c r="L274" s="40">
        <f>K274*(1+'Date macro-economice'!K$9)*(1+'Costuri operare'!L275)</f>
        <v>0</v>
      </c>
      <c r="M274" s="40">
        <f>L274*(1+'Date macro-economice'!L$9)*(1+'Costuri operare'!M275)</f>
        <v>0</v>
      </c>
      <c r="N274" s="40">
        <f>M274*(1+'Date macro-economice'!M$9)*(1+'Costuri operare'!N275)</f>
        <v>0</v>
      </c>
      <c r="O274" s="40">
        <f>N274*(1+'Date macro-economice'!N$9)*(1+'Costuri operare'!O275)</f>
        <v>0</v>
      </c>
      <c r="Q274" s="35"/>
      <c r="S274" s="238"/>
      <c r="T274" s="238"/>
      <c r="U274" s="238"/>
      <c r="V274" s="238"/>
      <c r="W274" s="238"/>
      <c r="X274" s="238"/>
      <c r="Y274" s="238"/>
      <c r="Z274" s="238"/>
      <c r="AA274" s="238"/>
      <c r="AB274" s="238"/>
    </row>
    <row r="275" spans="2:28" s="22" customFormat="1" x14ac:dyDescent="0.3">
      <c r="B275" s="35"/>
      <c r="C275" s="40" t="s">
        <v>148</v>
      </c>
      <c r="D275" s="43" t="s">
        <v>47</v>
      </c>
      <c r="E275" s="158" t="s">
        <v>92</v>
      </c>
      <c r="F275" s="36" t="e">
        <f>(F274/E274)/(1+'Date macro-economice'!F$9)-1</f>
        <v>#DIV/0!</v>
      </c>
      <c r="G275" s="36" t="e">
        <f>(G274/F274)/(1+'Date macro-economice'!G$9)-1</f>
        <v>#DIV/0!</v>
      </c>
      <c r="H275" s="159">
        <v>0</v>
      </c>
      <c r="I275" s="159">
        <v>0</v>
      </c>
      <c r="J275" s="159">
        <v>0</v>
      </c>
      <c r="K275" s="159">
        <v>0</v>
      </c>
      <c r="L275" s="159">
        <v>0</v>
      </c>
      <c r="M275" s="159">
        <v>0</v>
      </c>
      <c r="N275" s="159">
        <v>0</v>
      </c>
      <c r="O275" s="159">
        <v>0</v>
      </c>
      <c r="Q275" s="35"/>
      <c r="S275" s="238"/>
      <c r="T275" s="238"/>
      <c r="U275" s="238"/>
      <c r="V275" s="238"/>
      <c r="W275" s="238"/>
      <c r="X275" s="238"/>
      <c r="Y275" s="238"/>
      <c r="Z275" s="238"/>
      <c r="AA275" s="238"/>
      <c r="AB275" s="238"/>
    </row>
    <row r="276" spans="2:28" x14ac:dyDescent="0.3">
      <c r="B276" s="35"/>
      <c r="C276" s="81" t="s">
        <v>149</v>
      </c>
      <c r="D276" s="82" t="s">
        <v>141</v>
      </c>
      <c r="E276" s="91">
        <f>E252</f>
        <v>0</v>
      </c>
      <c r="F276" s="91">
        <f>F252</f>
        <v>0</v>
      </c>
      <c r="G276" s="91">
        <f>G252</f>
        <v>0</v>
      </c>
      <c r="H276" s="91">
        <f>H273*H274</f>
        <v>0</v>
      </c>
      <c r="I276" s="91">
        <f t="shared" ref="I276:O276" si="65">I273*I274</f>
        <v>0</v>
      </c>
      <c r="J276" s="91">
        <f t="shared" si="65"/>
        <v>0</v>
      </c>
      <c r="K276" s="91">
        <f t="shared" si="65"/>
        <v>0</v>
      </c>
      <c r="L276" s="91">
        <f t="shared" si="65"/>
        <v>0</v>
      </c>
      <c r="M276" s="91">
        <f t="shared" si="65"/>
        <v>0</v>
      </c>
      <c r="N276" s="91">
        <f t="shared" si="65"/>
        <v>0</v>
      </c>
      <c r="O276" s="91">
        <f t="shared" si="65"/>
        <v>0</v>
      </c>
      <c r="Q276" s="35"/>
      <c r="S276" s="238"/>
      <c r="T276" s="238"/>
      <c r="U276" s="238"/>
      <c r="V276" s="238"/>
      <c r="W276" s="238"/>
      <c r="X276" s="238"/>
      <c r="Y276" s="238"/>
      <c r="Z276" s="238"/>
      <c r="AA276" s="238"/>
      <c r="AB276" s="238"/>
    </row>
    <row r="277" spans="2:28" x14ac:dyDescent="0.3">
      <c r="B277" s="35"/>
      <c r="Q277" s="35"/>
      <c r="S277" s="238"/>
      <c r="T277" s="238"/>
      <c r="U277" s="238"/>
      <c r="V277" s="238"/>
      <c r="W277" s="238"/>
      <c r="X277" s="238"/>
      <c r="Y277" s="238"/>
      <c r="Z277" s="238"/>
      <c r="AA277" s="238"/>
      <c r="AB277" s="238"/>
    </row>
    <row r="278" spans="2:28" x14ac:dyDescent="0.3">
      <c r="B278" s="35"/>
      <c r="C278" s="40" t="s">
        <v>152</v>
      </c>
      <c r="D278" s="43" t="s">
        <v>47</v>
      </c>
      <c r="E278" s="92" t="s">
        <v>92</v>
      </c>
      <c r="F278" s="162" t="e">
        <f>(F254/E254)/(1+'Date macro-economice'!F$9)-1</f>
        <v>#DIV/0!</v>
      </c>
      <c r="G278" s="162" t="e">
        <f>(G254/F254)/(1+'Date macro-economice'!G$9)-1</f>
        <v>#DIV/0!</v>
      </c>
      <c r="H278" s="159">
        <v>0</v>
      </c>
      <c r="I278" s="159">
        <v>0</v>
      </c>
      <c r="J278" s="159">
        <v>0</v>
      </c>
      <c r="K278" s="159">
        <v>0</v>
      </c>
      <c r="L278" s="159">
        <v>0</v>
      </c>
      <c r="M278" s="159">
        <v>0</v>
      </c>
      <c r="N278" s="159">
        <v>0</v>
      </c>
      <c r="O278" s="159">
        <v>0</v>
      </c>
      <c r="Q278" s="35"/>
      <c r="S278" s="238"/>
      <c r="T278" s="238"/>
      <c r="U278" s="238"/>
      <c r="V278" s="238"/>
      <c r="W278" s="238"/>
      <c r="X278" s="238"/>
      <c r="Y278" s="238"/>
      <c r="Z278" s="238"/>
      <c r="AA278" s="238"/>
      <c r="AB278" s="238"/>
    </row>
    <row r="279" spans="2:28" x14ac:dyDescent="0.3">
      <c r="B279" s="35"/>
      <c r="Q279" s="35"/>
      <c r="S279" s="238"/>
      <c r="T279" s="238"/>
      <c r="U279" s="238"/>
      <c r="V279" s="238"/>
      <c r="W279" s="238"/>
      <c r="X279" s="238"/>
      <c r="Y279" s="238"/>
      <c r="Z279" s="238"/>
      <c r="AA279" s="238"/>
      <c r="AB279" s="238"/>
    </row>
    <row r="280" spans="2:28" s="22" customFormat="1" x14ac:dyDescent="0.3">
      <c r="B280" s="35"/>
      <c r="C280" s="66" t="s">
        <v>153</v>
      </c>
      <c r="D280" s="40"/>
      <c r="E280" s="40"/>
      <c r="F280" s="40"/>
      <c r="G280" s="40"/>
      <c r="H280" s="40"/>
      <c r="I280" s="40"/>
      <c r="J280" s="40"/>
      <c r="K280" s="40"/>
      <c r="L280" s="40"/>
      <c r="M280" s="40"/>
      <c r="N280" s="40"/>
      <c r="O280" s="40"/>
      <c r="Q280" s="35"/>
      <c r="S280" s="238"/>
      <c r="T280" s="238"/>
      <c r="U280" s="238"/>
      <c r="V280" s="238"/>
      <c r="W280" s="238"/>
      <c r="X280" s="238"/>
      <c r="Y280" s="238"/>
      <c r="Z280" s="238"/>
      <c r="AA280" s="238"/>
      <c r="AB280" s="238"/>
    </row>
    <row r="281" spans="2:28" s="22" customFormat="1" x14ac:dyDescent="0.3">
      <c r="B281" s="35"/>
      <c r="C281" s="40" t="s">
        <v>154</v>
      </c>
      <c r="D281" s="43" t="s">
        <v>155</v>
      </c>
      <c r="E281" s="87">
        <v>0</v>
      </c>
      <c r="F281" s="87">
        <v>0</v>
      </c>
      <c r="G281" s="87">
        <v>0</v>
      </c>
      <c r="H281" s="87">
        <v>0</v>
      </c>
      <c r="I281" s="87">
        <v>0</v>
      </c>
      <c r="J281" s="87">
        <v>0</v>
      </c>
      <c r="K281" s="87">
        <v>0</v>
      </c>
      <c r="L281" s="87">
        <v>0</v>
      </c>
      <c r="M281" s="87">
        <v>0</v>
      </c>
      <c r="N281" s="87">
        <v>0</v>
      </c>
      <c r="O281" s="87">
        <v>0</v>
      </c>
      <c r="Q281" s="35"/>
      <c r="S281" s="238"/>
      <c r="T281" s="238"/>
      <c r="U281" s="238"/>
      <c r="V281" s="238"/>
      <c r="W281" s="238"/>
      <c r="X281" s="238"/>
      <c r="Y281" s="238"/>
      <c r="Z281" s="238"/>
      <c r="AA281" s="238"/>
      <c r="AB281" s="238"/>
    </row>
    <row r="282" spans="2:28" s="22" customFormat="1" x14ac:dyDescent="0.3">
      <c r="B282" s="35"/>
      <c r="C282" s="40" t="s">
        <v>156</v>
      </c>
      <c r="D282" s="43" t="s">
        <v>157</v>
      </c>
      <c r="E282" s="105" t="e">
        <f>E281/Cererea!E66</f>
        <v>#DIV/0!</v>
      </c>
      <c r="F282" s="105" t="e">
        <f>F281/Cererea!F66</f>
        <v>#DIV/0!</v>
      </c>
      <c r="G282" s="105" t="e">
        <f>G281/Cererea!G66</f>
        <v>#DIV/0!</v>
      </c>
      <c r="H282" s="105">
        <f>IFERROR(H281/Cererea!H66,0)</f>
        <v>0</v>
      </c>
      <c r="I282" s="105">
        <f>IFERROR(I281/Cererea!I66,0)</f>
        <v>0</v>
      </c>
      <c r="J282" s="105">
        <f>IFERROR(J281/Cererea!J66,0)</f>
        <v>0</v>
      </c>
      <c r="K282" s="105">
        <f>IFERROR(K281/Cererea!K66,0)</f>
        <v>0</v>
      </c>
      <c r="L282" s="105">
        <f>IFERROR(L281/Cererea!L66,0)</f>
        <v>0</v>
      </c>
      <c r="M282" s="105">
        <f>IFERROR(M281/Cererea!M66,0)</f>
        <v>0</v>
      </c>
      <c r="N282" s="105">
        <f>IFERROR(N281/Cererea!N66,0)</f>
        <v>0</v>
      </c>
      <c r="O282" s="105">
        <f>IFERROR(O281/Cererea!O66,0)</f>
        <v>0</v>
      </c>
      <c r="Q282" s="35"/>
      <c r="S282" s="238"/>
      <c r="T282" s="238"/>
      <c r="U282" s="238"/>
      <c r="V282" s="238"/>
      <c r="W282" s="238"/>
      <c r="X282" s="238"/>
      <c r="Y282" s="238"/>
      <c r="Z282" s="238"/>
      <c r="AA282" s="238"/>
      <c r="AB282" s="238"/>
    </row>
    <row r="283" spans="2:28" s="22" customFormat="1" x14ac:dyDescent="0.3">
      <c r="B283" s="35"/>
      <c r="C283" s="40" t="s">
        <v>147</v>
      </c>
      <c r="D283" s="43" t="s">
        <v>158</v>
      </c>
      <c r="E283" s="150" t="e">
        <f>E255/E281</f>
        <v>#DIV/0!</v>
      </c>
      <c r="F283" s="150" t="e">
        <f>F255/F281</f>
        <v>#DIV/0!</v>
      </c>
      <c r="G283" s="150" t="e">
        <f>G255/G281</f>
        <v>#DIV/0!</v>
      </c>
      <c r="H283" s="170" t="e">
        <f>G283*(1+'Date macro-economice'!H$9)*(1+H284)</f>
        <v>#DIV/0!</v>
      </c>
      <c r="I283" s="170" t="e">
        <f>H283*(1+'Date macro-economice'!I$9)*(1+I284)</f>
        <v>#DIV/0!</v>
      </c>
      <c r="J283" s="170" t="e">
        <f>I283*(1+'Date macro-economice'!J$9)*(1+J284)</f>
        <v>#DIV/0!</v>
      </c>
      <c r="K283" s="170" t="e">
        <f>J283*(1+'Date macro-economice'!K$9)*(1+K284)</f>
        <v>#DIV/0!</v>
      </c>
      <c r="L283" s="170" t="e">
        <f>K283*(1+'Date macro-economice'!L$9)*(1+L284)</f>
        <v>#DIV/0!</v>
      </c>
      <c r="M283" s="170" t="e">
        <f>L283*(1+'Date macro-economice'!M$9)*(1+M284)</f>
        <v>#DIV/0!</v>
      </c>
      <c r="N283" s="170" t="e">
        <f>M283*(1+'Date macro-economice'!N$9)*(1+N284)</f>
        <v>#DIV/0!</v>
      </c>
      <c r="O283" s="170" t="e">
        <f>N283*(1+'Date macro-economice'!O$9)*(1+O284)</f>
        <v>#DIV/0!</v>
      </c>
      <c r="Q283" s="35"/>
      <c r="S283" s="238"/>
      <c r="T283" s="238"/>
      <c r="U283" s="238"/>
      <c r="V283" s="238"/>
      <c r="W283" s="238"/>
      <c r="X283" s="238"/>
      <c r="Y283" s="238"/>
      <c r="Z283" s="238"/>
      <c r="AA283" s="238"/>
      <c r="AB283" s="238"/>
    </row>
    <row r="284" spans="2:28" s="22" customFormat="1" x14ac:dyDescent="0.3">
      <c r="B284" s="35"/>
      <c r="C284" s="40" t="s">
        <v>148</v>
      </c>
      <c r="D284" s="43" t="s">
        <v>47</v>
      </c>
      <c r="E284" s="158" t="s">
        <v>92</v>
      </c>
      <c r="F284" s="36" t="e">
        <f>(F283/E283)/(1+'Date macro-economice'!F$9)-1</f>
        <v>#DIV/0!</v>
      </c>
      <c r="G284" s="36" t="e">
        <f>(G283/F283)/(1+'Date macro-economice'!G$9)-1</f>
        <v>#DIV/0!</v>
      </c>
      <c r="H284" s="159">
        <v>0</v>
      </c>
      <c r="I284" s="159">
        <v>0</v>
      </c>
      <c r="J284" s="159">
        <v>0</v>
      </c>
      <c r="K284" s="159">
        <v>0</v>
      </c>
      <c r="L284" s="159">
        <v>0</v>
      </c>
      <c r="M284" s="159">
        <v>0</v>
      </c>
      <c r="N284" s="159">
        <v>0</v>
      </c>
      <c r="O284" s="159">
        <v>0</v>
      </c>
      <c r="Q284" s="35"/>
      <c r="S284" s="238"/>
      <c r="T284" s="238"/>
      <c r="U284" s="238"/>
      <c r="V284" s="238"/>
      <c r="W284" s="238"/>
      <c r="X284" s="238"/>
      <c r="Y284" s="238"/>
      <c r="Z284" s="238"/>
      <c r="AA284" s="238"/>
      <c r="AB284" s="238"/>
    </row>
    <row r="285" spans="2:28" x14ac:dyDescent="0.3">
      <c r="B285" s="35"/>
      <c r="C285" s="81" t="s">
        <v>149</v>
      </c>
      <c r="D285" s="82" t="s">
        <v>141</v>
      </c>
      <c r="E285" s="91">
        <f>E255</f>
        <v>0</v>
      </c>
      <c r="F285" s="91">
        <f>F255</f>
        <v>0</v>
      </c>
      <c r="G285" s="91">
        <f>G255</f>
        <v>0</v>
      </c>
      <c r="H285" s="91">
        <f>IFERROR(H281*H283,0)</f>
        <v>0</v>
      </c>
      <c r="I285" s="91">
        <f t="shared" ref="I285:O285" si="66">IFERROR(I281*I283,0)</f>
        <v>0</v>
      </c>
      <c r="J285" s="91">
        <f t="shared" si="66"/>
        <v>0</v>
      </c>
      <c r="K285" s="91">
        <f t="shared" si="66"/>
        <v>0</v>
      </c>
      <c r="L285" s="91">
        <f t="shared" si="66"/>
        <v>0</v>
      </c>
      <c r="M285" s="91">
        <f t="shared" si="66"/>
        <v>0</v>
      </c>
      <c r="N285" s="91">
        <f t="shared" si="66"/>
        <v>0</v>
      </c>
      <c r="O285" s="91">
        <f t="shared" si="66"/>
        <v>0</v>
      </c>
      <c r="Q285" s="35"/>
      <c r="S285" s="238"/>
      <c r="T285" s="238"/>
      <c r="U285" s="238"/>
      <c r="V285" s="238"/>
      <c r="W285" s="238"/>
      <c r="X285" s="238"/>
      <c r="Y285" s="238"/>
      <c r="Z285" s="238"/>
      <c r="AA285" s="238"/>
      <c r="AB285" s="238"/>
    </row>
    <row r="286" spans="2:28" x14ac:dyDescent="0.3">
      <c r="B286" s="35"/>
      <c r="Q286" s="35"/>
      <c r="S286" s="238"/>
      <c r="T286" s="238"/>
      <c r="U286" s="238"/>
      <c r="V286" s="238"/>
      <c r="W286" s="238"/>
      <c r="X286" s="238"/>
      <c r="Y286" s="238"/>
      <c r="Z286" s="238"/>
      <c r="AA286" s="238"/>
      <c r="AB286" s="238"/>
    </row>
    <row r="287" spans="2:28" x14ac:dyDescent="0.3">
      <c r="B287" s="35"/>
      <c r="C287" s="66" t="s">
        <v>159</v>
      </c>
      <c r="Q287" s="35"/>
      <c r="S287" s="238"/>
      <c r="T287" s="238"/>
      <c r="U287" s="238"/>
      <c r="V287" s="238"/>
      <c r="W287" s="238"/>
      <c r="X287" s="238"/>
      <c r="Y287" s="238"/>
      <c r="Z287" s="238"/>
      <c r="AA287" s="238"/>
      <c r="AB287" s="238"/>
    </row>
    <row r="288" spans="2:28" x14ac:dyDescent="0.3">
      <c r="B288" s="35"/>
      <c r="C288" s="40" t="s">
        <v>160</v>
      </c>
      <c r="D288" s="43" t="s">
        <v>141</v>
      </c>
      <c r="E288" s="87">
        <v>0</v>
      </c>
      <c r="F288" s="87">
        <v>0</v>
      </c>
      <c r="G288" s="87">
        <v>0</v>
      </c>
      <c r="H288" s="88">
        <f>H291*H292*12</f>
        <v>0</v>
      </c>
      <c r="I288" s="88">
        <f t="shared" ref="I288:O288" si="67">I291*I292*12</f>
        <v>0</v>
      </c>
      <c r="J288" s="88">
        <f t="shared" si="67"/>
        <v>0</v>
      </c>
      <c r="K288" s="88">
        <f t="shared" si="67"/>
        <v>0</v>
      </c>
      <c r="L288" s="88">
        <f t="shared" si="67"/>
        <v>0</v>
      </c>
      <c r="M288" s="88">
        <f t="shared" si="67"/>
        <v>0</v>
      </c>
      <c r="N288" s="88">
        <f t="shared" si="67"/>
        <v>0</v>
      </c>
      <c r="O288" s="88">
        <f t="shared" si="67"/>
        <v>0</v>
      </c>
      <c r="Q288" s="35"/>
      <c r="S288" s="238"/>
      <c r="T288" s="238"/>
      <c r="U288" s="238"/>
      <c r="V288" s="238"/>
      <c r="W288" s="238"/>
      <c r="X288" s="238"/>
      <c r="Y288" s="238"/>
      <c r="Z288" s="238"/>
      <c r="AA288" s="238"/>
      <c r="AB288" s="238"/>
    </row>
    <row r="289" spans="2:28" x14ac:dyDescent="0.3">
      <c r="B289" s="35"/>
      <c r="C289" s="40" t="s">
        <v>161</v>
      </c>
      <c r="D289" s="43" t="s">
        <v>141</v>
      </c>
      <c r="E289" s="87">
        <v>0</v>
      </c>
      <c r="F289" s="87">
        <v>0</v>
      </c>
      <c r="G289" s="87">
        <v>0</v>
      </c>
      <c r="H289" s="88">
        <f>H291*H293*12</f>
        <v>0</v>
      </c>
      <c r="I289" s="88">
        <f t="shared" ref="I289:O289" si="68">I291*I293*12</f>
        <v>0</v>
      </c>
      <c r="J289" s="88">
        <f t="shared" si="68"/>
        <v>0</v>
      </c>
      <c r="K289" s="88">
        <f t="shared" si="68"/>
        <v>0</v>
      </c>
      <c r="L289" s="88">
        <f t="shared" si="68"/>
        <v>0</v>
      </c>
      <c r="M289" s="88">
        <f t="shared" si="68"/>
        <v>0</v>
      </c>
      <c r="N289" s="88">
        <f t="shared" si="68"/>
        <v>0</v>
      </c>
      <c r="O289" s="88">
        <f t="shared" si="68"/>
        <v>0</v>
      </c>
      <c r="Q289" s="35"/>
      <c r="S289" s="238"/>
      <c r="T289" s="238"/>
      <c r="U289" s="238"/>
      <c r="V289" s="238"/>
      <c r="W289" s="238"/>
      <c r="X289" s="238"/>
      <c r="Y289" s="238"/>
      <c r="Z289" s="238"/>
      <c r="AA289" s="238"/>
      <c r="AB289" s="238"/>
    </row>
    <row r="290" spans="2:28" x14ac:dyDescent="0.3">
      <c r="B290" s="35"/>
      <c r="C290" s="155" t="s">
        <v>162</v>
      </c>
      <c r="D290" s="129" t="s">
        <v>141</v>
      </c>
      <c r="E290" s="88">
        <f>E256-E288-E289</f>
        <v>0</v>
      </c>
      <c r="F290" s="88">
        <f>F256-F288-F289</f>
        <v>0</v>
      </c>
      <c r="G290" s="88">
        <f>G256-G288-G289</f>
        <v>0</v>
      </c>
      <c r="H290" s="88">
        <f t="shared" ref="H290:O290" si="69">H291*H294*12</f>
        <v>0</v>
      </c>
      <c r="I290" s="88">
        <f t="shared" si="69"/>
        <v>0</v>
      </c>
      <c r="J290" s="88">
        <f t="shared" si="69"/>
        <v>0</v>
      </c>
      <c r="K290" s="88">
        <f t="shared" si="69"/>
        <v>0</v>
      </c>
      <c r="L290" s="88">
        <f t="shared" si="69"/>
        <v>0</v>
      </c>
      <c r="M290" s="88">
        <f t="shared" si="69"/>
        <v>0</v>
      </c>
      <c r="N290" s="88">
        <f t="shared" si="69"/>
        <v>0</v>
      </c>
      <c r="O290" s="88">
        <f t="shared" si="69"/>
        <v>0</v>
      </c>
      <c r="Q290" s="35"/>
      <c r="S290" s="238"/>
      <c r="T290" s="238"/>
      <c r="U290" s="238"/>
      <c r="V290" s="238"/>
      <c r="W290" s="238"/>
      <c r="X290" s="238"/>
      <c r="Y290" s="238"/>
      <c r="Z290" s="238"/>
      <c r="AA290" s="238"/>
      <c r="AB290" s="238"/>
    </row>
    <row r="291" spans="2:28" x14ac:dyDescent="0.3">
      <c r="B291" s="35"/>
      <c r="C291" s="40" t="s">
        <v>163</v>
      </c>
      <c r="D291" s="43" t="s">
        <v>14</v>
      </c>
      <c r="E291" s="87">
        <v>0</v>
      </c>
      <c r="F291" s="87">
        <v>0</v>
      </c>
      <c r="G291" s="87">
        <v>0</v>
      </c>
      <c r="H291" s="87">
        <v>0</v>
      </c>
      <c r="I291" s="87">
        <v>0</v>
      </c>
      <c r="J291" s="87">
        <v>0</v>
      </c>
      <c r="K291" s="87">
        <v>0</v>
      </c>
      <c r="L291" s="87">
        <v>0</v>
      </c>
      <c r="M291" s="87">
        <v>0</v>
      </c>
      <c r="N291" s="87">
        <v>0</v>
      </c>
      <c r="O291" s="87">
        <v>0</v>
      </c>
      <c r="Q291" s="35"/>
      <c r="S291" s="238"/>
      <c r="T291" s="238"/>
      <c r="U291" s="238"/>
      <c r="V291" s="238"/>
      <c r="W291" s="238"/>
      <c r="X291" s="238"/>
      <c r="Y291" s="238"/>
      <c r="Z291" s="238"/>
      <c r="AA291" s="238"/>
      <c r="AB291" s="238"/>
    </row>
    <row r="292" spans="2:28" x14ac:dyDescent="0.3">
      <c r="B292" s="35"/>
      <c r="C292" s="40" t="s">
        <v>164</v>
      </c>
      <c r="D292" s="163" t="s">
        <v>165</v>
      </c>
      <c r="E292" s="88" t="e">
        <f>E288/E291/12</f>
        <v>#DIV/0!</v>
      </c>
      <c r="F292" s="88" t="e">
        <f>F288/F291/12</f>
        <v>#DIV/0!</v>
      </c>
      <c r="G292" s="88" t="e">
        <f>G288/G291/12</f>
        <v>#DIV/0!</v>
      </c>
      <c r="H292" s="88">
        <f>IFERROR(G292*(1+'Date macro-economice'!H$9)*(1+'Date macro-economice'!H$11*'Costuri operare'!H298)*(1+'Costuri operare'!H295),0)</f>
        <v>0</v>
      </c>
      <c r="I292" s="88">
        <f>H292*(1+'Date macro-economice'!I$9)*(1+'Date macro-economice'!I$11*'Costuri operare'!I298)*(1+'Costuri operare'!I295)</f>
        <v>0</v>
      </c>
      <c r="J292" s="88">
        <f>I292*(1+'Date macro-economice'!J$9)*(1+'Date macro-economice'!J$11*'Costuri operare'!J298)*(1+'Costuri operare'!J295)</f>
        <v>0</v>
      </c>
      <c r="K292" s="88">
        <f>J292*(1+'Date macro-economice'!K$9)*(1+'Date macro-economice'!K$11*'Costuri operare'!K298)*(1+'Costuri operare'!K295)</f>
        <v>0</v>
      </c>
      <c r="L292" s="88">
        <f>K292*(1+'Date macro-economice'!L$9)*(1+'Date macro-economice'!L$11*'Costuri operare'!L298)*(1+'Costuri operare'!L295)</f>
        <v>0</v>
      </c>
      <c r="M292" s="88">
        <f>L292*(1+'Date macro-economice'!M$9)*(1+'Date macro-economice'!M$11*'Costuri operare'!M298)*(1+'Costuri operare'!M295)</f>
        <v>0</v>
      </c>
      <c r="N292" s="88">
        <f>M292*(1+'Date macro-economice'!N$9)*(1+'Date macro-economice'!N$11*'Costuri operare'!N298)*(1+'Costuri operare'!N295)</f>
        <v>0</v>
      </c>
      <c r="O292" s="88">
        <f>N292*(1+'Date macro-economice'!O$9)*(1+'Date macro-economice'!O$11*'Costuri operare'!O298)*(1+'Costuri operare'!O295)</f>
        <v>0</v>
      </c>
      <c r="Q292" s="35"/>
      <c r="S292" s="238"/>
      <c r="T292" s="238"/>
      <c r="U292" s="238"/>
      <c r="V292" s="238"/>
      <c r="W292" s="238"/>
      <c r="X292" s="238"/>
      <c r="Y292" s="238"/>
      <c r="Z292" s="238"/>
      <c r="AA292" s="238"/>
      <c r="AB292" s="238"/>
    </row>
    <row r="293" spans="2:28" ht="28.8" x14ac:dyDescent="0.3">
      <c r="B293" s="35"/>
      <c r="C293" s="40" t="s">
        <v>166</v>
      </c>
      <c r="D293" s="163" t="s">
        <v>165</v>
      </c>
      <c r="E293" s="88" t="e">
        <f>E289/E291/12</f>
        <v>#DIV/0!</v>
      </c>
      <c r="F293" s="88" t="e">
        <f>F289/F291/12</f>
        <v>#DIV/0!</v>
      </c>
      <c r="G293" s="88" t="e">
        <f>G289/G291/12</f>
        <v>#DIV/0!</v>
      </c>
      <c r="H293" s="88">
        <f>IFERROR(G293*(1+'Date macro-economice'!H$9)*(1+'Date macro-economice'!H$11*'Costuri operare'!H298)*(1+'Costuri operare'!H296),0)</f>
        <v>0</v>
      </c>
      <c r="I293" s="88">
        <f>H293*(1+'Date macro-economice'!I$9)*(1+'Date macro-economice'!I$11*'Costuri operare'!I298)*(1+'Costuri operare'!I296)</f>
        <v>0</v>
      </c>
      <c r="J293" s="88">
        <f>I293*(1+'Date macro-economice'!J$9)*(1+'Date macro-economice'!J$11*'Costuri operare'!J298)*(1+'Costuri operare'!J296)</f>
        <v>0</v>
      </c>
      <c r="K293" s="88">
        <f>J293*(1+'Date macro-economice'!K$9)*(1+'Date macro-economice'!K$11*'Costuri operare'!K298)*(1+'Costuri operare'!K296)</f>
        <v>0</v>
      </c>
      <c r="L293" s="88">
        <f>K293*(1+'Date macro-economice'!L$9)*(1+'Date macro-economice'!L$11*'Costuri operare'!L298)*(1+'Costuri operare'!L296)</f>
        <v>0</v>
      </c>
      <c r="M293" s="88">
        <f>L293*(1+'Date macro-economice'!M$9)*(1+'Date macro-economice'!M$11*'Costuri operare'!M298)*(1+'Costuri operare'!M296)</f>
        <v>0</v>
      </c>
      <c r="N293" s="88">
        <f>M293*(1+'Date macro-economice'!N$9)*(1+'Date macro-economice'!N$11*'Costuri operare'!N298)*(1+'Costuri operare'!N296)</f>
        <v>0</v>
      </c>
      <c r="O293" s="88">
        <f>N293*(1+'Date macro-economice'!O$9)*(1+'Date macro-economice'!O$11*'Costuri operare'!O298)*(1+'Costuri operare'!O296)</f>
        <v>0</v>
      </c>
      <c r="Q293" s="35"/>
      <c r="S293" s="238"/>
      <c r="T293" s="238"/>
      <c r="U293" s="238"/>
      <c r="V293" s="238"/>
      <c r="W293" s="238"/>
      <c r="X293" s="238"/>
      <c r="Y293" s="238"/>
      <c r="Z293" s="238"/>
      <c r="AA293" s="238"/>
      <c r="AB293" s="238"/>
    </row>
    <row r="294" spans="2:28" x14ac:dyDescent="0.3">
      <c r="B294" s="35"/>
      <c r="C294" s="155" t="s">
        <v>167</v>
      </c>
      <c r="D294" s="164" t="s">
        <v>165</v>
      </c>
      <c r="E294" s="131" t="e">
        <f>E290/E291/12</f>
        <v>#DIV/0!</v>
      </c>
      <c r="F294" s="131" t="e">
        <f>F290/F291/12</f>
        <v>#DIV/0!</v>
      </c>
      <c r="G294" s="131" t="e">
        <f>G290/G291/12</f>
        <v>#DIV/0!</v>
      </c>
      <c r="H294" s="88">
        <f>IFERROR(G294*(1+'Date macro-economice'!H$9)*(1+'Date macro-economice'!H$11*'Costuri operare'!H298)*(1+'Costuri operare'!H297),0)</f>
        <v>0</v>
      </c>
      <c r="I294" s="88">
        <f>H294*(1+'Date macro-economice'!I$9)*(1+'Date macro-economice'!I$11*'Costuri operare'!I298)*(1+'Costuri operare'!I297)</f>
        <v>0</v>
      </c>
      <c r="J294" s="88">
        <f>I294*(1+'Date macro-economice'!J$9)*(1+'Date macro-economice'!J$11*'Costuri operare'!J298)*(1+'Costuri operare'!J297)</f>
        <v>0</v>
      </c>
      <c r="K294" s="88">
        <f>J294*(1+'Date macro-economice'!K$9)*(1+'Date macro-economice'!K$11*'Costuri operare'!K298)*(1+'Costuri operare'!K297)</f>
        <v>0</v>
      </c>
      <c r="L294" s="88">
        <f>K294*(1+'Date macro-economice'!L$9)*(1+'Date macro-economice'!L$11*'Costuri operare'!L298)*(1+'Costuri operare'!L297)</f>
        <v>0</v>
      </c>
      <c r="M294" s="88">
        <f>L294*(1+'Date macro-economice'!M$9)*(1+'Date macro-economice'!M$11*'Costuri operare'!M298)*(1+'Costuri operare'!M297)</f>
        <v>0</v>
      </c>
      <c r="N294" s="88">
        <f>M294*(1+'Date macro-economice'!N$9)*(1+'Date macro-economice'!N$11*'Costuri operare'!N298)*(1+'Costuri operare'!N297)</f>
        <v>0</v>
      </c>
      <c r="O294" s="88">
        <f>N294*(1+'Date macro-economice'!O$9)*(1+'Date macro-economice'!O$11*'Costuri operare'!O298)*(1+'Costuri operare'!O297)</f>
        <v>0</v>
      </c>
      <c r="Q294" s="35"/>
      <c r="S294" s="238"/>
      <c r="T294" s="238"/>
      <c r="U294" s="238"/>
      <c r="V294" s="238"/>
      <c r="W294" s="238"/>
      <c r="X294" s="238"/>
      <c r="Y294" s="238"/>
      <c r="Z294" s="238"/>
      <c r="AA294" s="238"/>
      <c r="AB294" s="238"/>
    </row>
    <row r="295" spans="2:28" s="22" customFormat="1" ht="28.8" x14ac:dyDescent="0.3">
      <c r="B295" s="35"/>
      <c r="C295" s="40" t="s">
        <v>168</v>
      </c>
      <c r="D295" s="43" t="s">
        <v>47</v>
      </c>
      <c r="E295" s="92" t="s">
        <v>92</v>
      </c>
      <c r="F295" s="36" t="e">
        <f>(F292/E292)/((1+'Date macro-economice'!F$9)*(1+'Date macro-economice'!F$11*F$58))-1</f>
        <v>#DIV/0!</v>
      </c>
      <c r="G295" s="36" t="e">
        <f>(G292/F292)/((1+'Date macro-economice'!G$9)*(1+'Date macro-economice'!G$11*G$58))-1</f>
        <v>#DIV/0!</v>
      </c>
      <c r="H295" s="159">
        <v>0</v>
      </c>
      <c r="I295" s="159">
        <v>0</v>
      </c>
      <c r="J295" s="159">
        <v>0</v>
      </c>
      <c r="K295" s="159">
        <v>0</v>
      </c>
      <c r="L295" s="159">
        <v>0</v>
      </c>
      <c r="M295" s="159">
        <v>0</v>
      </c>
      <c r="N295" s="159">
        <v>0</v>
      </c>
      <c r="O295" s="159">
        <v>0</v>
      </c>
      <c r="Q295" s="35"/>
      <c r="S295" s="238"/>
      <c r="T295" s="238"/>
      <c r="U295" s="238"/>
      <c r="V295" s="238"/>
      <c r="W295" s="238"/>
      <c r="X295" s="238"/>
      <c r="Y295" s="238"/>
      <c r="Z295" s="238"/>
      <c r="AA295" s="238"/>
      <c r="AB295" s="238"/>
    </row>
    <row r="296" spans="2:28" s="22" customFormat="1" ht="43.2" x14ac:dyDescent="0.3">
      <c r="B296" s="35"/>
      <c r="C296" s="40" t="s">
        <v>169</v>
      </c>
      <c r="D296" s="43" t="s">
        <v>47</v>
      </c>
      <c r="E296" s="92" t="s">
        <v>92</v>
      </c>
      <c r="F296" s="36" t="e">
        <f>(F293/E293)/((1+'Date macro-economice'!F$9)*(1+'Date macro-economice'!F$11*F$58))-1</f>
        <v>#DIV/0!</v>
      </c>
      <c r="G296" s="36" t="e">
        <f>(G293/F293)/((1+'Date macro-economice'!G$9)*(1+'Date macro-economice'!G$11*G$58))-1</f>
        <v>#DIV/0!</v>
      </c>
      <c r="H296" s="159">
        <v>0</v>
      </c>
      <c r="I296" s="159">
        <v>0</v>
      </c>
      <c r="J296" s="159">
        <v>0</v>
      </c>
      <c r="K296" s="159">
        <v>0</v>
      </c>
      <c r="L296" s="159">
        <v>0</v>
      </c>
      <c r="M296" s="159">
        <v>0</v>
      </c>
      <c r="N296" s="159">
        <v>0</v>
      </c>
      <c r="O296" s="159">
        <v>0</v>
      </c>
      <c r="Q296" s="35"/>
      <c r="S296" s="238"/>
      <c r="T296" s="238"/>
      <c r="U296" s="238"/>
      <c r="V296" s="238"/>
      <c r="W296" s="238"/>
      <c r="X296" s="238"/>
      <c r="Y296" s="238"/>
      <c r="Z296" s="238"/>
      <c r="AA296" s="238"/>
      <c r="AB296" s="238"/>
    </row>
    <row r="297" spans="2:28" s="22" customFormat="1" ht="43.2" x14ac:dyDescent="0.3">
      <c r="B297" s="35"/>
      <c r="C297" s="40" t="s">
        <v>169</v>
      </c>
      <c r="D297" s="43" t="s">
        <v>47</v>
      </c>
      <c r="E297" s="92" t="s">
        <v>92</v>
      </c>
      <c r="F297" s="36" t="e">
        <f>(F294/E294)/((1+'Date macro-economice'!F$9)*(1+'Date macro-economice'!F$11*F$58))-1</f>
        <v>#DIV/0!</v>
      </c>
      <c r="G297" s="36" t="e">
        <f>(G294/F294)/((1+'Date macro-economice'!G$9)*(1+'Date macro-economice'!G$11*G$58))-1</f>
        <v>#DIV/0!</v>
      </c>
      <c r="H297" s="159">
        <v>0</v>
      </c>
      <c r="I297" s="159">
        <v>0</v>
      </c>
      <c r="J297" s="159">
        <v>0</v>
      </c>
      <c r="K297" s="159">
        <v>0</v>
      </c>
      <c r="L297" s="159">
        <v>0</v>
      </c>
      <c r="M297" s="159">
        <v>0</v>
      </c>
      <c r="N297" s="159">
        <v>0</v>
      </c>
      <c r="O297" s="159">
        <v>0</v>
      </c>
      <c r="Q297" s="35"/>
      <c r="S297" s="238"/>
      <c r="T297" s="238"/>
      <c r="U297" s="238"/>
      <c r="V297" s="238"/>
      <c r="W297" s="238"/>
      <c r="X297" s="238"/>
      <c r="Y297" s="238"/>
      <c r="Z297" s="238"/>
      <c r="AA297" s="238"/>
      <c r="AB297" s="238"/>
    </row>
    <row r="298" spans="2:28" s="22" customFormat="1" ht="43.2" x14ac:dyDescent="0.3">
      <c r="B298" s="35"/>
      <c r="C298" s="40" t="s">
        <v>171</v>
      </c>
      <c r="D298" s="43" t="s">
        <v>47</v>
      </c>
      <c r="E298" s="92"/>
      <c r="F298" s="165">
        <v>0.75</v>
      </c>
      <c r="G298" s="165">
        <v>0.75</v>
      </c>
      <c r="H298" s="165">
        <v>0.75</v>
      </c>
      <c r="I298" s="165">
        <v>0.75</v>
      </c>
      <c r="J298" s="165">
        <v>0.75</v>
      </c>
      <c r="K298" s="165">
        <v>0.75</v>
      </c>
      <c r="L298" s="165">
        <v>0.75</v>
      </c>
      <c r="M298" s="165">
        <v>0.75</v>
      </c>
      <c r="N298" s="165">
        <v>0.75</v>
      </c>
      <c r="O298" s="165">
        <v>0.75</v>
      </c>
      <c r="Q298" s="35"/>
      <c r="S298" s="238"/>
      <c r="T298" s="238"/>
      <c r="U298" s="238"/>
      <c r="V298" s="238"/>
      <c r="W298" s="238"/>
      <c r="X298" s="238"/>
      <c r="Y298" s="238"/>
      <c r="Z298" s="238"/>
      <c r="AA298" s="238"/>
      <c r="AB298" s="238"/>
    </row>
    <row r="299" spans="2:28" x14ac:dyDescent="0.3">
      <c r="B299" s="35"/>
      <c r="Q299" s="35"/>
      <c r="S299" s="238"/>
      <c r="T299" s="238"/>
      <c r="U299" s="238"/>
      <c r="V299" s="238"/>
      <c r="W299" s="238"/>
      <c r="X299" s="238"/>
      <c r="Y299" s="238"/>
      <c r="Z299" s="238"/>
      <c r="AA299" s="238"/>
      <c r="AB299" s="238"/>
    </row>
    <row r="300" spans="2:28" ht="28.8" x14ac:dyDescent="0.3">
      <c r="B300" s="35"/>
      <c r="C300" s="40" t="s">
        <v>172</v>
      </c>
      <c r="D300" s="43" t="s">
        <v>47</v>
      </c>
      <c r="E300" s="92" t="s">
        <v>92</v>
      </c>
      <c r="F300" s="162" t="e">
        <f>(F257/E257)/(1+'Date macro-economice'!F$9)-1</f>
        <v>#DIV/0!</v>
      </c>
      <c r="G300" s="162" t="e">
        <f>(G257/F257)/(1+'Date macro-economice'!G$9)-1</f>
        <v>#DIV/0!</v>
      </c>
      <c r="H300" s="159">
        <v>0</v>
      </c>
      <c r="I300" s="159">
        <v>0</v>
      </c>
      <c r="J300" s="159">
        <v>0</v>
      </c>
      <c r="K300" s="159">
        <v>0</v>
      </c>
      <c r="L300" s="159">
        <v>0</v>
      </c>
      <c r="M300" s="159">
        <v>0</v>
      </c>
      <c r="N300" s="159">
        <v>0</v>
      </c>
      <c r="O300" s="159">
        <v>0</v>
      </c>
      <c r="Q300" s="35"/>
      <c r="S300" s="238"/>
      <c r="T300" s="238"/>
      <c r="U300" s="238"/>
      <c r="V300" s="238"/>
      <c r="W300" s="238"/>
      <c r="X300" s="238"/>
      <c r="Y300" s="238"/>
      <c r="Z300" s="238"/>
      <c r="AA300" s="238"/>
      <c r="AB300" s="238"/>
    </row>
    <row r="301" spans="2:28" ht="28.8" x14ac:dyDescent="0.3">
      <c r="B301" s="35"/>
      <c r="C301" s="40" t="s">
        <v>173</v>
      </c>
      <c r="D301" s="43" t="s">
        <v>47</v>
      </c>
      <c r="E301" s="92" t="s">
        <v>92</v>
      </c>
      <c r="F301" s="162" t="e">
        <f>(F258/E258)/(1+'Date macro-economice'!F$9)-1</f>
        <v>#DIV/0!</v>
      </c>
      <c r="G301" s="162" t="e">
        <f>(G258/F258)/(1+'Date macro-economice'!G$9)-1</f>
        <v>#DIV/0!</v>
      </c>
      <c r="H301" s="159">
        <v>0</v>
      </c>
      <c r="I301" s="159">
        <v>0</v>
      </c>
      <c r="J301" s="159">
        <v>0</v>
      </c>
      <c r="K301" s="159">
        <v>0</v>
      </c>
      <c r="L301" s="159">
        <v>0</v>
      </c>
      <c r="M301" s="159">
        <v>0</v>
      </c>
      <c r="N301" s="159">
        <v>0</v>
      </c>
      <c r="O301" s="159">
        <v>0</v>
      </c>
      <c r="Q301" s="35"/>
      <c r="S301" s="238"/>
      <c r="T301" s="238"/>
      <c r="U301" s="238"/>
      <c r="V301" s="238"/>
      <c r="W301" s="238"/>
      <c r="X301" s="238"/>
      <c r="Y301" s="238"/>
      <c r="Z301" s="238"/>
      <c r="AA301" s="238"/>
      <c r="AB301" s="238"/>
    </row>
    <row r="302" spans="2:28" ht="28.8" x14ac:dyDescent="0.3">
      <c r="B302" s="35"/>
      <c r="C302" s="40" t="s">
        <v>174</v>
      </c>
      <c r="D302" s="43" t="s">
        <v>47</v>
      </c>
      <c r="E302" s="92" t="s">
        <v>92</v>
      </c>
      <c r="F302" s="162" t="e">
        <f>(F262/E262)/(1+'Date macro-economice'!F$9)-1</f>
        <v>#DIV/0!</v>
      </c>
      <c r="G302" s="162" t="e">
        <f>(G262/F262)/(1+'Date macro-economice'!G$9)-1</f>
        <v>#DIV/0!</v>
      </c>
      <c r="H302" s="159">
        <v>0</v>
      </c>
      <c r="I302" s="159">
        <v>0</v>
      </c>
      <c r="J302" s="159">
        <v>0</v>
      </c>
      <c r="K302" s="159">
        <v>0</v>
      </c>
      <c r="L302" s="159">
        <v>0</v>
      </c>
      <c r="M302" s="159">
        <v>0</v>
      </c>
      <c r="N302" s="159">
        <v>0</v>
      </c>
      <c r="O302" s="159">
        <v>0</v>
      </c>
      <c r="Q302" s="35"/>
      <c r="S302" s="238"/>
      <c r="T302" s="238"/>
      <c r="U302" s="238"/>
      <c r="V302" s="238"/>
      <c r="W302" s="238"/>
      <c r="X302" s="238"/>
      <c r="Y302" s="238"/>
      <c r="Z302" s="238"/>
      <c r="AA302" s="238"/>
      <c r="AB302" s="238"/>
    </row>
    <row r="303" spans="2:28" x14ac:dyDescent="0.3">
      <c r="B303" s="35"/>
      <c r="Q303" s="35"/>
      <c r="S303" s="238"/>
      <c r="T303" s="238"/>
      <c r="U303" s="238"/>
      <c r="V303" s="238"/>
      <c r="W303" s="238"/>
      <c r="X303" s="238"/>
      <c r="Y303" s="238"/>
      <c r="Z303" s="238"/>
      <c r="AA303" s="238"/>
      <c r="AB303" s="238"/>
    </row>
    <row r="304" spans="2:28" ht="28.8" x14ac:dyDescent="0.3">
      <c r="B304" s="35"/>
      <c r="C304" s="40" t="s">
        <v>175</v>
      </c>
      <c r="D304" s="43" t="s">
        <v>47</v>
      </c>
      <c r="E304" s="92" t="s">
        <v>92</v>
      </c>
      <c r="F304" s="162" t="e">
        <f>F259/E259-1</f>
        <v>#DIV/0!</v>
      </c>
      <c r="G304" s="162" t="e">
        <f>G259/F259-1</f>
        <v>#DIV/0!</v>
      </c>
      <c r="H304" s="166">
        <f>IFERROR('Amortizare si redeventa'!H162,0)</f>
        <v>0</v>
      </c>
      <c r="I304" s="166">
        <f>IFERROR('Amortizare si redeventa'!I162,0)</f>
        <v>0</v>
      </c>
      <c r="J304" s="166">
        <f>IFERROR('Amortizare si redeventa'!J162,0)</f>
        <v>0</v>
      </c>
      <c r="K304" s="166">
        <f>IFERROR('Amortizare si redeventa'!K162,0)</f>
        <v>0</v>
      </c>
      <c r="L304" s="166">
        <f>IFERROR('Amortizare si redeventa'!L162,0)</f>
        <v>0</v>
      </c>
      <c r="M304" s="166">
        <f>IFERROR('Amortizare si redeventa'!M162,0)</f>
        <v>0</v>
      </c>
      <c r="N304" s="166">
        <f>IFERROR('Amortizare si redeventa'!N162,0)</f>
        <v>0</v>
      </c>
      <c r="O304" s="166">
        <f>IFERROR('Amortizare si redeventa'!O162,0)</f>
        <v>0</v>
      </c>
      <c r="Q304" s="35"/>
      <c r="S304" s="238"/>
      <c r="T304" s="238"/>
      <c r="U304" s="238"/>
      <c r="V304" s="238"/>
      <c r="W304" s="238"/>
      <c r="X304" s="238"/>
      <c r="Y304" s="238"/>
      <c r="Z304" s="238"/>
      <c r="AA304" s="238"/>
      <c r="AB304" s="238"/>
    </row>
    <row r="305" spans="2:28" ht="28.8" x14ac:dyDescent="0.3">
      <c r="B305" s="35"/>
      <c r="C305" s="40" t="s">
        <v>176</v>
      </c>
      <c r="D305" s="43" t="s">
        <v>47</v>
      </c>
      <c r="E305" s="92" t="s">
        <v>92</v>
      </c>
      <c r="F305" s="162" t="e">
        <f>F260/E260-1</f>
        <v>#DIV/0!</v>
      </c>
      <c r="G305" s="162" t="e">
        <f>G260/F260-1</f>
        <v>#DIV/0!</v>
      </c>
      <c r="H305" s="166">
        <f>IFERROR('Amortizare si redeventa'!H168,0)</f>
        <v>0</v>
      </c>
      <c r="I305" s="166">
        <f>IFERROR('Amortizare si redeventa'!I168,0)</f>
        <v>0</v>
      </c>
      <c r="J305" s="166">
        <f>IFERROR('Amortizare si redeventa'!J168,0)</f>
        <v>0</v>
      </c>
      <c r="K305" s="166">
        <f>IFERROR('Amortizare si redeventa'!K168,0)</f>
        <v>0</v>
      </c>
      <c r="L305" s="166">
        <f>IFERROR('Amortizare si redeventa'!L168,0)</f>
        <v>0</v>
      </c>
      <c r="M305" s="166">
        <f>IFERROR('Amortizare si redeventa'!M168,0)</f>
        <v>0</v>
      </c>
      <c r="N305" s="166">
        <f>IFERROR('Amortizare si redeventa'!N168,0)</f>
        <v>0</v>
      </c>
      <c r="O305" s="166">
        <f>IFERROR('Amortizare si redeventa'!O168,0)</f>
        <v>0</v>
      </c>
      <c r="Q305" s="35"/>
      <c r="S305" s="238"/>
      <c r="T305" s="238"/>
      <c r="U305" s="238"/>
      <c r="V305" s="238"/>
      <c r="W305" s="238"/>
      <c r="X305" s="238"/>
      <c r="Y305" s="238"/>
      <c r="Z305" s="238"/>
      <c r="AA305" s="238"/>
      <c r="AB305" s="238"/>
    </row>
    <row r="306" spans="2:28" x14ac:dyDescent="0.3">
      <c r="B306" s="35"/>
      <c r="Q306" s="35"/>
      <c r="S306" s="238"/>
      <c r="T306" s="238"/>
      <c r="U306" s="238"/>
      <c r="V306" s="238"/>
      <c r="W306" s="238"/>
      <c r="X306" s="238"/>
      <c r="Y306" s="238"/>
      <c r="Z306" s="238"/>
      <c r="AA306" s="238"/>
      <c r="AB306" s="238"/>
    </row>
    <row r="307" spans="2:28" ht="6.6" customHeight="1" x14ac:dyDescent="0.3">
      <c r="B307" s="35"/>
      <c r="C307" s="35"/>
      <c r="D307" s="35"/>
      <c r="E307" s="35"/>
      <c r="F307" s="35"/>
      <c r="G307" s="35"/>
      <c r="H307" s="35"/>
      <c r="I307" s="35"/>
      <c r="J307" s="35"/>
      <c r="K307" s="35"/>
      <c r="L307" s="35"/>
      <c r="M307" s="35"/>
      <c r="N307" s="35"/>
      <c r="O307" s="35"/>
      <c r="P307" s="35"/>
      <c r="Q307" s="35"/>
    </row>
    <row r="309" spans="2:28" ht="8.1" customHeight="1" x14ac:dyDescent="0.3">
      <c r="B309" s="23"/>
      <c r="C309" s="23"/>
      <c r="D309" s="23"/>
      <c r="E309" s="23"/>
      <c r="F309" s="23"/>
      <c r="G309" s="23"/>
      <c r="H309" s="23"/>
      <c r="I309" s="23"/>
      <c r="J309" s="23"/>
      <c r="K309" s="23"/>
      <c r="L309" s="23"/>
      <c r="M309" s="23"/>
      <c r="N309" s="23"/>
      <c r="O309" s="23"/>
      <c r="P309" s="23"/>
      <c r="Q309" s="23"/>
    </row>
    <row r="310" spans="2:28" x14ac:dyDescent="0.3">
      <c r="B310" s="23"/>
      <c r="Q310" s="23"/>
    </row>
    <row r="311" spans="2:28" s="22" customFormat="1" ht="85.5" customHeight="1" x14ac:dyDescent="0.3">
      <c r="B311" s="35"/>
      <c r="C311" s="89" t="s">
        <v>194</v>
      </c>
      <c r="D311" s="89"/>
      <c r="E311" s="111">
        <f>F311-1</f>
        <v>2022</v>
      </c>
      <c r="F311" s="111">
        <f>G311-1</f>
        <v>2023</v>
      </c>
      <c r="G311" s="112">
        <f>'Date generale'!$D$8</f>
        <v>2024</v>
      </c>
      <c r="H311" s="113">
        <f t="shared" ref="H311:O311" si="70">G311+1</f>
        <v>2025</v>
      </c>
      <c r="I311" s="113">
        <f t="shared" si="70"/>
        <v>2026</v>
      </c>
      <c r="J311" s="113">
        <f t="shared" si="70"/>
        <v>2027</v>
      </c>
      <c r="K311" s="113">
        <f t="shared" si="70"/>
        <v>2028</v>
      </c>
      <c r="L311" s="113">
        <f t="shared" si="70"/>
        <v>2029</v>
      </c>
      <c r="M311" s="113">
        <f t="shared" si="70"/>
        <v>2030</v>
      </c>
      <c r="N311" s="113">
        <f t="shared" si="70"/>
        <v>2031</v>
      </c>
      <c r="O311" s="113">
        <f t="shared" si="70"/>
        <v>2032</v>
      </c>
      <c r="Q311" s="35"/>
      <c r="S311" s="237" t="s">
        <v>195</v>
      </c>
      <c r="T311" s="237"/>
      <c r="U311" s="237"/>
      <c r="V311" s="237"/>
      <c r="W311" s="237"/>
      <c r="X311" s="237"/>
      <c r="Y311" s="237"/>
      <c r="Z311" s="237"/>
      <c r="AA311" s="237"/>
      <c r="AB311" s="237"/>
    </row>
    <row r="312" spans="2:28" x14ac:dyDescent="0.3">
      <c r="B312" s="23"/>
      <c r="C312" s="114"/>
      <c r="D312" s="114"/>
      <c r="E312" s="115">
        <f>F312-1</f>
        <v>-3</v>
      </c>
      <c r="F312" s="115">
        <f>G312-1</f>
        <v>-2</v>
      </c>
      <c r="G312" s="116">
        <v>-1</v>
      </c>
      <c r="H312" s="116">
        <v>0</v>
      </c>
      <c r="I312" s="116">
        <f t="shared" ref="I312:O312" si="71">H312+1</f>
        <v>1</v>
      </c>
      <c r="J312" s="116">
        <f t="shared" si="71"/>
        <v>2</v>
      </c>
      <c r="K312" s="116">
        <f t="shared" si="71"/>
        <v>3</v>
      </c>
      <c r="L312" s="116">
        <f t="shared" si="71"/>
        <v>4</v>
      </c>
      <c r="M312" s="116">
        <f t="shared" si="71"/>
        <v>5</v>
      </c>
      <c r="N312" s="116">
        <f t="shared" si="71"/>
        <v>6</v>
      </c>
      <c r="O312" s="116">
        <f t="shared" si="71"/>
        <v>7</v>
      </c>
      <c r="Q312" s="35"/>
      <c r="S312" s="169" t="s">
        <v>132</v>
      </c>
      <c r="T312" s="169" t="s">
        <v>133</v>
      </c>
      <c r="U312" s="169" t="s">
        <v>134</v>
      </c>
      <c r="V312" s="169" t="s">
        <v>135</v>
      </c>
      <c r="W312" s="169" t="s">
        <v>136</v>
      </c>
      <c r="X312" s="169" t="s">
        <v>137</v>
      </c>
      <c r="Y312" s="169" t="s">
        <v>138</v>
      </c>
      <c r="Z312" s="169" t="s">
        <v>139</v>
      </c>
      <c r="AA312" s="169" t="s">
        <v>179</v>
      </c>
      <c r="AB312" s="169"/>
    </row>
    <row r="313" spans="2:28" s="24" customFormat="1" x14ac:dyDescent="0.3">
      <c r="B313" s="61"/>
      <c r="C313" s="42"/>
      <c r="D313" s="51"/>
      <c r="E313" s="62"/>
      <c r="F313" s="62"/>
      <c r="G313" s="62"/>
      <c r="H313" s="62"/>
      <c r="I313" s="62"/>
      <c r="J313" s="62"/>
      <c r="K313" s="62"/>
      <c r="L313" s="62"/>
      <c r="M313" s="62"/>
      <c r="N313" s="62"/>
      <c r="O313" s="62"/>
      <c r="Q313" s="35"/>
      <c r="S313" s="238"/>
      <c r="T313" s="238"/>
      <c r="U313" s="238"/>
      <c r="V313" s="238"/>
      <c r="W313" s="238"/>
      <c r="X313" s="238"/>
      <c r="Y313" s="238"/>
      <c r="Z313" s="238"/>
      <c r="AA313" s="238"/>
      <c r="AB313" s="238"/>
    </row>
    <row r="314" spans="2:28" s="53" customFormat="1" x14ac:dyDescent="0.3">
      <c r="B314" s="63"/>
      <c r="C314" s="40" t="s">
        <v>132</v>
      </c>
      <c r="D314" s="43" t="s">
        <v>141</v>
      </c>
      <c r="E314" s="87">
        <v>0</v>
      </c>
      <c r="F314" s="87">
        <v>0</v>
      </c>
      <c r="G314" s="87">
        <v>0</v>
      </c>
      <c r="H314" s="88">
        <f>G314*(1+'Date macro-economice'!H$9)*(1+'Costuri operare'!H326)</f>
        <v>0</v>
      </c>
      <c r="I314" s="88">
        <f>H314*(1+'Date macro-economice'!I$9)*(1+'Costuri operare'!I326)</f>
        <v>0</v>
      </c>
      <c r="J314" s="88">
        <f>I314*(1+'Date macro-economice'!J$9)*(1+'Costuri operare'!J326)</f>
        <v>0</v>
      </c>
      <c r="K314" s="88">
        <f>J314*(1+'Date macro-economice'!K$9)*(1+'Costuri operare'!K326)</f>
        <v>0</v>
      </c>
      <c r="L314" s="88">
        <f>K314*(1+'Date macro-economice'!L$9)*(1+'Costuri operare'!L326)</f>
        <v>0</v>
      </c>
      <c r="M314" s="88">
        <f>L314*(1+'Date macro-economice'!M$9)*(1+'Costuri operare'!M326)</f>
        <v>0</v>
      </c>
      <c r="N314" s="88">
        <f>M314*(1+'Date macro-economice'!N$9)*(1+'Costuri operare'!N326)</f>
        <v>0</v>
      </c>
      <c r="O314" s="88">
        <f>N314*(1+'Date macro-economice'!O$9)*(1+'Costuri operare'!O326)</f>
        <v>0</v>
      </c>
      <c r="Q314" s="35"/>
      <c r="S314" s="238"/>
      <c r="T314" s="238"/>
      <c r="U314" s="238"/>
      <c r="V314" s="238"/>
      <c r="W314" s="238"/>
      <c r="X314" s="238"/>
      <c r="Y314" s="238"/>
      <c r="Z314" s="238"/>
      <c r="AA314" s="238"/>
      <c r="AB314" s="238"/>
    </row>
    <row r="315" spans="2:28" s="22" customFormat="1" x14ac:dyDescent="0.3">
      <c r="B315" s="35"/>
      <c r="C315" s="40" t="s">
        <v>133</v>
      </c>
      <c r="D315" s="43" t="s">
        <v>141</v>
      </c>
      <c r="E315" s="87">
        <v>0</v>
      </c>
      <c r="F315" s="87">
        <v>0</v>
      </c>
      <c r="G315" s="87">
        <v>0</v>
      </c>
      <c r="H315" s="88">
        <f t="shared" ref="H315:O315" si="72">H333</f>
        <v>0</v>
      </c>
      <c r="I315" s="88">
        <f t="shared" si="72"/>
        <v>0</v>
      </c>
      <c r="J315" s="88">
        <f t="shared" si="72"/>
        <v>0</v>
      </c>
      <c r="K315" s="88">
        <f t="shared" si="72"/>
        <v>0</v>
      </c>
      <c r="L315" s="88">
        <f t="shared" si="72"/>
        <v>0</v>
      </c>
      <c r="M315" s="88">
        <f t="shared" si="72"/>
        <v>0</v>
      </c>
      <c r="N315" s="88">
        <f t="shared" si="72"/>
        <v>0</v>
      </c>
      <c r="O315" s="88">
        <f t="shared" si="72"/>
        <v>0</v>
      </c>
      <c r="Q315" s="35"/>
      <c r="S315" s="238"/>
      <c r="T315" s="238"/>
      <c r="U315" s="238"/>
      <c r="V315" s="238"/>
      <c r="W315" s="238"/>
      <c r="X315" s="238"/>
      <c r="Y315" s="238"/>
      <c r="Z315" s="238"/>
      <c r="AA315" s="238"/>
      <c r="AB315" s="238"/>
    </row>
    <row r="316" spans="2:28" s="22" customFormat="1" x14ac:dyDescent="0.3">
      <c r="B316" s="35"/>
      <c r="C316" s="40" t="s">
        <v>134</v>
      </c>
      <c r="D316" s="43" t="s">
        <v>141</v>
      </c>
      <c r="E316" s="87">
        <v>0</v>
      </c>
      <c r="F316" s="87">
        <v>0</v>
      </c>
      <c r="G316" s="87">
        <v>0</v>
      </c>
      <c r="H316" s="88">
        <f t="shared" ref="H316:O316" si="73">H336+H337+H338</f>
        <v>0</v>
      </c>
      <c r="I316" s="88">
        <f t="shared" si="73"/>
        <v>0</v>
      </c>
      <c r="J316" s="88">
        <f t="shared" si="73"/>
        <v>0</v>
      </c>
      <c r="K316" s="88">
        <f t="shared" si="73"/>
        <v>0</v>
      </c>
      <c r="L316" s="88">
        <f t="shared" si="73"/>
        <v>0</v>
      </c>
      <c r="M316" s="88">
        <f t="shared" si="73"/>
        <v>0</v>
      </c>
      <c r="N316" s="88">
        <f t="shared" si="73"/>
        <v>0</v>
      </c>
      <c r="O316" s="88">
        <f t="shared" si="73"/>
        <v>0</v>
      </c>
      <c r="Q316" s="35"/>
      <c r="S316" s="238"/>
      <c r="T316" s="238"/>
      <c r="U316" s="238"/>
      <c r="V316" s="238"/>
      <c r="W316" s="238"/>
      <c r="X316" s="238"/>
      <c r="Y316" s="238"/>
      <c r="Z316" s="238"/>
      <c r="AA316" s="238"/>
      <c r="AB316" s="238"/>
    </row>
    <row r="317" spans="2:28" s="22" customFormat="1" x14ac:dyDescent="0.3">
      <c r="B317" s="35"/>
      <c r="C317" s="40" t="s">
        <v>135</v>
      </c>
      <c r="D317" s="43" t="s">
        <v>141</v>
      </c>
      <c r="E317" s="87">
        <v>0</v>
      </c>
      <c r="F317" s="87">
        <v>0</v>
      </c>
      <c r="G317" s="87">
        <v>0</v>
      </c>
      <c r="H317" s="88">
        <f>G317*(1+H348)*(1+'Date macro-economice'!H$9)</f>
        <v>0</v>
      </c>
      <c r="I317" s="88">
        <f>H317*(1+I348)*(1+'Date macro-economice'!I$9)</f>
        <v>0</v>
      </c>
      <c r="J317" s="88">
        <f>I317*(1+J348)*(1+'Date macro-economice'!J$9)</f>
        <v>0</v>
      </c>
      <c r="K317" s="88">
        <f>J317*(1+K348)*(1+'Date macro-economice'!K$9)</f>
        <v>0</v>
      </c>
      <c r="L317" s="88">
        <f>K317*(1+L348)*(1+'Date macro-economice'!L$9)</f>
        <v>0</v>
      </c>
      <c r="M317" s="88">
        <f>L317*(1+M348)*(1+'Date macro-economice'!M$9)</f>
        <v>0</v>
      </c>
      <c r="N317" s="88">
        <f>M317*(1+N348)*(1+'Date macro-economice'!N$9)</f>
        <v>0</v>
      </c>
      <c r="O317" s="88">
        <f>N317*(1+O348)*(1+'Date macro-economice'!O$9)</f>
        <v>0</v>
      </c>
      <c r="Q317" s="35"/>
      <c r="S317" s="238"/>
      <c r="T317" s="238"/>
      <c r="U317" s="238"/>
      <c r="V317" s="238"/>
      <c r="W317" s="238"/>
      <c r="X317" s="238"/>
      <c r="Y317" s="238"/>
      <c r="Z317" s="238"/>
      <c r="AA317" s="238"/>
      <c r="AB317" s="238"/>
    </row>
    <row r="318" spans="2:28" s="22" customFormat="1" x14ac:dyDescent="0.3">
      <c r="B318" s="35"/>
      <c r="C318" s="40" t="s">
        <v>136</v>
      </c>
      <c r="D318" s="43" t="s">
        <v>141</v>
      </c>
      <c r="E318" s="87">
        <v>0</v>
      </c>
      <c r="F318" s="87">
        <v>0</v>
      </c>
      <c r="G318" s="87">
        <v>0</v>
      </c>
      <c r="H318" s="88">
        <f>G318*(1+H349)*(1+'Date macro-economice'!H$9)</f>
        <v>0</v>
      </c>
      <c r="I318" s="88">
        <f>H318*(1+I349)*(1+'Date macro-economice'!I$9)</f>
        <v>0</v>
      </c>
      <c r="J318" s="88">
        <f>I318*(1+J349)*(1+'Date macro-economice'!J$9)</f>
        <v>0</v>
      </c>
      <c r="K318" s="88">
        <f>J318*(1+K349)*(1+'Date macro-economice'!K$9)</f>
        <v>0</v>
      </c>
      <c r="L318" s="88">
        <f>K318*(1+L349)*(1+'Date macro-economice'!L$9)</f>
        <v>0</v>
      </c>
      <c r="M318" s="88">
        <f>L318*(1+M349)*(1+'Date macro-economice'!M$9)</f>
        <v>0</v>
      </c>
      <c r="N318" s="88">
        <f>M318*(1+N349)*(1+'Date macro-economice'!N$9)</f>
        <v>0</v>
      </c>
      <c r="O318" s="88">
        <f>N318*(1+O349)*(1+'Date macro-economice'!O$9)</f>
        <v>0</v>
      </c>
      <c r="Q318" s="35"/>
      <c r="S318" s="238"/>
      <c r="T318" s="238"/>
      <c r="U318" s="238"/>
      <c r="V318" s="238"/>
      <c r="W318" s="238"/>
      <c r="X318" s="238"/>
      <c r="Y318" s="238"/>
      <c r="Z318" s="238"/>
      <c r="AA318" s="238"/>
      <c r="AB318" s="238"/>
    </row>
    <row r="319" spans="2:28" s="22" customFormat="1" x14ac:dyDescent="0.3">
      <c r="B319" s="35"/>
      <c r="C319" s="40" t="s">
        <v>137</v>
      </c>
      <c r="D319" s="43" t="s">
        <v>141</v>
      </c>
      <c r="E319" s="87">
        <v>0</v>
      </c>
      <c r="F319" s="87">
        <v>0</v>
      </c>
      <c r="G319" s="87">
        <v>0</v>
      </c>
      <c r="H319" s="88">
        <f t="shared" ref="H319:O320" si="74">G319*(1+H358)</f>
        <v>0</v>
      </c>
      <c r="I319" s="88">
        <f t="shared" si="74"/>
        <v>0</v>
      </c>
      <c r="J319" s="88">
        <f t="shared" si="74"/>
        <v>0</v>
      </c>
      <c r="K319" s="88">
        <f t="shared" si="74"/>
        <v>0</v>
      </c>
      <c r="L319" s="88">
        <f t="shared" si="74"/>
        <v>0</v>
      </c>
      <c r="M319" s="88">
        <f t="shared" si="74"/>
        <v>0</v>
      </c>
      <c r="N319" s="88">
        <f t="shared" si="74"/>
        <v>0</v>
      </c>
      <c r="O319" s="88">
        <f t="shared" si="74"/>
        <v>0</v>
      </c>
      <c r="Q319" s="35"/>
      <c r="S319" s="238"/>
      <c r="T319" s="238"/>
      <c r="U319" s="238"/>
      <c r="V319" s="238"/>
      <c r="W319" s="238"/>
      <c r="X319" s="238"/>
      <c r="Y319" s="238"/>
      <c r="Z319" s="238"/>
      <c r="AA319" s="238"/>
      <c r="AB319" s="238"/>
    </row>
    <row r="320" spans="2:28" s="22" customFormat="1" x14ac:dyDescent="0.3">
      <c r="B320" s="35"/>
      <c r="C320" s="40" t="s">
        <v>138</v>
      </c>
      <c r="D320" s="43" t="s">
        <v>141</v>
      </c>
      <c r="E320" s="87">
        <v>0</v>
      </c>
      <c r="F320" s="87">
        <v>0</v>
      </c>
      <c r="G320" s="87">
        <v>0</v>
      </c>
      <c r="H320" s="88">
        <f t="shared" si="74"/>
        <v>0</v>
      </c>
      <c r="I320" s="88">
        <f t="shared" si="74"/>
        <v>0</v>
      </c>
      <c r="J320" s="88">
        <f t="shared" si="74"/>
        <v>0</v>
      </c>
      <c r="K320" s="88">
        <f t="shared" si="74"/>
        <v>0</v>
      </c>
      <c r="L320" s="88">
        <f t="shared" si="74"/>
        <v>0</v>
      </c>
      <c r="M320" s="88">
        <f t="shared" si="74"/>
        <v>0</v>
      </c>
      <c r="N320" s="88">
        <f t="shared" si="74"/>
        <v>0</v>
      </c>
      <c r="O320" s="88">
        <f t="shared" si="74"/>
        <v>0</v>
      </c>
      <c r="Q320" s="35"/>
      <c r="S320" s="238"/>
      <c r="T320" s="238"/>
      <c r="U320" s="238"/>
      <c r="V320" s="238"/>
      <c r="W320" s="238"/>
      <c r="X320" s="238"/>
      <c r="Y320" s="238"/>
      <c r="Z320" s="238"/>
      <c r="AA320" s="238"/>
      <c r="AB320" s="238"/>
    </row>
    <row r="321" spans="2:28" s="22" customFormat="1" ht="28.8" x14ac:dyDescent="0.3">
      <c r="B321" s="35"/>
      <c r="C321" s="40" t="s">
        <v>142</v>
      </c>
      <c r="D321" s="43" t="s">
        <v>141</v>
      </c>
      <c r="E321" s="87">
        <v>0</v>
      </c>
      <c r="F321" s="87">
        <v>0</v>
      </c>
      <c r="G321" s="87">
        <v>0</v>
      </c>
      <c r="H321" s="88">
        <v>0</v>
      </c>
      <c r="I321" s="88">
        <v>0</v>
      </c>
      <c r="J321" s="88">
        <v>0</v>
      </c>
      <c r="K321" s="88">
        <v>0</v>
      </c>
      <c r="L321" s="88">
        <v>0</v>
      </c>
      <c r="M321" s="88">
        <v>0</v>
      </c>
      <c r="N321" s="88">
        <v>0</v>
      </c>
      <c r="O321" s="88">
        <v>0</v>
      </c>
      <c r="Q321" s="35"/>
      <c r="S321" s="238"/>
      <c r="T321" s="238"/>
      <c r="U321" s="238"/>
      <c r="V321" s="238"/>
      <c r="W321" s="238"/>
      <c r="X321" s="238"/>
      <c r="Y321" s="238"/>
      <c r="Z321" s="238"/>
      <c r="AA321" s="238"/>
      <c r="AB321" s="238"/>
    </row>
    <row r="322" spans="2:28" s="22" customFormat="1" x14ac:dyDescent="0.3">
      <c r="B322" s="35"/>
      <c r="C322" s="155" t="s">
        <v>181</v>
      </c>
      <c r="D322" s="43" t="s">
        <v>141</v>
      </c>
      <c r="E322" s="87">
        <v>0</v>
      </c>
      <c r="F322" s="87">
        <v>0</v>
      </c>
      <c r="G322" s="87">
        <v>0</v>
      </c>
      <c r="H322" s="87">
        <f t="shared" ref="H322:O322" si="75">H356</f>
        <v>0</v>
      </c>
      <c r="I322" s="87">
        <f t="shared" si="75"/>
        <v>0</v>
      </c>
      <c r="J322" s="87">
        <f t="shared" si="75"/>
        <v>0</v>
      </c>
      <c r="K322" s="87">
        <f t="shared" si="75"/>
        <v>0</v>
      </c>
      <c r="L322" s="87">
        <f t="shared" si="75"/>
        <v>0</v>
      </c>
      <c r="M322" s="87">
        <f t="shared" si="75"/>
        <v>0</v>
      </c>
      <c r="N322" s="87">
        <f t="shared" si="75"/>
        <v>0</v>
      </c>
      <c r="O322" s="87">
        <f t="shared" si="75"/>
        <v>0</v>
      </c>
      <c r="Q322" s="35"/>
      <c r="S322" s="238"/>
      <c r="T322" s="238"/>
      <c r="U322" s="238"/>
      <c r="V322" s="238"/>
      <c r="W322" s="238"/>
      <c r="X322" s="238"/>
      <c r="Y322" s="238"/>
      <c r="Z322" s="238"/>
      <c r="AA322" s="238"/>
      <c r="AB322" s="238"/>
    </row>
    <row r="323" spans="2:28" s="22" customFormat="1" x14ac:dyDescent="0.3">
      <c r="B323" s="35"/>
      <c r="C323" s="155" t="s">
        <v>143</v>
      </c>
      <c r="D323" s="129" t="s">
        <v>141</v>
      </c>
      <c r="E323" s="87">
        <v>0</v>
      </c>
      <c r="F323" s="87">
        <v>0</v>
      </c>
      <c r="G323" s="87">
        <v>0</v>
      </c>
      <c r="H323" s="88">
        <f>G323*(1+H350)*(1+'Date macro-economice'!H$9)</f>
        <v>0</v>
      </c>
      <c r="I323" s="88">
        <f>H323*(1+I350)*(1+'Date macro-economice'!I$9)</f>
        <v>0</v>
      </c>
      <c r="J323" s="88">
        <f>I323*(1+J350)*(1+'Date macro-economice'!J$9)</f>
        <v>0</v>
      </c>
      <c r="K323" s="88">
        <f>J323*(1+K350)*(1+'Date macro-economice'!K$9)</f>
        <v>0</v>
      </c>
      <c r="L323" s="88">
        <f>K323*(1+L350)*(1+'Date macro-economice'!L$9)</f>
        <v>0</v>
      </c>
      <c r="M323" s="88">
        <f>L323*(1+M350)*(1+'Date macro-economice'!M$9)</f>
        <v>0</v>
      </c>
      <c r="N323" s="88">
        <f>M323*(1+N350)*(1+'Date macro-economice'!N$9)</f>
        <v>0</v>
      </c>
      <c r="O323" s="88">
        <f>N323*(1+O350)*(1+'Date macro-economice'!O$9)</f>
        <v>0</v>
      </c>
      <c r="Q323" s="35"/>
      <c r="S323" s="238"/>
      <c r="T323" s="238"/>
      <c r="U323" s="238"/>
      <c r="V323" s="238"/>
      <c r="W323" s="238"/>
      <c r="X323" s="238"/>
      <c r="Y323" s="238"/>
      <c r="Z323" s="238"/>
      <c r="AA323" s="238"/>
      <c r="AB323" s="238"/>
    </row>
    <row r="324" spans="2:28" s="22" customFormat="1" x14ac:dyDescent="0.3">
      <c r="B324" s="35"/>
      <c r="C324" s="42" t="s">
        <v>144</v>
      </c>
      <c r="D324" s="51" t="s">
        <v>141</v>
      </c>
      <c r="E324" s="62">
        <f t="shared" ref="E324:O324" si="76">SUM(E314:E323)</f>
        <v>0</v>
      </c>
      <c r="F324" s="62">
        <f t="shared" si="76"/>
        <v>0</v>
      </c>
      <c r="G324" s="62">
        <f t="shared" si="76"/>
        <v>0</v>
      </c>
      <c r="H324" s="62">
        <f t="shared" si="76"/>
        <v>0</v>
      </c>
      <c r="I324" s="62">
        <f t="shared" si="76"/>
        <v>0</v>
      </c>
      <c r="J324" s="62">
        <f t="shared" si="76"/>
        <v>0</v>
      </c>
      <c r="K324" s="62">
        <f t="shared" si="76"/>
        <v>0</v>
      </c>
      <c r="L324" s="62">
        <f t="shared" si="76"/>
        <v>0</v>
      </c>
      <c r="M324" s="62">
        <f t="shared" si="76"/>
        <v>0</v>
      </c>
      <c r="N324" s="62">
        <f t="shared" si="76"/>
        <v>0</v>
      </c>
      <c r="O324" s="62">
        <f t="shared" si="76"/>
        <v>0</v>
      </c>
      <c r="Q324" s="35"/>
      <c r="S324" s="238"/>
      <c r="T324" s="238"/>
      <c r="U324" s="238"/>
      <c r="V324" s="238"/>
      <c r="W324" s="238"/>
      <c r="X324" s="238"/>
      <c r="Y324" s="238"/>
      <c r="Z324" s="238"/>
      <c r="AA324" s="238"/>
      <c r="AB324" s="238"/>
    </row>
    <row r="325" spans="2:28" s="22" customFormat="1" x14ac:dyDescent="0.3">
      <c r="B325" s="35"/>
      <c r="Q325" s="35"/>
      <c r="S325" s="238"/>
      <c r="T325" s="238"/>
      <c r="U325" s="238"/>
      <c r="V325" s="238"/>
      <c r="W325" s="238"/>
      <c r="X325" s="238"/>
      <c r="Y325" s="238"/>
      <c r="Z325" s="238"/>
      <c r="AA325" s="238"/>
      <c r="AB325" s="238"/>
    </row>
    <row r="326" spans="2:28" x14ac:dyDescent="0.3">
      <c r="B326" s="35"/>
      <c r="C326" s="40" t="s">
        <v>152</v>
      </c>
      <c r="D326" s="43" t="s">
        <v>47</v>
      </c>
      <c r="E326" s="92" t="s">
        <v>92</v>
      </c>
      <c r="F326" s="162" t="e">
        <f>(F314/E314)/(1+'Date macro-economice'!F$9)-1</f>
        <v>#DIV/0!</v>
      </c>
      <c r="G326" s="162" t="e">
        <f>(G314/F314)/(1+'Date macro-economice'!G$9)-1</f>
        <v>#DIV/0!</v>
      </c>
      <c r="H326" s="159">
        <v>0</v>
      </c>
      <c r="I326" s="159">
        <v>0</v>
      </c>
      <c r="J326" s="159">
        <v>0</v>
      </c>
      <c r="K326" s="159">
        <v>0</v>
      </c>
      <c r="L326" s="159">
        <v>0</v>
      </c>
      <c r="M326" s="159">
        <v>0</v>
      </c>
      <c r="N326" s="159">
        <v>0</v>
      </c>
      <c r="O326" s="159">
        <v>0</v>
      </c>
      <c r="Q326" s="35"/>
      <c r="S326" s="238"/>
      <c r="T326" s="238"/>
      <c r="U326" s="238"/>
      <c r="V326" s="238"/>
      <c r="W326" s="238"/>
      <c r="X326" s="238"/>
      <c r="Y326" s="238"/>
      <c r="Z326" s="238"/>
      <c r="AA326" s="238"/>
      <c r="AB326" s="238"/>
    </row>
    <row r="327" spans="2:28" x14ac:dyDescent="0.3">
      <c r="B327" s="35"/>
      <c r="Q327" s="35"/>
      <c r="S327" s="238"/>
      <c r="T327" s="238"/>
      <c r="U327" s="238"/>
      <c r="V327" s="238"/>
      <c r="W327" s="238"/>
      <c r="X327" s="238"/>
      <c r="Y327" s="238"/>
      <c r="Z327" s="238"/>
      <c r="AA327" s="238"/>
      <c r="AB327" s="238"/>
    </row>
    <row r="328" spans="2:28" s="22" customFormat="1" x14ac:dyDescent="0.3">
      <c r="B328" s="35"/>
      <c r="C328" s="66" t="s">
        <v>153</v>
      </c>
      <c r="D328" s="40"/>
      <c r="E328" s="40"/>
      <c r="F328" s="40"/>
      <c r="G328" s="40"/>
      <c r="H328" s="40"/>
      <c r="I328" s="40"/>
      <c r="J328" s="40"/>
      <c r="K328" s="40"/>
      <c r="L328" s="40"/>
      <c r="M328" s="40"/>
      <c r="N328" s="40"/>
      <c r="O328" s="40"/>
      <c r="Q328" s="35"/>
      <c r="S328" s="238"/>
      <c r="T328" s="238"/>
      <c r="U328" s="238"/>
      <c r="V328" s="238"/>
      <c r="W328" s="238"/>
      <c r="X328" s="238"/>
      <c r="Y328" s="238"/>
      <c r="Z328" s="238"/>
      <c r="AA328" s="238"/>
      <c r="AB328" s="238"/>
    </row>
    <row r="329" spans="2:28" s="22" customFormat="1" x14ac:dyDescent="0.3">
      <c r="B329" s="35"/>
      <c r="C329" s="40" t="s">
        <v>154</v>
      </c>
      <c r="D329" s="43" t="s">
        <v>155</v>
      </c>
      <c r="E329" s="87">
        <v>0</v>
      </c>
      <c r="F329" s="87">
        <v>0</v>
      </c>
      <c r="G329" s="87">
        <v>0</v>
      </c>
      <c r="H329" s="87">
        <f>G329</f>
        <v>0</v>
      </c>
      <c r="I329" s="87">
        <f t="shared" ref="I329:O329" si="77">H329</f>
        <v>0</v>
      </c>
      <c r="J329" s="87">
        <f t="shared" si="77"/>
        <v>0</v>
      </c>
      <c r="K329" s="87">
        <f t="shared" si="77"/>
        <v>0</v>
      </c>
      <c r="L329" s="87">
        <f t="shared" si="77"/>
        <v>0</v>
      </c>
      <c r="M329" s="87">
        <f t="shared" si="77"/>
        <v>0</v>
      </c>
      <c r="N329" s="87">
        <f t="shared" si="77"/>
        <v>0</v>
      </c>
      <c r="O329" s="87">
        <f t="shared" si="77"/>
        <v>0</v>
      </c>
      <c r="Q329" s="35"/>
      <c r="S329" s="238"/>
      <c r="T329" s="238"/>
      <c r="U329" s="238"/>
      <c r="V329" s="238"/>
      <c r="W329" s="238"/>
      <c r="X329" s="238"/>
      <c r="Y329" s="238"/>
      <c r="Z329" s="238"/>
      <c r="AA329" s="238"/>
      <c r="AB329" s="238"/>
    </row>
    <row r="330" spans="2:28" s="22" customFormat="1" x14ac:dyDescent="0.3">
      <c r="B330" s="35"/>
      <c r="C330" s="40" t="s">
        <v>156</v>
      </c>
      <c r="D330" s="43" t="s">
        <v>157</v>
      </c>
      <c r="E330" s="105" t="e">
        <f>E329/Cererea!E70</f>
        <v>#DIV/0!</v>
      </c>
      <c r="F330" s="105" t="e">
        <f>F329/Cererea!F70</f>
        <v>#DIV/0!</v>
      </c>
      <c r="G330" s="105">
        <f>IFERROR(G329/Cererea!G70,0)</f>
        <v>0</v>
      </c>
      <c r="H330" s="105" t="e">
        <f>H329/Cererea!H70</f>
        <v>#DIV/0!</v>
      </c>
      <c r="I330" s="105" t="e">
        <f>I329/Cererea!I70</f>
        <v>#DIV/0!</v>
      </c>
      <c r="J330" s="105" t="e">
        <f>J329/Cererea!J70</f>
        <v>#DIV/0!</v>
      </c>
      <c r="K330" s="105" t="e">
        <f>K329/Cererea!K70</f>
        <v>#DIV/0!</v>
      </c>
      <c r="L330" s="105" t="e">
        <f>L329/Cererea!L70</f>
        <v>#DIV/0!</v>
      </c>
      <c r="M330" s="105" t="e">
        <f>M329/Cererea!M70</f>
        <v>#DIV/0!</v>
      </c>
      <c r="N330" s="105" t="e">
        <f>N329/Cererea!N70</f>
        <v>#DIV/0!</v>
      </c>
      <c r="O330" s="105" t="e">
        <f>O329/Cererea!O70</f>
        <v>#DIV/0!</v>
      </c>
      <c r="Q330" s="35"/>
      <c r="S330" s="238"/>
      <c r="T330" s="238"/>
      <c r="U330" s="238"/>
      <c r="V330" s="238"/>
      <c r="W330" s="238"/>
      <c r="X330" s="238"/>
      <c r="Y330" s="238"/>
      <c r="Z330" s="238"/>
      <c r="AA330" s="238"/>
      <c r="AB330" s="238"/>
    </row>
    <row r="331" spans="2:28" s="22" customFormat="1" x14ac:dyDescent="0.3">
      <c r="B331" s="35"/>
      <c r="C331" s="40" t="s">
        <v>147</v>
      </c>
      <c r="D331" s="43" t="s">
        <v>158</v>
      </c>
      <c r="E331" s="150" t="e">
        <f>E315/E329</f>
        <v>#DIV/0!</v>
      </c>
      <c r="F331" s="150" t="e">
        <f>F315/F329</f>
        <v>#DIV/0!</v>
      </c>
      <c r="G331" s="150" t="e">
        <f>G315/G329</f>
        <v>#DIV/0!</v>
      </c>
      <c r="H331" s="170" t="e">
        <f>G331*(1+'Date macro-economice'!H$9)*(1+H332)</f>
        <v>#DIV/0!</v>
      </c>
      <c r="I331" s="170" t="e">
        <f>H331*(1+'Date macro-economice'!I$9)*(1+I332)</f>
        <v>#DIV/0!</v>
      </c>
      <c r="J331" s="170" t="e">
        <f>I331*(1+'Date macro-economice'!J$9)*(1+J332)</f>
        <v>#DIV/0!</v>
      </c>
      <c r="K331" s="170" t="e">
        <f>J331*(1+'Date macro-economice'!K$9)*(1+K332)</f>
        <v>#DIV/0!</v>
      </c>
      <c r="L331" s="170" t="e">
        <f>K331*(1+'Date macro-economice'!L$9)*(1+L332)</f>
        <v>#DIV/0!</v>
      </c>
      <c r="M331" s="170" t="e">
        <f>L331*(1+'Date macro-economice'!M$9)*(1+M332)</f>
        <v>#DIV/0!</v>
      </c>
      <c r="N331" s="170" t="e">
        <f>M331*(1+'Date macro-economice'!N$9)*(1+N332)</f>
        <v>#DIV/0!</v>
      </c>
      <c r="O331" s="170" t="e">
        <f>N331*(1+'Date macro-economice'!O$9)*(1+O332)</f>
        <v>#DIV/0!</v>
      </c>
      <c r="Q331" s="35"/>
      <c r="S331" s="238"/>
      <c r="T331" s="238"/>
      <c r="U331" s="238"/>
      <c r="V331" s="238"/>
      <c r="W331" s="238"/>
      <c r="X331" s="238"/>
      <c r="Y331" s="238"/>
      <c r="Z331" s="238"/>
      <c r="AA331" s="238"/>
      <c r="AB331" s="238"/>
    </row>
    <row r="332" spans="2:28" s="22" customFormat="1" x14ac:dyDescent="0.3">
      <c r="B332" s="35"/>
      <c r="C332" s="40" t="s">
        <v>148</v>
      </c>
      <c r="D332" s="43" t="s">
        <v>47</v>
      </c>
      <c r="E332" s="158" t="s">
        <v>92</v>
      </c>
      <c r="F332" s="36" t="e">
        <f>(F331/E331)/(1+'Date macro-economice'!F$9)-1</f>
        <v>#DIV/0!</v>
      </c>
      <c r="G332" s="36" t="e">
        <f>(G331/F331)/(1+'Date macro-economice'!G$9)-1</f>
        <v>#DIV/0!</v>
      </c>
      <c r="H332" s="159">
        <v>0</v>
      </c>
      <c r="I332" s="159">
        <v>0</v>
      </c>
      <c r="J332" s="159">
        <v>0</v>
      </c>
      <c r="K332" s="159">
        <v>0</v>
      </c>
      <c r="L332" s="159">
        <v>0</v>
      </c>
      <c r="M332" s="159">
        <v>0</v>
      </c>
      <c r="N332" s="159">
        <v>0</v>
      </c>
      <c r="O332" s="159">
        <v>0</v>
      </c>
      <c r="Q332" s="35"/>
      <c r="S332" s="238"/>
      <c r="T332" s="238"/>
      <c r="U332" s="238"/>
      <c r="V332" s="238"/>
      <c r="W332" s="238"/>
      <c r="X332" s="238"/>
      <c r="Y332" s="238"/>
      <c r="Z332" s="238"/>
      <c r="AA332" s="238"/>
      <c r="AB332" s="238"/>
    </row>
    <row r="333" spans="2:28" x14ac:dyDescent="0.3">
      <c r="B333" s="35"/>
      <c r="C333" s="81" t="s">
        <v>149</v>
      </c>
      <c r="D333" s="82" t="s">
        <v>141</v>
      </c>
      <c r="E333" s="91">
        <f>E315</f>
        <v>0</v>
      </c>
      <c r="F333" s="91">
        <f>F315</f>
        <v>0</v>
      </c>
      <c r="G333" s="91">
        <f>G315</f>
        <v>0</v>
      </c>
      <c r="H333" s="91">
        <f>IFERROR(H329*H331,0)</f>
        <v>0</v>
      </c>
      <c r="I333" s="91">
        <f t="shared" ref="I333:O333" si="78">IFERROR(I329*I331,0)</f>
        <v>0</v>
      </c>
      <c r="J333" s="91">
        <f t="shared" si="78"/>
        <v>0</v>
      </c>
      <c r="K333" s="91">
        <f t="shared" si="78"/>
        <v>0</v>
      </c>
      <c r="L333" s="91">
        <f t="shared" si="78"/>
        <v>0</v>
      </c>
      <c r="M333" s="91">
        <f t="shared" si="78"/>
        <v>0</v>
      </c>
      <c r="N333" s="91">
        <f t="shared" si="78"/>
        <v>0</v>
      </c>
      <c r="O333" s="91">
        <f t="shared" si="78"/>
        <v>0</v>
      </c>
      <c r="Q333" s="35"/>
      <c r="S333" s="238"/>
      <c r="T333" s="238"/>
      <c r="U333" s="238"/>
      <c r="V333" s="238"/>
      <c r="W333" s="238"/>
      <c r="X333" s="238"/>
      <c r="Y333" s="238"/>
      <c r="Z333" s="238"/>
      <c r="AA333" s="238"/>
      <c r="AB333" s="238"/>
    </row>
    <row r="334" spans="2:28" x14ac:dyDescent="0.3">
      <c r="B334" s="35"/>
      <c r="Q334" s="35"/>
      <c r="S334" s="238"/>
      <c r="T334" s="238"/>
      <c r="U334" s="238"/>
      <c r="V334" s="238"/>
      <c r="W334" s="238"/>
      <c r="X334" s="238"/>
      <c r="Y334" s="238"/>
      <c r="Z334" s="238"/>
      <c r="AA334" s="238"/>
      <c r="AB334" s="238"/>
    </row>
    <row r="335" spans="2:28" x14ac:dyDescent="0.3">
      <c r="B335" s="35"/>
      <c r="C335" s="66" t="s">
        <v>159</v>
      </c>
      <c r="Q335" s="35"/>
      <c r="S335" s="238"/>
      <c r="T335" s="238"/>
      <c r="U335" s="238"/>
      <c r="V335" s="238"/>
      <c r="W335" s="238"/>
      <c r="X335" s="238"/>
      <c r="Y335" s="238"/>
      <c r="Z335" s="238"/>
      <c r="AA335" s="238"/>
      <c r="AB335" s="238"/>
    </row>
    <row r="336" spans="2:28" x14ac:dyDescent="0.3">
      <c r="B336" s="35"/>
      <c r="C336" s="40" t="s">
        <v>160</v>
      </c>
      <c r="D336" s="43" t="s">
        <v>141</v>
      </c>
      <c r="E336" s="87">
        <v>0</v>
      </c>
      <c r="F336" s="87">
        <v>0</v>
      </c>
      <c r="G336" s="87">
        <v>0</v>
      </c>
      <c r="H336" s="88">
        <f>H339*H340*12</f>
        <v>0</v>
      </c>
      <c r="I336" s="88">
        <f t="shared" ref="I336:O336" si="79">I339*I340*12</f>
        <v>0</v>
      </c>
      <c r="J336" s="88">
        <f t="shared" si="79"/>
        <v>0</v>
      </c>
      <c r="K336" s="88">
        <f t="shared" si="79"/>
        <v>0</v>
      </c>
      <c r="L336" s="88">
        <f t="shared" si="79"/>
        <v>0</v>
      </c>
      <c r="M336" s="88">
        <f t="shared" si="79"/>
        <v>0</v>
      </c>
      <c r="N336" s="88">
        <f t="shared" si="79"/>
        <v>0</v>
      </c>
      <c r="O336" s="88">
        <f t="shared" si="79"/>
        <v>0</v>
      </c>
      <c r="Q336" s="35"/>
      <c r="S336" s="238"/>
      <c r="T336" s="238"/>
      <c r="U336" s="238"/>
      <c r="V336" s="238"/>
      <c r="W336" s="238"/>
      <c r="X336" s="238"/>
      <c r="Y336" s="238"/>
      <c r="Z336" s="238"/>
      <c r="AA336" s="238"/>
      <c r="AB336" s="238"/>
    </row>
    <row r="337" spans="2:28" x14ac:dyDescent="0.3">
      <c r="B337" s="35"/>
      <c r="C337" s="40" t="s">
        <v>161</v>
      </c>
      <c r="D337" s="43" t="s">
        <v>141</v>
      </c>
      <c r="E337" s="87">
        <v>0</v>
      </c>
      <c r="F337" s="87">
        <v>0</v>
      </c>
      <c r="G337" s="87">
        <v>0</v>
      </c>
      <c r="H337" s="88">
        <f>H339*H341*12</f>
        <v>0</v>
      </c>
      <c r="I337" s="88">
        <f t="shared" ref="I337:O337" si="80">I339*I341*12</f>
        <v>0</v>
      </c>
      <c r="J337" s="88">
        <f t="shared" si="80"/>
        <v>0</v>
      </c>
      <c r="K337" s="88">
        <f t="shared" si="80"/>
        <v>0</v>
      </c>
      <c r="L337" s="88">
        <f t="shared" si="80"/>
        <v>0</v>
      </c>
      <c r="M337" s="88">
        <f t="shared" si="80"/>
        <v>0</v>
      </c>
      <c r="N337" s="88">
        <f t="shared" si="80"/>
        <v>0</v>
      </c>
      <c r="O337" s="88">
        <f t="shared" si="80"/>
        <v>0</v>
      </c>
      <c r="Q337" s="35"/>
      <c r="S337" s="238"/>
      <c r="T337" s="238"/>
      <c r="U337" s="238"/>
      <c r="V337" s="238"/>
      <c r="W337" s="238"/>
      <c r="X337" s="238"/>
      <c r="Y337" s="238"/>
      <c r="Z337" s="238"/>
      <c r="AA337" s="238"/>
      <c r="AB337" s="238"/>
    </row>
    <row r="338" spans="2:28" x14ac:dyDescent="0.3">
      <c r="B338" s="35"/>
      <c r="C338" s="155" t="s">
        <v>162</v>
      </c>
      <c r="D338" s="129" t="s">
        <v>141</v>
      </c>
      <c r="E338" s="88">
        <f>E316-E336-E337</f>
        <v>0</v>
      </c>
      <c r="F338" s="88">
        <f>F316-F336-F337</f>
        <v>0</v>
      </c>
      <c r="G338" s="88">
        <f>G316-G336-G337</f>
        <v>0</v>
      </c>
      <c r="H338" s="88">
        <f t="shared" ref="H338:O338" si="81">H339*H342*12</f>
        <v>0</v>
      </c>
      <c r="I338" s="88">
        <f t="shared" si="81"/>
        <v>0</v>
      </c>
      <c r="J338" s="88">
        <f t="shared" si="81"/>
        <v>0</v>
      </c>
      <c r="K338" s="88">
        <f t="shared" si="81"/>
        <v>0</v>
      </c>
      <c r="L338" s="88">
        <f t="shared" si="81"/>
        <v>0</v>
      </c>
      <c r="M338" s="88">
        <f t="shared" si="81"/>
        <v>0</v>
      </c>
      <c r="N338" s="88">
        <f t="shared" si="81"/>
        <v>0</v>
      </c>
      <c r="O338" s="88">
        <f t="shared" si="81"/>
        <v>0</v>
      </c>
      <c r="Q338" s="35"/>
      <c r="S338" s="238"/>
      <c r="T338" s="238"/>
      <c r="U338" s="238"/>
      <c r="V338" s="238"/>
      <c r="W338" s="238"/>
      <c r="X338" s="238"/>
      <c r="Y338" s="238"/>
      <c r="Z338" s="238"/>
      <c r="AA338" s="238"/>
      <c r="AB338" s="238"/>
    </row>
    <row r="339" spans="2:28" x14ac:dyDescent="0.3">
      <c r="B339" s="35"/>
      <c r="C339" s="40" t="s">
        <v>163</v>
      </c>
      <c r="D339" s="43" t="s">
        <v>14</v>
      </c>
      <c r="E339" s="87">
        <v>0</v>
      </c>
      <c r="F339" s="87">
        <v>0</v>
      </c>
      <c r="G339" s="87">
        <v>0</v>
      </c>
      <c r="H339" s="87">
        <v>0</v>
      </c>
      <c r="I339" s="87">
        <v>0</v>
      </c>
      <c r="J339" s="87">
        <v>0</v>
      </c>
      <c r="K339" s="87">
        <v>0</v>
      </c>
      <c r="L339" s="87">
        <v>0</v>
      </c>
      <c r="M339" s="87">
        <v>0</v>
      </c>
      <c r="N339" s="87">
        <v>0</v>
      </c>
      <c r="O339" s="87">
        <v>0</v>
      </c>
      <c r="Q339" s="35"/>
      <c r="S339" s="238"/>
      <c r="T339" s="238"/>
      <c r="U339" s="238"/>
      <c r="V339" s="238"/>
      <c r="W339" s="238"/>
      <c r="X339" s="238"/>
      <c r="Y339" s="238"/>
      <c r="Z339" s="238"/>
      <c r="AA339" s="238"/>
      <c r="AB339" s="238"/>
    </row>
    <row r="340" spans="2:28" x14ac:dyDescent="0.3">
      <c r="B340" s="35"/>
      <c r="C340" s="40" t="s">
        <v>164</v>
      </c>
      <c r="D340" s="163" t="s">
        <v>165</v>
      </c>
      <c r="E340" s="88" t="e">
        <f>E336/E339/12</f>
        <v>#DIV/0!</v>
      </c>
      <c r="F340" s="88" t="e">
        <f>F336/F339/12</f>
        <v>#DIV/0!</v>
      </c>
      <c r="G340" s="88" t="e">
        <f>G336/G339/12</f>
        <v>#DIV/0!</v>
      </c>
      <c r="H340" s="88">
        <f>IFERROR(G340*(1+'Date macro-economice'!H$9)*(1+'Date macro-economice'!H$11*'Costuri operare'!H346)*(1+'Costuri operare'!H343),0)</f>
        <v>0</v>
      </c>
      <c r="I340" s="88">
        <f>H340*(1+'Date macro-economice'!I$9)*(1+'Date macro-economice'!I$11*'Costuri operare'!I346)*(1+'Costuri operare'!I343)</f>
        <v>0</v>
      </c>
      <c r="J340" s="88">
        <f>I340*(1+'Date macro-economice'!J$9)*(1+'Date macro-economice'!J$11*'Costuri operare'!J346)*(1+'Costuri operare'!J343)</f>
        <v>0</v>
      </c>
      <c r="K340" s="88">
        <f>J340*(1+'Date macro-economice'!K$9)*(1+'Date macro-economice'!K$11*'Costuri operare'!K346)*(1+'Costuri operare'!K343)</f>
        <v>0</v>
      </c>
      <c r="L340" s="88">
        <f>K340*(1+'Date macro-economice'!L$9)*(1+'Date macro-economice'!L$11*'Costuri operare'!L346)*(1+'Costuri operare'!L343)</f>
        <v>0</v>
      </c>
      <c r="M340" s="88">
        <f>L340*(1+'Date macro-economice'!M$9)*(1+'Date macro-economice'!M$11*'Costuri operare'!M346)*(1+'Costuri operare'!M343)</f>
        <v>0</v>
      </c>
      <c r="N340" s="88">
        <f>M340*(1+'Date macro-economice'!N$9)*(1+'Date macro-economice'!N$11*'Costuri operare'!N346)*(1+'Costuri operare'!N343)</f>
        <v>0</v>
      </c>
      <c r="O340" s="88">
        <f>N340*(1+'Date macro-economice'!O$9)*(1+'Date macro-economice'!O$11*'Costuri operare'!O346)*(1+'Costuri operare'!O343)</f>
        <v>0</v>
      </c>
      <c r="Q340" s="35"/>
      <c r="S340" s="238"/>
      <c r="T340" s="238"/>
      <c r="U340" s="238"/>
      <c r="V340" s="238"/>
      <c r="W340" s="238"/>
      <c r="X340" s="238"/>
      <c r="Y340" s="238"/>
      <c r="Z340" s="238"/>
      <c r="AA340" s="238"/>
      <c r="AB340" s="238"/>
    </row>
    <row r="341" spans="2:28" ht="28.8" x14ac:dyDescent="0.3">
      <c r="B341" s="35"/>
      <c r="C341" s="40" t="s">
        <v>166</v>
      </c>
      <c r="D341" s="163" t="s">
        <v>165</v>
      </c>
      <c r="E341" s="88" t="e">
        <f>E337/E339/12</f>
        <v>#DIV/0!</v>
      </c>
      <c r="F341" s="88" t="e">
        <f>F337/F339/12</f>
        <v>#DIV/0!</v>
      </c>
      <c r="G341" s="88" t="e">
        <f>G337/G339/12</f>
        <v>#DIV/0!</v>
      </c>
      <c r="H341" s="88">
        <f>IFERROR(G341*(1+'Date macro-economice'!H$9)*(1+'Date macro-economice'!H$11*'Costuri operare'!H346)*(1+'Costuri operare'!H344),0)</f>
        <v>0</v>
      </c>
      <c r="I341" s="88">
        <f>H341*(1+'Date macro-economice'!I$9)*(1+'Date macro-economice'!I$11*'Costuri operare'!I346)*(1+'Costuri operare'!I344)</f>
        <v>0</v>
      </c>
      <c r="J341" s="88">
        <f>I341*(1+'Date macro-economice'!J$9)*(1+'Date macro-economice'!J$11*'Costuri operare'!J346)*(1+'Costuri operare'!J344)</f>
        <v>0</v>
      </c>
      <c r="K341" s="88">
        <f>J341*(1+'Date macro-economice'!K$9)*(1+'Date macro-economice'!K$11*'Costuri operare'!K346)*(1+'Costuri operare'!K344)</f>
        <v>0</v>
      </c>
      <c r="L341" s="88">
        <f>K341*(1+'Date macro-economice'!L$9)*(1+'Date macro-economice'!L$11*'Costuri operare'!L346)*(1+'Costuri operare'!L344)</f>
        <v>0</v>
      </c>
      <c r="M341" s="88">
        <f>L341*(1+'Date macro-economice'!M$9)*(1+'Date macro-economice'!M$11*'Costuri operare'!M346)*(1+'Costuri operare'!M344)</f>
        <v>0</v>
      </c>
      <c r="N341" s="88">
        <f>M341*(1+'Date macro-economice'!N$9)*(1+'Date macro-economice'!N$11*'Costuri operare'!N346)*(1+'Costuri operare'!N344)</f>
        <v>0</v>
      </c>
      <c r="O341" s="88">
        <f>N341*(1+'Date macro-economice'!O$9)*(1+'Date macro-economice'!O$11*'Costuri operare'!O346)*(1+'Costuri operare'!O344)</f>
        <v>0</v>
      </c>
      <c r="Q341" s="35"/>
      <c r="S341" s="238"/>
      <c r="T341" s="238"/>
      <c r="U341" s="238"/>
      <c r="V341" s="238"/>
      <c r="W341" s="238"/>
      <c r="X341" s="238"/>
      <c r="Y341" s="238"/>
      <c r="Z341" s="238"/>
      <c r="AA341" s="238"/>
      <c r="AB341" s="238"/>
    </row>
    <row r="342" spans="2:28" x14ac:dyDescent="0.3">
      <c r="B342" s="35"/>
      <c r="C342" s="155" t="s">
        <v>167</v>
      </c>
      <c r="D342" s="164" t="s">
        <v>165</v>
      </c>
      <c r="E342" s="131" t="e">
        <f>E338/E339/12</f>
        <v>#DIV/0!</v>
      </c>
      <c r="F342" s="131" t="e">
        <f>F338/F339/12</f>
        <v>#DIV/0!</v>
      </c>
      <c r="G342" s="131" t="e">
        <f>G338/G339/12</f>
        <v>#DIV/0!</v>
      </c>
      <c r="H342" s="88">
        <f>IFERROR(G342*(1+'Date macro-economice'!H$9)*(1+'Date macro-economice'!H$11*'Costuri operare'!H346)*(1+'Costuri operare'!H345),0)</f>
        <v>0</v>
      </c>
      <c r="I342" s="88">
        <f>H342*(1+'Date macro-economice'!I$9)*(1+'Date macro-economice'!I$11*'Costuri operare'!I346)*(1+'Costuri operare'!I345)</f>
        <v>0</v>
      </c>
      <c r="J342" s="88">
        <f>I342*(1+'Date macro-economice'!J$9)*(1+'Date macro-economice'!J$11*'Costuri operare'!J346)*(1+'Costuri operare'!J345)</f>
        <v>0</v>
      </c>
      <c r="K342" s="88">
        <f>J342*(1+'Date macro-economice'!K$9)*(1+'Date macro-economice'!K$11*'Costuri operare'!K346)*(1+'Costuri operare'!K345)</f>
        <v>0</v>
      </c>
      <c r="L342" s="88">
        <f>K342*(1+'Date macro-economice'!L$9)*(1+'Date macro-economice'!L$11*'Costuri operare'!L346)*(1+'Costuri operare'!L345)</f>
        <v>0</v>
      </c>
      <c r="M342" s="88">
        <f>L342*(1+'Date macro-economice'!M$9)*(1+'Date macro-economice'!M$11*'Costuri operare'!M346)*(1+'Costuri operare'!M345)</f>
        <v>0</v>
      </c>
      <c r="N342" s="88">
        <f>M342*(1+'Date macro-economice'!N$9)*(1+'Date macro-economice'!N$11*'Costuri operare'!N346)*(1+'Costuri operare'!N345)</f>
        <v>0</v>
      </c>
      <c r="O342" s="88">
        <f>N342*(1+'Date macro-economice'!O$9)*(1+'Date macro-economice'!O$11*'Costuri operare'!O346)*(1+'Costuri operare'!O345)</f>
        <v>0</v>
      </c>
      <c r="Q342" s="35"/>
      <c r="S342" s="238"/>
      <c r="T342" s="238"/>
      <c r="U342" s="238"/>
      <c r="V342" s="238"/>
      <c r="W342" s="238"/>
      <c r="X342" s="238"/>
      <c r="Y342" s="238"/>
      <c r="Z342" s="238"/>
      <c r="AA342" s="238"/>
      <c r="AB342" s="238"/>
    </row>
    <row r="343" spans="2:28" s="22" customFormat="1" ht="28.8" x14ac:dyDescent="0.3">
      <c r="B343" s="35"/>
      <c r="C343" s="40" t="s">
        <v>168</v>
      </c>
      <c r="D343" s="43" t="s">
        <v>47</v>
      </c>
      <c r="E343" s="92" t="s">
        <v>92</v>
      </c>
      <c r="F343" s="36" t="e">
        <f>(F340/E340)/((1+'Date macro-economice'!F$9)*(1+'Date macro-economice'!F$11*F$58))-1</f>
        <v>#DIV/0!</v>
      </c>
      <c r="G343" s="36" t="e">
        <f>(G340/F340)/((1+'Date macro-economice'!G$9)*(1+'Date macro-economice'!G$11*G$58))-1</f>
        <v>#DIV/0!</v>
      </c>
      <c r="H343" s="159">
        <v>0</v>
      </c>
      <c r="I343" s="159">
        <v>0</v>
      </c>
      <c r="J343" s="159">
        <v>0</v>
      </c>
      <c r="K343" s="159">
        <v>0</v>
      </c>
      <c r="L343" s="159">
        <v>0</v>
      </c>
      <c r="M343" s="159">
        <v>0</v>
      </c>
      <c r="N343" s="159">
        <v>0</v>
      </c>
      <c r="O343" s="159">
        <v>0</v>
      </c>
      <c r="Q343" s="35"/>
      <c r="S343" s="238"/>
      <c r="T343" s="238"/>
      <c r="U343" s="238"/>
      <c r="V343" s="238"/>
      <c r="W343" s="238"/>
      <c r="X343" s="238"/>
      <c r="Y343" s="238"/>
      <c r="Z343" s="238"/>
      <c r="AA343" s="238"/>
      <c r="AB343" s="238"/>
    </row>
    <row r="344" spans="2:28" s="22" customFormat="1" ht="43.2" x14ac:dyDescent="0.3">
      <c r="B344" s="35"/>
      <c r="C344" s="40" t="s">
        <v>169</v>
      </c>
      <c r="D344" s="43" t="s">
        <v>47</v>
      </c>
      <c r="E344" s="92" t="s">
        <v>92</v>
      </c>
      <c r="F344" s="36" t="e">
        <f>(F341/E341)/((1+'Date macro-economice'!F$9)*(1+'Date macro-economice'!F$11*F$58))-1</f>
        <v>#DIV/0!</v>
      </c>
      <c r="G344" s="36" t="e">
        <f>(G341/F341)/((1+'Date macro-economice'!G$9)*(1+'Date macro-economice'!G$11*G$58))-1</f>
        <v>#DIV/0!</v>
      </c>
      <c r="H344" s="159">
        <v>0</v>
      </c>
      <c r="I344" s="159">
        <v>0</v>
      </c>
      <c r="J344" s="159">
        <v>0</v>
      </c>
      <c r="K344" s="159">
        <v>0</v>
      </c>
      <c r="L344" s="159">
        <v>0</v>
      </c>
      <c r="M344" s="159">
        <v>0</v>
      </c>
      <c r="N344" s="159">
        <v>0</v>
      </c>
      <c r="O344" s="159">
        <v>0</v>
      </c>
      <c r="Q344" s="35"/>
      <c r="S344" s="238"/>
      <c r="T344" s="238"/>
      <c r="U344" s="238"/>
      <c r="V344" s="238"/>
      <c r="W344" s="238"/>
      <c r="X344" s="238"/>
      <c r="Y344" s="238"/>
      <c r="Z344" s="238"/>
      <c r="AA344" s="238"/>
      <c r="AB344" s="238"/>
    </row>
    <row r="345" spans="2:28" s="22" customFormat="1" ht="43.2" x14ac:dyDescent="0.3">
      <c r="B345" s="35"/>
      <c r="C345" s="40" t="s">
        <v>169</v>
      </c>
      <c r="D345" s="43" t="s">
        <v>47</v>
      </c>
      <c r="E345" s="92" t="s">
        <v>92</v>
      </c>
      <c r="F345" s="36" t="e">
        <f>(F342/E342)/((1+'Date macro-economice'!F$9)*(1+'Date macro-economice'!F$11*F$58))-1</f>
        <v>#DIV/0!</v>
      </c>
      <c r="G345" s="36" t="e">
        <f>(G342/F342)/((1+'Date macro-economice'!G$9)*(1+'Date macro-economice'!G$11*G$58))-1</f>
        <v>#DIV/0!</v>
      </c>
      <c r="H345" s="159">
        <v>0</v>
      </c>
      <c r="I345" s="159">
        <v>0</v>
      </c>
      <c r="J345" s="159">
        <v>0</v>
      </c>
      <c r="K345" s="159">
        <v>0</v>
      </c>
      <c r="L345" s="159">
        <v>0</v>
      </c>
      <c r="M345" s="159">
        <v>0</v>
      </c>
      <c r="N345" s="159">
        <v>0</v>
      </c>
      <c r="O345" s="159">
        <v>0</v>
      </c>
      <c r="Q345" s="35"/>
      <c r="S345" s="238"/>
      <c r="T345" s="238"/>
      <c r="U345" s="238"/>
      <c r="V345" s="238"/>
      <c r="W345" s="238"/>
      <c r="X345" s="238"/>
      <c r="Y345" s="238"/>
      <c r="Z345" s="238"/>
      <c r="AA345" s="238"/>
      <c r="AB345" s="238"/>
    </row>
    <row r="346" spans="2:28" s="22" customFormat="1" ht="43.2" x14ac:dyDescent="0.3">
      <c r="B346" s="35"/>
      <c r="C346" s="40" t="s">
        <v>171</v>
      </c>
      <c r="D346" s="43" t="s">
        <v>47</v>
      </c>
      <c r="E346" s="92"/>
      <c r="F346" s="165">
        <v>0.75</v>
      </c>
      <c r="G346" s="165">
        <v>0.75</v>
      </c>
      <c r="H346" s="165">
        <v>0.75</v>
      </c>
      <c r="I346" s="165">
        <v>0.75</v>
      </c>
      <c r="J346" s="165">
        <v>0.75</v>
      </c>
      <c r="K346" s="165">
        <v>0.75</v>
      </c>
      <c r="L346" s="165">
        <v>0.75</v>
      </c>
      <c r="M346" s="165">
        <v>0.75</v>
      </c>
      <c r="N346" s="165">
        <v>0.75</v>
      </c>
      <c r="O346" s="165">
        <v>0.75</v>
      </c>
      <c r="Q346" s="35"/>
      <c r="S346" s="238"/>
      <c r="T346" s="238"/>
      <c r="U346" s="238"/>
      <c r="V346" s="238"/>
      <c r="W346" s="238"/>
      <c r="X346" s="238"/>
      <c r="Y346" s="238"/>
      <c r="Z346" s="238"/>
      <c r="AA346" s="238"/>
      <c r="AB346" s="238"/>
    </row>
    <row r="347" spans="2:28" x14ac:dyDescent="0.3">
      <c r="B347" s="35"/>
      <c r="Q347" s="35"/>
      <c r="S347" s="238"/>
      <c r="T347" s="238"/>
      <c r="U347" s="238"/>
      <c r="V347" s="238"/>
      <c r="W347" s="238"/>
      <c r="X347" s="238"/>
      <c r="Y347" s="238"/>
      <c r="Z347" s="238"/>
      <c r="AA347" s="238"/>
      <c r="AB347" s="238"/>
    </row>
    <row r="348" spans="2:28" ht="28.8" x14ac:dyDescent="0.3">
      <c r="B348" s="35"/>
      <c r="C348" s="40" t="s">
        <v>172</v>
      </c>
      <c r="D348" s="43" t="s">
        <v>47</v>
      </c>
      <c r="E348" s="92" t="s">
        <v>92</v>
      </c>
      <c r="F348" s="162" t="e">
        <f>(F317/E317)/(1+'Date macro-economice'!F$9)-1</f>
        <v>#DIV/0!</v>
      </c>
      <c r="G348" s="162" t="e">
        <f>(G317/F317)/(1+'Date macro-economice'!G$9)-1</f>
        <v>#DIV/0!</v>
      </c>
      <c r="H348" s="159">
        <v>0</v>
      </c>
      <c r="I348" s="159">
        <v>0</v>
      </c>
      <c r="J348" s="159">
        <v>0</v>
      </c>
      <c r="K348" s="159">
        <v>0</v>
      </c>
      <c r="L348" s="159">
        <v>0</v>
      </c>
      <c r="M348" s="159">
        <v>0</v>
      </c>
      <c r="N348" s="159">
        <v>0</v>
      </c>
      <c r="O348" s="159">
        <v>0</v>
      </c>
      <c r="Q348" s="35"/>
      <c r="S348" s="238"/>
      <c r="T348" s="238"/>
      <c r="U348" s="238"/>
      <c r="V348" s="238"/>
      <c r="W348" s="238"/>
      <c r="X348" s="238"/>
      <c r="Y348" s="238"/>
      <c r="Z348" s="238"/>
      <c r="AA348" s="238"/>
      <c r="AB348" s="238"/>
    </row>
    <row r="349" spans="2:28" ht="28.8" x14ac:dyDescent="0.3">
      <c r="B349" s="35"/>
      <c r="C349" s="40" t="s">
        <v>173</v>
      </c>
      <c r="D349" s="43" t="s">
        <v>47</v>
      </c>
      <c r="E349" s="92" t="s">
        <v>92</v>
      </c>
      <c r="F349" s="162" t="e">
        <f>(F318/E318)/(1+'Date macro-economice'!F$9)-1</f>
        <v>#DIV/0!</v>
      </c>
      <c r="G349" s="162" t="e">
        <f>(G318/F318)/(1+'Date macro-economice'!G$9)-1</f>
        <v>#DIV/0!</v>
      </c>
      <c r="H349" s="159">
        <v>0</v>
      </c>
      <c r="I349" s="159">
        <v>0</v>
      </c>
      <c r="J349" s="159">
        <v>0</v>
      </c>
      <c r="K349" s="159">
        <v>0</v>
      </c>
      <c r="L349" s="159">
        <v>0</v>
      </c>
      <c r="M349" s="159">
        <v>0</v>
      </c>
      <c r="N349" s="159">
        <v>0</v>
      </c>
      <c r="O349" s="159">
        <v>0</v>
      </c>
      <c r="Q349" s="35"/>
      <c r="S349" s="238"/>
      <c r="T349" s="238"/>
      <c r="U349" s="238"/>
      <c r="V349" s="238"/>
      <c r="W349" s="238"/>
      <c r="X349" s="238"/>
      <c r="Y349" s="238"/>
      <c r="Z349" s="238"/>
      <c r="AA349" s="238"/>
      <c r="AB349" s="238"/>
    </row>
    <row r="350" spans="2:28" ht="28.8" x14ac:dyDescent="0.3">
      <c r="B350" s="35"/>
      <c r="C350" s="40" t="s">
        <v>174</v>
      </c>
      <c r="D350" s="43" t="s">
        <v>47</v>
      </c>
      <c r="E350" s="92" t="s">
        <v>92</v>
      </c>
      <c r="F350" s="162" t="e">
        <f>(F323/E323)/(1+'Date macro-economice'!F$9)-1</f>
        <v>#DIV/0!</v>
      </c>
      <c r="G350" s="162" t="e">
        <f>(G323/F323)/(1+'Date macro-economice'!G$9)-1</f>
        <v>#DIV/0!</v>
      </c>
      <c r="H350" s="159">
        <v>0</v>
      </c>
      <c r="I350" s="159">
        <v>0</v>
      </c>
      <c r="J350" s="159">
        <v>0</v>
      </c>
      <c r="K350" s="159">
        <v>0</v>
      </c>
      <c r="L350" s="159">
        <v>0</v>
      </c>
      <c r="M350" s="159">
        <v>0</v>
      </c>
      <c r="N350" s="159">
        <v>0</v>
      </c>
      <c r="O350" s="159">
        <v>0</v>
      </c>
      <c r="Q350" s="35"/>
      <c r="S350" s="238"/>
      <c r="T350" s="238"/>
      <c r="U350" s="238"/>
      <c r="V350" s="238"/>
      <c r="W350" s="238"/>
      <c r="X350" s="238"/>
      <c r="Y350" s="238"/>
      <c r="Z350" s="238"/>
      <c r="AA350" s="238"/>
      <c r="AB350" s="238"/>
    </row>
    <row r="351" spans="2:28" x14ac:dyDescent="0.3">
      <c r="B351" s="35"/>
      <c r="Q351" s="35"/>
      <c r="S351" s="238"/>
      <c r="T351" s="238"/>
      <c r="U351" s="238"/>
      <c r="V351" s="238"/>
      <c r="W351" s="238"/>
      <c r="X351" s="238"/>
      <c r="Y351" s="238"/>
      <c r="Z351" s="238"/>
      <c r="AA351" s="238"/>
      <c r="AB351" s="238"/>
    </row>
    <row r="352" spans="2:28" s="22" customFormat="1" x14ac:dyDescent="0.3">
      <c r="B352" s="35"/>
      <c r="C352" s="66" t="s">
        <v>196</v>
      </c>
      <c r="D352" s="40"/>
      <c r="E352" s="40"/>
      <c r="F352" s="40"/>
      <c r="G352" s="40"/>
      <c r="H352" s="40"/>
      <c r="I352" s="40"/>
      <c r="J352" s="40"/>
      <c r="K352" s="40"/>
      <c r="L352" s="40"/>
      <c r="M352" s="40"/>
      <c r="N352" s="40"/>
      <c r="O352" s="40"/>
      <c r="Q352" s="35"/>
      <c r="S352" s="238"/>
      <c r="T352" s="238"/>
      <c r="U352" s="238"/>
      <c r="V352" s="238"/>
      <c r="W352" s="238"/>
      <c r="X352" s="238"/>
      <c r="Y352" s="238"/>
      <c r="Z352" s="238"/>
      <c r="AA352" s="238"/>
      <c r="AB352" s="238"/>
    </row>
    <row r="353" spans="2:28" s="22" customFormat="1" x14ac:dyDescent="0.3">
      <c r="B353" s="35"/>
      <c r="C353" s="40" t="s">
        <v>183</v>
      </c>
      <c r="D353" s="43" t="s">
        <v>184</v>
      </c>
      <c r="E353" s="87">
        <v>0</v>
      </c>
      <c r="F353" s="87">
        <v>0</v>
      </c>
      <c r="G353" s="87">
        <v>0</v>
      </c>
      <c r="H353" s="87">
        <v>0</v>
      </c>
      <c r="I353" s="87">
        <v>0</v>
      </c>
      <c r="J353" s="87">
        <v>0</v>
      </c>
      <c r="K353" s="87">
        <v>0</v>
      </c>
      <c r="L353" s="87">
        <v>0</v>
      </c>
      <c r="M353" s="87">
        <v>0</v>
      </c>
      <c r="N353" s="87">
        <v>0</v>
      </c>
      <c r="O353" s="87">
        <v>0</v>
      </c>
      <c r="Q353" s="35"/>
      <c r="S353" s="238"/>
      <c r="T353" s="238"/>
      <c r="U353" s="238"/>
      <c r="V353" s="238"/>
      <c r="W353" s="238"/>
      <c r="X353" s="238"/>
      <c r="Y353" s="238"/>
      <c r="Z353" s="238"/>
      <c r="AA353" s="238"/>
      <c r="AB353" s="238"/>
    </row>
    <row r="354" spans="2:28" s="22" customFormat="1" x14ac:dyDescent="0.3">
      <c r="B354" s="35"/>
      <c r="C354" s="40" t="s">
        <v>185</v>
      </c>
      <c r="D354" s="43" t="s">
        <v>186</v>
      </c>
      <c r="E354" s="150" t="e">
        <f>E356/E353</f>
        <v>#DIV/0!</v>
      </c>
      <c r="F354" s="150" t="e">
        <f>F356/F353</f>
        <v>#DIV/0!</v>
      </c>
      <c r="G354" s="150" t="e">
        <f>G356/G353</f>
        <v>#DIV/0!</v>
      </c>
      <c r="H354" s="170" t="e">
        <f>G354*(1+'Date macro-economice'!H$9)*(1+H355)</f>
        <v>#DIV/0!</v>
      </c>
      <c r="I354" s="170" t="e">
        <f>H354*(1+'Date macro-economice'!I$9)*(1+I355)</f>
        <v>#DIV/0!</v>
      </c>
      <c r="J354" s="170" t="e">
        <f>I354*(1+'Date macro-economice'!J$9)*(1+J355)</f>
        <v>#DIV/0!</v>
      </c>
      <c r="K354" s="170" t="e">
        <f>J354*(1+'Date macro-economice'!K$9)*(1+K355)</f>
        <v>#DIV/0!</v>
      </c>
      <c r="L354" s="170" t="e">
        <f>K354*(1+'Date macro-economice'!L$9)*(1+L355)</f>
        <v>#DIV/0!</v>
      </c>
      <c r="M354" s="170" t="e">
        <f>L354*(1+'Date macro-economice'!M$9)*(1+M355)</f>
        <v>#DIV/0!</v>
      </c>
      <c r="N354" s="170" t="e">
        <f>M354*(1+'Date macro-economice'!N$9)*(1+N355)</f>
        <v>#DIV/0!</v>
      </c>
      <c r="O354" s="170" t="e">
        <f>N354*(1+'Date macro-economice'!O$9)*(1+O355)</f>
        <v>#DIV/0!</v>
      </c>
      <c r="Q354" s="35"/>
      <c r="S354" s="238"/>
      <c r="T354" s="238"/>
      <c r="U354" s="238"/>
      <c r="V354" s="238"/>
      <c r="W354" s="238"/>
      <c r="X354" s="238"/>
      <c r="Y354" s="238"/>
      <c r="Z354" s="238"/>
      <c r="AA354" s="238"/>
      <c r="AB354" s="238"/>
    </row>
    <row r="355" spans="2:28" s="22" customFormat="1" x14ac:dyDescent="0.3">
      <c r="B355" s="35"/>
      <c r="C355" s="40" t="s">
        <v>148</v>
      </c>
      <c r="D355" s="43" t="s">
        <v>47</v>
      </c>
      <c r="E355" s="158" t="s">
        <v>92</v>
      </c>
      <c r="F355" s="36" t="e">
        <f>(F354/E354)/(1+'Date macro-economice'!F$9)-1</f>
        <v>#DIV/0!</v>
      </c>
      <c r="G355" s="36" t="e">
        <f>(G354/F354)/(1+'Date macro-economice'!G$9)-1</f>
        <v>#DIV/0!</v>
      </c>
      <c r="H355" s="159">
        <v>0</v>
      </c>
      <c r="I355" s="159">
        <v>0</v>
      </c>
      <c r="J355" s="159">
        <v>0</v>
      </c>
      <c r="K355" s="159">
        <v>0</v>
      </c>
      <c r="L355" s="159">
        <v>0</v>
      </c>
      <c r="M355" s="159">
        <v>0</v>
      </c>
      <c r="N355" s="159">
        <v>0</v>
      </c>
      <c r="O355" s="159">
        <v>0</v>
      </c>
      <c r="Q355" s="35"/>
      <c r="S355" s="238"/>
      <c r="T355" s="238"/>
      <c r="U355" s="238"/>
      <c r="V355" s="238"/>
      <c r="W355" s="238"/>
      <c r="X355" s="238"/>
      <c r="Y355" s="238"/>
      <c r="Z355" s="238"/>
      <c r="AA355" s="238"/>
      <c r="AB355" s="238"/>
    </row>
    <row r="356" spans="2:28" x14ac:dyDescent="0.3">
      <c r="B356" s="35"/>
      <c r="C356" s="81" t="s">
        <v>149</v>
      </c>
      <c r="D356" s="82" t="s">
        <v>141</v>
      </c>
      <c r="E356" s="91">
        <f>E322</f>
        <v>0</v>
      </c>
      <c r="F356" s="91">
        <f>F322</f>
        <v>0</v>
      </c>
      <c r="G356" s="91">
        <f>G322</f>
        <v>0</v>
      </c>
      <c r="H356" s="91">
        <f>IFERROR(H353*H354,0)</f>
        <v>0</v>
      </c>
      <c r="I356" s="91">
        <f t="shared" ref="I356:O356" si="82">IFERROR(I353*I354,0)</f>
        <v>0</v>
      </c>
      <c r="J356" s="91">
        <f t="shared" si="82"/>
        <v>0</v>
      </c>
      <c r="K356" s="91">
        <f t="shared" si="82"/>
        <v>0</v>
      </c>
      <c r="L356" s="91">
        <f t="shared" si="82"/>
        <v>0</v>
      </c>
      <c r="M356" s="91">
        <f t="shared" si="82"/>
        <v>0</v>
      </c>
      <c r="N356" s="91">
        <f t="shared" si="82"/>
        <v>0</v>
      </c>
      <c r="O356" s="91">
        <f t="shared" si="82"/>
        <v>0</v>
      </c>
      <c r="Q356" s="35"/>
      <c r="S356" s="238"/>
      <c r="T356" s="238"/>
      <c r="U356" s="238"/>
      <c r="V356" s="238"/>
      <c r="W356" s="238"/>
      <c r="X356" s="238"/>
      <c r="Y356" s="238"/>
      <c r="Z356" s="238"/>
      <c r="AA356" s="238"/>
      <c r="AB356" s="238"/>
    </row>
    <row r="357" spans="2:28" x14ac:dyDescent="0.3">
      <c r="B357" s="35"/>
      <c r="Q357" s="35"/>
      <c r="S357" s="238"/>
      <c r="T357" s="238"/>
      <c r="U357" s="238"/>
      <c r="V357" s="238"/>
      <c r="W357" s="238"/>
      <c r="X357" s="238"/>
      <c r="Y357" s="238"/>
      <c r="Z357" s="238"/>
      <c r="AA357" s="238"/>
      <c r="AB357" s="238"/>
    </row>
    <row r="358" spans="2:28" ht="28.8" x14ac:dyDescent="0.3">
      <c r="B358" s="35"/>
      <c r="C358" s="40" t="s">
        <v>175</v>
      </c>
      <c r="D358" s="43" t="s">
        <v>47</v>
      </c>
      <c r="E358" s="92" t="s">
        <v>92</v>
      </c>
      <c r="F358" s="162" t="e">
        <f>F319/E319-1</f>
        <v>#DIV/0!</v>
      </c>
      <c r="G358" s="162" t="e">
        <f>G319/F319-1</f>
        <v>#DIV/0!</v>
      </c>
      <c r="H358" s="166">
        <f>IFERROR('Amortizare si redeventa'!H197,0)</f>
        <v>0</v>
      </c>
      <c r="I358" s="166">
        <f>IFERROR('Amortizare si redeventa'!I197,0)</f>
        <v>0</v>
      </c>
      <c r="J358" s="166">
        <f>IFERROR('Amortizare si redeventa'!J197,0)</f>
        <v>0</v>
      </c>
      <c r="K358" s="166">
        <f>IFERROR('Amortizare si redeventa'!K197,0)</f>
        <v>0</v>
      </c>
      <c r="L358" s="166">
        <f>IFERROR('Amortizare si redeventa'!L197,0)</f>
        <v>0</v>
      </c>
      <c r="M358" s="166">
        <f>IFERROR('Amortizare si redeventa'!M197,0)</f>
        <v>0</v>
      </c>
      <c r="N358" s="166">
        <f>IFERROR('Amortizare si redeventa'!N197,0)</f>
        <v>0</v>
      </c>
      <c r="O358" s="166">
        <f>IFERROR('Amortizare si redeventa'!O197,0)</f>
        <v>0</v>
      </c>
      <c r="Q358" s="35"/>
      <c r="S358" s="238"/>
      <c r="T358" s="238"/>
      <c r="U358" s="238"/>
      <c r="V358" s="238"/>
      <c r="W358" s="238"/>
      <c r="X358" s="238"/>
      <c r="Y358" s="238"/>
      <c r="Z358" s="238"/>
      <c r="AA358" s="238"/>
      <c r="AB358" s="238"/>
    </row>
    <row r="359" spans="2:28" ht="28.8" x14ac:dyDescent="0.3">
      <c r="B359" s="35"/>
      <c r="C359" s="40" t="s">
        <v>176</v>
      </c>
      <c r="D359" s="43" t="s">
        <v>47</v>
      </c>
      <c r="E359" s="92" t="s">
        <v>92</v>
      </c>
      <c r="F359" s="162" t="e">
        <f>F320/E320-1</f>
        <v>#DIV/0!</v>
      </c>
      <c r="G359" s="162" t="e">
        <f>G320/F320-1</f>
        <v>#DIV/0!</v>
      </c>
      <c r="H359" s="166">
        <f>IFERROR('Amortizare si redeventa'!H203,0)</f>
        <v>0</v>
      </c>
      <c r="I359" s="166">
        <f>IFERROR('Amortizare si redeventa'!I203,0)</f>
        <v>0</v>
      </c>
      <c r="J359" s="166">
        <f>IFERROR('Amortizare si redeventa'!J203,0)</f>
        <v>0</v>
      </c>
      <c r="K359" s="166">
        <f>IFERROR('Amortizare si redeventa'!K203,0)</f>
        <v>0</v>
      </c>
      <c r="L359" s="166">
        <f>IFERROR('Amortizare si redeventa'!L203,0)</f>
        <v>0</v>
      </c>
      <c r="M359" s="166">
        <f>IFERROR('Amortizare si redeventa'!M203,0)</f>
        <v>0</v>
      </c>
      <c r="N359" s="166">
        <f>IFERROR('Amortizare si redeventa'!N203,0)</f>
        <v>0</v>
      </c>
      <c r="O359" s="166">
        <f>IFERROR('Amortizare si redeventa'!O203,0)</f>
        <v>0</v>
      </c>
      <c r="Q359" s="35"/>
      <c r="S359" s="238"/>
      <c r="T359" s="238"/>
      <c r="U359" s="238"/>
      <c r="V359" s="238"/>
      <c r="W359" s="238"/>
      <c r="X359" s="238"/>
      <c r="Y359" s="238"/>
      <c r="Z359" s="238"/>
      <c r="AA359" s="238"/>
      <c r="AB359" s="238"/>
    </row>
    <row r="360" spans="2:28" x14ac:dyDescent="0.3">
      <c r="B360" s="35"/>
      <c r="Q360" s="35"/>
      <c r="S360" s="238"/>
      <c r="T360" s="238"/>
      <c r="U360" s="238"/>
      <c r="V360" s="238"/>
      <c r="W360" s="238"/>
      <c r="X360" s="238"/>
      <c r="Y360" s="238"/>
      <c r="Z360" s="238"/>
      <c r="AA360" s="238"/>
      <c r="AB360" s="238"/>
    </row>
    <row r="361" spans="2:28" ht="6.6" customHeight="1" x14ac:dyDescent="0.3">
      <c r="B361" s="35"/>
      <c r="C361" s="35"/>
      <c r="D361" s="35"/>
      <c r="E361" s="35"/>
      <c r="F361" s="35"/>
      <c r="G361" s="35"/>
      <c r="H361" s="35"/>
      <c r="I361" s="35"/>
      <c r="J361" s="35"/>
      <c r="K361" s="35"/>
      <c r="L361" s="35"/>
      <c r="M361" s="35"/>
      <c r="N361" s="35"/>
      <c r="O361" s="35"/>
      <c r="P361" s="35"/>
      <c r="Q361" s="35"/>
    </row>
    <row r="363" spans="2:28" ht="8.1" customHeight="1" x14ac:dyDescent="0.3">
      <c r="B363" s="23"/>
      <c r="C363" s="23"/>
      <c r="D363" s="23"/>
      <c r="E363" s="23"/>
      <c r="F363" s="23"/>
      <c r="G363" s="23"/>
      <c r="H363" s="23"/>
      <c r="I363" s="23"/>
      <c r="J363" s="23"/>
      <c r="K363" s="23"/>
      <c r="L363" s="23"/>
      <c r="M363" s="23"/>
      <c r="N363" s="23"/>
      <c r="O363" s="23"/>
      <c r="P363" s="23"/>
      <c r="Q363" s="23"/>
    </row>
    <row r="364" spans="2:28" x14ac:dyDescent="0.3">
      <c r="B364" s="23"/>
      <c r="Q364" s="23"/>
    </row>
    <row r="365" spans="2:28" s="22" customFormat="1" ht="78" customHeight="1" x14ac:dyDescent="0.3">
      <c r="B365" s="35"/>
      <c r="C365" s="89" t="s">
        <v>197</v>
      </c>
      <c r="D365" s="89"/>
      <c r="E365" s="111">
        <f>F365-1</f>
        <v>2022</v>
      </c>
      <c r="F365" s="111">
        <f>G365-1</f>
        <v>2023</v>
      </c>
      <c r="G365" s="112">
        <f>'Date generale'!$D$8</f>
        <v>2024</v>
      </c>
      <c r="H365" s="113">
        <f t="shared" ref="H365:O365" si="83">G365+1</f>
        <v>2025</v>
      </c>
      <c r="I365" s="113">
        <f t="shared" si="83"/>
        <v>2026</v>
      </c>
      <c r="J365" s="113">
        <f t="shared" si="83"/>
        <v>2027</v>
      </c>
      <c r="K365" s="113">
        <f t="shared" si="83"/>
        <v>2028</v>
      </c>
      <c r="L365" s="113">
        <f t="shared" si="83"/>
        <v>2029</v>
      </c>
      <c r="M365" s="113">
        <f t="shared" si="83"/>
        <v>2030</v>
      </c>
      <c r="N365" s="113">
        <f t="shared" si="83"/>
        <v>2031</v>
      </c>
      <c r="O365" s="113">
        <f t="shared" si="83"/>
        <v>2032</v>
      </c>
      <c r="Q365" s="35"/>
      <c r="S365" s="237" t="s">
        <v>198</v>
      </c>
      <c r="T365" s="237"/>
      <c r="U365" s="237"/>
      <c r="V365" s="237"/>
      <c r="W365" s="237"/>
      <c r="X365" s="237"/>
      <c r="Y365" s="237"/>
      <c r="Z365" s="237"/>
      <c r="AA365" s="237"/>
      <c r="AB365" s="237"/>
    </row>
    <row r="366" spans="2:28" x14ac:dyDescent="0.3">
      <c r="B366" s="23"/>
      <c r="C366" s="114"/>
      <c r="D366" s="114"/>
      <c r="E366" s="115">
        <f>F366-1</f>
        <v>-3</v>
      </c>
      <c r="F366" s="115">
        <f>G366-1</f>
        <v>-2</v>
      </c>
      <c r="G366" s="116">
        <v>-1</v>
      </c>
      <c r="H366" s="116">
        <v>0</v>
      </c>
      <c r="I366" s="116">
        <f t="shared" ref="I366:O366" si="84">H366+1</f>
        <v>1</v>
      </c>
      <c r="J366" s="116">
        <f t="shared" si="84"/>
        <v>2</v>
      </c>
      <c r="K366" s="116">
        <f t="shared" si="84"/>
        <v>3</v>
      </c>
      <c r="L366" s="116">
        <f t="shared" si="84"/>
        <v>4</v>
      </c>
      <c r="M366" s="116">
        <f t="shared" si="84"/>
        <v>5</v>
      </c>
      <c r="N366" s="116">
        <f t="shared" si="84"/>
        <v>6</v>
      </c>
      <c r="O366" s="116">
        <f t="shared" si="84"/>
        <v>7</v>
      </c>
      <c r="Q366" s="35"/>
      <c r="S366" s="169" t="s">
        <v>132</v>
      </c>
      <c r="T366" s="169" t="s">
        <v>133</v>
      </c>
      <c r="U366" s="169" t="s">
        <v>134</v>
      </c>
      <c r="V366" s="169" t="s">
        <v>135</v>
      </c>
      <c r="W366" s="169" t="s">
        <v>136</v>
      </c>
      <c r="X366" s="169" t="s">
        <v>137</v>
      </c>
      <c r="Y366" s="169" t="s">
        <v>138</v>
      </c>
      <c r="Z366" s="169" t="s">
        <v>139</v>
      </c>
      <c r="AA366" s="169" t="s">
        <v>179</v>
      </c>
      <c r="AB366" s="169"/>
    </row>
    <row r="367" spans="2:28" s="24" customFormat="1" x14ac:dyDescent="0.3">
      <c r="B367" s="61"/>
      <c r="C367" s="42"/>
      <c r="D367" s="51"/>
      <c r="E367" s="62"/>
      <c r="F367" s="62"/>
      <c r="G367" s="62"/>
      <c r="H367" s="62"/>
      <c r="I367" s="62"/>
      <c r="J367" s="62"/>
      <c r="K367" s="62"/>
      <c r="L367" s="62"/>
      <c r="M367" s="62"/>
      <c r="N367" s="62"/>
      <c r="O367" s="62"/>
      <c r="Q367" s="35"/>
      <c r="S367" s="238"/>
      <c r="T367" s="238"/>
      <c r="U367" s="238"/>
      <c r="V367" s="238"/>
      <c r="W367" s="238"/>
      <c r="X367" s="238"/>
      <c r="Y367" s="238"/>
      <c r="Z367" s="238"/>
      <c r="AA367" s="238"/>
      <c r="AB367" s="238"/>
    </row>
    <row r="368" spans="2:28" s="53" customFormat="1" x14ac:dyDescent="0.3">
      <c r="B368" s="63"/>
      <c r="C368" s="40" t="s">
        <v>132</v>
      </c>
      <c r="D368" s="43" t="s">
        <v>141</v>
      </c>
      <c r="E368" s="87">
        <v>0</v>
      </c>
      <c r="F368" s="87">
        <v>0</v>
      </c>
      <c r="G368" s="87">
        <v>0</v>
      </c>
      <c r="H368" s="88">
        <f>G368*(1+'Date macro-economice'!H$9)*(1+'Costuri operare'!H380)</f>
        <v>0</v>
      </c>
      <c r="I368" s="88">
        <f>H368*(1+'Date macro-economice'!I$9)*(1+'Costuri operare'!I380)</f>
        <v>0</v>
      </c>
      <c r="J368" s="88">
        <f>I368*(1+'Date macro-economice'!J$9)*(1+'Costuri operare'!J380)</f>
        <v>0</v>
      </c>
      <c r="K368" s="88">
        <f>J368*(1+'Date macro-economice'!K$9)*(1+'Costuri operare'!K380)</f>
        <v>0</v>
      </c>
      <c r="L368" s="88">
        <f>K368*(1+'Date macro-economice'!L$9)*(1+'Costuri operare'!L380)</f>
        <v>0</v>
      </c>
      <c r="M368" s="88">
        <f>L368*(1+'Date macro-economice'!M$9)*(1+'Costuri operare'!M380)</f>
        <v>0</v>
      </c>
      <c r="N368" s="88">
        <f>M368*(1+'Date macro-economice'!N$9)*(1+'Costuri operare'!N380)</f>
        <v>0</v>
      </c>
      <c r="O368" s="88">
        <f>N368*(1+'Date macro-economice'!O$9)*(1+'Costuri operare'!O380)</f>
        <v>0</v>
      </c>
      <c r="Q368" s="35"/>
      <c r="S368" s="238"/>
      <c r="T368" s="238"/>
      <c r="U368" s="238"/>
      <c r="V368" s="238"/>
      <c r="W368" s="238"/>
      <c r="X368" s="238"/>
      <c r="Y368" s="238"/>
      <c r="Z368" s="238"/>
      <c r="AA368" s="238"/>
      <c r="AB368" s="238"/>
    </row>
    <row r="369" spans="2:28" s="22" customFormat="1" x14ac:dyDescent="0.3">
      <c r="B369" s="35"/>
      <c r="C369" s="40" t="s">
        <v>133</v>
      </c>
      <c r="D369" s="43" t="s">
        <v>141</v>
      </c>
      <c r="E369" s="87">
        <v>0</v>
      </c>
      <c r="F369" s="87">
        <v>0</v>
      </c>
      <c r="G369" s="87">
        <v>0</v>
      </c>
      <c r="H369" s="88">
        <f t="shared" ref="H369:O369" si="85">H387</f>
        <v>0</v>
      </c>
      <c r="I369" s="88">
        <f t="shared" si="85"/>
        <v>0</v>
      </c>
      <c r="J369" s="88">
        <f t="shared" si="85"/>
        <v>0</v>
      </c>
      <c r="K369" s="88">
        <f t="shared" si="85"/>
        <v>0</v>
      </c>
      <c r="L369" s="88">
        <f t="shared" si="85"/>
        <v>0</v>
      </c>
      <c r="M369" s="88">
        <f t="shared" si="85"/>
        <v>0</v>
      </c>
      <c r="N369" s="88">
        <f t="shared" si="85"/>
        <v>0</v>
      </c>
      <c r="O369" s="88">
        <f t="shared" si="85"/>
        <v>0</v>
      </c>
      <c r="Q369" s="35"/>
      <c r="S369" s="238"/>
      <c r="T369" s="238"/>
      <c r="U369" s="238"/>
      <c r="V369" s="238"/>
      <c r="W369" s="238"/>
      <c r="X369" s="238"/>
      <c r="Y369" s="238"/>
      <c r="Z369" s="238"/>
      <c r="AA369" s="238"/>
      <c r="AB369" s="238"/>
    </row>
    <row r="370" spans="2:28" s="22" customFormat="1" x14ac:dyDescent="0.3">
      <c r="B370" s="35"/>
      <c r="C370" s="40" t="s">
        <v>134</v>
      </c>
      <c r="D370" s="43" t="s">
        <v>141</v>
      </c>
      <c r="E370" s="87">
        <v>0</v>
      </c>
      <c r="F370" s="87">
        <v>0</v>
      </c>
      <c r="G370" s="87">
        <v>0</v>
      </c>
      <c r="H370" s="88">
        <f t="shared" ref="H370:O370" si="86">H390+H391+H392</f>
        <v>0</v>
      </c>
      <c r="I370" s="88">
        <f t="shared" si="86"/>
        <v>0</v>
      </c>
      <c r="J370" s="88">
        <f t="shared" si="86"/>
        <v>0</v>
      </c>
      <c r="K370" s="88">
        <f t="shared" si="86"/>
        <v>0</v>
      </c>
      <c r="L370" s="88">
        <f t="shared" si="86"/>
        <v>0</v>
      </c>
      <c r="M370" s="88">
        <f t="shared" si="86"/>
        <v>0</v>
      </c>
      <c r="N370" s="88">
        <f t="shared" si="86"/>
        <v>0</v>
      </c>
      <c r="O370" s="88">
        <f t="shared" si="86"/>
        <v>0</v>
      </c>
      <c r="Q370" s="35"/>
      <c r="S370" s="238"/>
      <c r="T370" s="238"/>
      <c r="U370" s="238"/>
      <c r="V370" s="238"/>
      <c r="W370" s="238"/>
      <c r="X370" s="238"/>
      <c r="Y370" s="238"/>
      <c r="Z370" s="238"/>
      <c r="AA370" s="238"/>
      <c r="AB370" s="238"/>
    </row>
    <row r="371" spans="2:28" s="22" customFormat="1" x14ac:dyDescent="0.3">
      <c r="B371" s="35"/>
      <c r="C371" s="40" t="s">
        <v>135</v>
      </c>
      <c r="D371" s="43" t="s">
        <v>141</v>
      </c>
      <c r="E371" s="87">
        <v>0</v>
      </c>
      <c r="F371" s="87">
        <v>0</v>
      </c>
      <c r="G371" s="87">
        <v>0</v>
      </c>
      <c r="H371" s="88">
        <f>G371*(1+H402)*(1+'Date macro-economice'!H$9)</f>
        <v>0</v>
      </c>
      <c r="I371" s="88">
        <f>H371*(1+I402)*(1+'Date macro-economice'!I$9)</f>
        <v>0</v>
      </c>
      <c r="J371" s="88">
        <f>I371*(1+J402)*(1+'Date macro-economice'!J$9)</f>
        <v>0</v>
      </c>
      <c r="K371" s="88">
        <f>J371*(1+K402)*(1+'Date macro-economice'!K$9)</f>
        <v>0</v>
      </c>
      <c r="L371" s="88">
        <f>K371*(1+L402)*(1+'Date macro-economice'!L$9)</f>
        <v>0</v>
      </c>
      <c r="M371" s="88">
        <f>L371*(1+M402)*(1+'Date macro-economice'!M$9)</f>
        <v>0</v>
      </c>
      <c r="N371" s="88">
        <f>M371*(1+N402)*(1+'Date macro-economice'!N$9)</f>
        <v>0</v>
      </c>
      <c r="O371" s="88">
        <f>N371*(1+O402)*(1+'Date macro-economice'!O$9)</f>
        <v>0</v>
      </c>
      <c r="Q371" s="35"/>
      <c r="S371" s="238"/>
      <c r="T371" s="238"/>
      <c r="U371" s="238"/>
      <c r="V371" s="238"/>
      <c r="W371" s="238"/>
      <c r="X371" s="238"/>
      <c r="Y371" s="238"/>
      <c r="Z371" s="238"/>
      <c r="AA371" s="238"/>
      <c r="AB371" s="238"/>
    </row>
    <row r="372" spans="2:28" s="22" customFormat="1" x14ac:dyDescent="0.3">
      <c r="B372" s="35"/>
      <c r="C372" s="40" t="s">
        <v>136</v>
      </c>
      <c r="D372" s="43" t="s">
        <v>141</v>
      </c>
      <c r="E372" s="87">
        <v>0</v>
      </c>
      <c r="F372" s="87">
        <v>0</v>
      </c>
      <c r="G372" s="87">
        <v>0</v>
      </c>
      <c r="H372" s="88">
        <f>G372*(1+H403)*(1+'Date macro-economice'!H$9)</f>
        <v>0</v>
      </c>
      <c r="I372" s="88">
        <f>H372*(1+I403)*(1+'Date macro-economice'!I$9)</f>
        <v>0</v>
      </c>
      <c r="J372" s="88">
        <f>I372*(1+J403)*(1+'Date macro-economice'!J$9)</f>
        <v>0</v>
      </c>
      <c r="K372" s="88">
        <f>J372*(1+K403)*(1+'Date macro-economice'!K$9)</f>
        <v>0</v>
      </c>
      <c r="L372" s="88">
        <f>K372*(1+L403)*(1+'Date macro-economice'!L$9)</f>
        <v>0</v>
      </c>
      <c r="M372" s="88">
        <f>L372*(1+M403)*(1+'Date macro-economice'!M$9)</f>
        <v>0</v>
      </c>
      <c r="N372" s="88">
        <f>M372*(1+N403)*(1+'Date macro-economice'!N$9)</f>
        <v>0</v>
      </c>
      <c r="O372" s="88">
        <f>N372*(1+O403)*(1+'Date macro-economice'!O$9)</f>
        <v>0</v>
      </c>
      <c r="Q372" s="35"/>
      <c r="S372" s="238"/>
      <c r="T372" s="238"/>
      <c r="U372" s="238"/>
      <c r="V372" s="238"/>
      <c r="W372" s="238"/>
      <c r="X372" s="238"/>
      <c r="Y372" s="238"/>
      <c r="Z372" s="238"/>
      <c r="AA372" s="238"/>
      <c r="AB372" s="238"/>
    </row>
    <row r="373" spans="2:28" s="22" customFormat="1" x14ac:dyDescent="0.3">
      <c r="B373" s="35"/>
      <c r="C373" s="40" t="s">
        <v>137</v>
      </c>
      <c r="D373" s="43" t="s">
        <v>141</v>
      </c>
      <c r="E373" s="87">
        <v>0</v>
      </c>
      <c r="F373" s="87">
        <v>0</v>
      </c>
      <c r="G373" s="87">
        <v>0</v>
      </c>
      <c r="H373" s="88">
        <f t="shared" ref="H373:O374" si="87">G373*(1+H412)</f>
        <v>0</v>
      </c>
      <c r="I373" s="88">
        <f t="shared" si="87"/>
        <v>0</v>
      </c>
      <c r="J373" s="88">
        <f t="shared" si="87"/>
        <v>0</v>
      </c>
      <c r="K373" s="88">
        <f t="shared" si="87"/>
        <v>0</v>
      </c>
      <c r="L373" s="88">
        <f t="shared" si="87"/>
        <v>0</v>
      </c>
      <c r="M373" s="88">
        <f t="shared" si="87"/>
        <v>0</v>
      </c>
      <c r="N373" s="88">
        <f t="shared" si="87"/>
        <v>0</v>
      </c>
      <c r="O373" s="88">
        <f t="shared" si="87"/>
        <v>0</v>
      </c>
      <c r="Q373" s="35"/>
      <c r="S373" s="238"/>
      <c r="T373" s="238"/>
      <c r="U373" s="238"/>
      <c r="V373" s="238"/>
      <c r="W373" s="238"/>
      <c r="X373" s="238"/>
      <c r="Y373" s="238"/>
      <c r="Z373" s="238"/>
      <c r="AA373" s="238"/>
      <c r="AB373" s="238"/>
    </row>
    <row r="374" spans="2:28" s="22" customFormat="1" x14ac:dyDescent="0.3">
      <c r="B374" s="35"/>
      <c r="C374" s="40" t="s">
        <v>138</v>
      </c>
      <c r="D374" s="43" t="s">
        <v>141</v>
      </c>
      <c r="E374" s="87">
        <v>0</v>
      </c>
      <c r="F374" s="87">
        <v>0</v>
      </c>
      <c r="G374" s="87">
        <v>0</v>
      </c>
      <c r="H374" s="88">
        <f t="shared" si="87"/>
        <v>0</v>
      </c>
      <c r="I374" s="88">
        <f t="shared" si="87"/>
        <v>0</v>
      </c>
      <c r="J374" s="88">
        <f t="shared" si="87"/>
        <v>0</v>
      </c>
      <c r="K374" s="88">
        <f t="shared" si="87"/>
        <v>0</v>
      </c>
      <c r="L374" s="88">
        <f t="shared" si="87"/>
        <v>0</v>
      </c>
      <c r="M374" s="88">
        <f t="shared" si="87"/>
        <v>0</v>
      </c>
      <c r="N374" s="88">
        <f t="shared" si="87"/>
        <v>0</v>
      </c>
      <c r="O374" s="88">
        <f t="shared" si="87"/>
        <v>0</v>
      </c>
      <c r="Q374" s="35"/>
      <c r="S374" s="238"/>
      <c r="T374" s="238"/>
      <c r="U374" s="238"/>
      <c r="V374" s="238"/>
      <c r="W374" s="238"/>
      <c r="X374" s="238"/>
      <c r="Y374" s="238"/>
      <c r="Z374" s="238"/>
      <c r="AA374" s="238"/>
      <c r="AB374" s="238"/>
    </row>
    <row r="375" spans="2:28" s="22" customFormat="1" ht="28.8" x14ac:dyDescent="0.3">
      <c r="B375" s="35"/>
      <c r="C375" s="40" t="s">
        <v>142</v>
      </c>
      <c r="D375" s="43" t="s">
        <v>141</v>
      </c>
      <c r="E375" s="87">
        <v>0</v>
      </c>
      <c r="F375" s="87">
        <v>0</v>
      </c>
      <c r="G375" s="87">
        <v>0</v>
      </c>
      <c r="H375" s="87">
        <v>0</v>
      </c>
      <c r="I375" s="87">
        <v>0</v>
      </c>
      <c r="J375" s="87">
        <v>0</v>
      </c>
      <c r="K375" s="87">
        <v>0</v>
      </c>
      <c r="L375" s="87">
        <v>0</v>
      </c>
      <c r="M375" s="87">
        <v>0</v>
      </c>
      <c r="N375" s="87">
        <v>0</v>
      </c>
      <c r="O375" s="87">
        <v>0</v>
      </c>
      <c r="Q375" s="35"/>
      <c r="S375" s="238"/>
      <c r="T375" s="238"/>
      <c r="U375" s="238"/>
      <c r="V375" s="238"/>
      <c r="W375" s="238"/>
      <c r="X375" s="238"/>
      <c r="Y375" s="238"/>
      <c r="Z375" s="238"/>
      <c r="AA375" s="238"/>
      <c r="AB375" s="238"/>
    </row>
    <row r="376" spans="2:28" s="22" customFormat="1" ht="30.6" customHeight="1" x14ac:dyDescent="0.3">
      <c r="B376" s="35"/>
      <c r="C376" s="155" t="s">
        <v>181</v>
      </c>
      <c r="D376" s="43" t="s">
        <v>141</v>
      </c>
      <c r="E376" s="87">
        <v>0</v>
      </c>
      <c r="F376" s="87">
        <v>0</v>
      </c>
      <c r="G376" s="87">
        <v>0</v>
      </c>
      <c r="H376" s="88">
        <f t="shared" ref="H376:O376" si="88">H410</f>
        <v>0</v>
      </c>
      <c r="I376" s="88">
        <f t="shared" si="88"/>
        <v>0</v>
      </c>
      <c r="J376" s="88">
        <f t="shared" si="88"/>
        <v>0</v>
      </c>
      <c r="K376" s="88">
        <f t="shared" si="88"/>
        <v>0</v>
      </c>
      <c r="L376" s="88">
        <f t="shared" si="88"/>
        <v>0</v>
      </c>
      <c r="M376" s="88">
        <f t="shared" si="88"/>
        <v>0</v>
      </c>
      <c r="N376" s="88">
        <f t="shared" si="88"/>
        <v>0</v>
      </c>
      <c r="O376" s="88">
        <f t="shared" si="88"/>
        <v>0</v>
      </c>
      <c r="Q376" s="35"/>
      <c r="S376" s="238"/>
      <c r="T376" s="238"/>
      <c r="U376" s="238"/>
      <c r="V376" s="238"/>
      <c r="W376" s="238"/>
      <c r="X376" s="238"/>
      <c r="Y376" s="238"/>
      <c r="Z376" s="238"/>
      <c r="AA376" s="238"/>
      <c r="AB376" s="238"/>
    </row>
    <row r="377" spans="2:28" s="22" customFormat="1" x14ac:dyDescent="0.3">
      <c r="B377" s="35"/>
      <c r="C377" s="155" t="s">
        <v>143</v>
      </c>
      <c r="D377" s="129" t="s">
        <v>141</v>
      </c>
      <c r="E377" s="87">
        <v>0</v>
      </c>
      <c r="F377" s="87">
        <v>0</v>
      </c>
      <c r="G377" s="87">
        <v>0</v>
      </c>
      <c r="H377" s="88">
        <f>G377*(1+H404)*(1+'Date macro-economice'!H$9)</f>
        <v>0</v>
      </c>
      <c r="I377" s="88">
        <f>H377*(1+I404)*(1+'Date macro-economice'!I$9)</f>
        <v>0</v>
      </c>
      <c r="J377" s="88">
        <f>I377*(1+J404)*(1+'Date macro-economice'!J$9)</f>
        <v>0</v>
      </c>
      <c r="K377" s="88">
        <f>J377*(1+K404)*(1+'Date macro-economice'!K$9)</f>
        <v>0</v>
      </c>
      <c r="L377" s="88">
        <f>K377*(1+L404)*(1+'Date macro-economice'!L$9)</f>
        <v>0</v>
      </c>
      <c r="M377" s="88">
        <f>L377*(1+M404)*(1+'Date macro-economice'!M$9)</f>
        <v>0</v>
      </c>
      <c r="N377" s="88">
        <f>M377*(1+N404)*(1+'Date macro-economice'!N$9)</f>
        <v>0</v>
      </c>
      <c r="O377" s="88">
        <f>N377*(1+O404)*(1+'Date macro-economice'!O$9)</f>
        <v>0</v>
      </c>
      <c r="Q377" s="35"/>
      <c r="S377" s="238"/>
      <c r="T377" s="238"/>
      <c r="U377" s="238"/>
      <c r="V377" s="238"/>
      <c r="W377" s="238"/>
      <c r="X377" s="238"/>
      <c r="Y377" s="238"/>
      <c r="Z377" s="238"/>
      <c r="AA377" s="238"/>
      <c r="AB377" s="238"/>
    </row>
    <row r="378" spans="2:28" s="22" customFormat="1" x14ac:dyDescent="0.3">
      <c r="B378" s="35"/>
      <c r="C378" s="42" t="s">
        <v>144</v>
      </c>
      <c r="D378" s="51" t="s">
        <v>141</v>
      </c>
      <c r="E378" s="62">
        <f t="shared" ref="E378:O378" si="89">SUM(E368:E377)</f>
        <v>0</v>
      </c>
      <c r="F378" s="62">
        <f t="shared" si="89"/>
        <v>0</v>
      </c>
      <c r="G378" s="62">
        <f t="shared" si="89"/>
        <v>0</v>
      </c>
      <c r="H378" s="62">
        <f t="shared" si="89"/>
        <v>0</v>
      </c>
      <c r="I378" s="62">
        <f t="shared" si="89"/>
        <v>0</v>
      </c>
      <c r="J378" s="62">
        <f t="shared" si="89"/>
        <v>0</v>
      </c>
      <c r="K378" s="62">
        <f t="shared" si="89"/>
        <v>0</v>
      </c>
      <c r="L378" s="62">
        <f t="shared" si="89"/>
        <v>0</v>
      </c>
      <c r="M378" s="62">
        <f t="shared" si="89"/>
        <v>0</v>
      </c>
      <c r="N378" s="62">
        <f t="shared" si="89"/>
        <v>0</v>
      </c>
      <c r="O378" s="62">
        <f t="shared" si="89"/>
        <v>0</v>
      </c>
      <c r="Q378" s="35"/>
      <c r="S378" s="238"/>
      <c r="T378" s="238"/>
      <c r="U378" s="238"/>
      <c r="V378" s="238"/>
      <c r="W378" s="238"/>
      <c r="X378" s="238"/>
      <c r="Y378" s="238"/>
      <c r="Z378" s="238"/>
      <c r="AA378" s="238"/>
      <c r="AB378" s="238"/>
    </row>
    <row r="379" spans="2:28" s="22" customFormat="1" x14ac:dyDescent="0.3">
      <c r="B379" s="35"/>
      <c r="Q379" s="35"/>
      <c r="S379" s="238"/>
      <c r="T379" s="238"/>
      <c r="U379" s="238"/>
      <c r="V379" s="238"/>
      <c r="W379" s="238"/>
      <c r="X379" s="238"/>
      <c r="Y379" s="238"/>
      <c r="Z379" s="238"/>
      <c r="AA379" s="238"/>
      <c r="AB379" s="238"/>
    </row>
    <row r="380" spans="2:28" x14ac:dyDescent="0.3">
      <c r="B380" s="35"/>
      <c r="C380" s="40" t="s">
        <v>152</v>
      </c>
      <c r="D380" s="43" t="s">
        <v>47</v>
      </c>
      <c r="E380" s="92" t="s">
        <v>92</v>
      </c>
      <c r="F380" s="162" t="e">
        <f>(F368/E368)/(1+'Date macro-economice'!F$9)-1</f>
        <v>#DIV/0!</v>
      </c>
      <c r="G380" s="162" t="e">
        <f>(G368/F368)/(1+'Date macro-economice'!G$9)-1</f>
        <v>#DIV/0!</v>
      </c>
      <c r="H380" s="159">
        <v>0</v>
      </c>
      <c r="I380" s="159">
        <v>0</v>
      </c>
      <c r="J380" s="159">
        <v>0</v>
      </c>
      <c r="K380" s="159">
        <v>0</v>
      </c>
      <c r="L380" s="159">
        <v>0</v>
      </c>
      <c r="M380" s="159">
        <v>0</v>
      </c>
      <c r="N380" s="159">
        <v>0</v>
      </c>
      <c r="O380" s="159">
        <v>0</v>
      </c>
      <c r="Q380" s="35"/>
      <c r="S380" s="238"/>
      <c r="T380" s="238"/>
      <c r="U380" s="238"/>
      <c r="V380" s="238"/>
      <c r="W380" s="238"/>
      <c r="X380" s="238"/>
      <c r="Y380" s="238"/>
      <c r="Z380" s="238"/>
      <c r="AA380" s="238"/>
      <c r="AB380" s="238"/>
    </row>
    <row r="381" spans="2:28" x14ac:dyDescent="0.3">
      <c r="B381" s="35"/>
      <c r="Q381" s="35"/>
      <c r="S381" s="238"/>
      <c r="T381" s="238"/>
      <c r="U381" s="238"/>
      <c r="V381" s="238"/>
      <c r="W381" s="238"/>
      <c r="X381" s="238"/>
      <c r="Y381" s="238"/>
      <c r="Z381" s="238"/>
      <c r="AA381" s="238"/>
      <c r="AB381" s="238"/>
    </row>
    <row r="382" spans="2:28" s="22" customFormat="1" x14ac:dyDescent="0.3">
      <c r="B382" s="35"/>
      <c r="C382" s="66" t="s">
        <v>153</v>
      </c>
      <c r="D382" s="40"/>
      <c r="E382" s="40"/>
      <c r="F382" s="40"/>
      <c r="G382" s="40"/>
      <c r="H382" s="40"/>
      <c r="I382" s="40"/>
      <c r="J382" s="40"/>
      <c r="K382" s="40"/>
      <c r="L382" s="40"/>
      <c r="M382" s="40"/>
      <c r="N382" s="40"/>
      <c r="O382" s="40"/>
      <c r="Q382" s="35"/>
      <c r="S382" s="238"/>
      <c r="T382" s="238"/>
      <c r="U382" s="238"/>
      <c r="V382" s="238"/>
      <c r="W382" s="238"/>
      <c r="X382" s="238"/>
      <c r="Y382" s="238"/>
      <c r="Z382" s="238"/>
      <c r="AA382" s="238"/>
      <c r="AB382" s="238"/>
    </row>
    <row r="383" spans="2:28" s="22" customFormat="1" x14ac:dyDescent="0.3">
      <c r="B383" s="35"/>
      <c r="C383" s="40" t="s">
        <v>154</v>
      </c>
      <c r="D383" s="43" t="s">
        <v>155</v>
      </c>
      <c r="E383" s="87">
        <v>0</v>
      </c>
      <c r="F383" s="87">
        <v>0</v>
      </c>
      <c r="G383" s="87">
        <v>0</v>
      </c>
      <c r="H383" s="87">
        <f>G383</f>
        <v>0</v>
      </c>
      <c r="I383" s="87">
        <f t="shared" ref="I383:O383" si="90">H383</f>
        <v>0</v>
      </c>
      <c r="J383" s="87">
        <f t="shared" si="90"/>
        <v>0</v>
      </c>
      <c r="K383" s="87">
        <f t="shared" si="90"/>
        <v>0</v>
      </c>
      <c r="L383" s="87">
        <f t="shared" si="90"/>
        <v>0</v>
      </c>
      <c r="M383" s="87">
        <f t="shared" si="90"/>
        <v>0</v>
      </c>
      <c r="N383" s="87">
        <f t="shared" si="90"/>
        <v>0</v>
      </c>
      <c r="O383" s="87">
        <f t="shared" si="90"/>
        <v>0</v>
      </c>
      <c r="Q383" s="35"/>
      <c r="S383" s="238"/>
      <c r="T383" s="238"/>
      <c r="U383" s="238"/>
      <c r="V383" s="238"/>
      <c r="W383" s="238"/>
      <c r="X383" s="238"/>
      <c r="Y383" s="238"/>
      <c r="Z383" s="238"/>
      <c r="AA383" s="238"/>
      <c r="AB383" s="238"/>
    </row>
    <row r="384" spans="2:28" s="22" customFormat="1" x14ac:dyDescent="0.3">
      <c r="B384" s="35"/>
      <c r="C384" s="40" t="s">
        <v>156</v>
      </c>
      <c r="D384" s="43" t="s">
        <v>157</v>
      </c>
      <c r="E384" s="105" t="e">
        <f>E383/Cererea!E72</f>
        <v>#DIV/0!</v>
      </c>
      <c r="F384" s="105" t="e">
        <f>F383/Cererea!F72</f>
        <v>#DIV/0!</v>
      </c>
      <c r="G384" s="105" t="e">
        <f>G383/Cererea!G72</f>
        <v>#DIV/0!</v>
      </c>
      <c r="H384" s="105" t="e">
        <f>H383/Cererea!H72</f>
        <v>#DIV/0!</v>
      </c>
      <c r="I384" s="105" t="e">
        <f>I383/Cererea!I72</f>
        <v>#DIV/0!</v>
      </c>
      <c r="J384" s="105" t="e">
        <f>J383/Cererea!J72</f>
        <v>#DIV/0!</v>
      </c>
      <c r="K384" s="105" t="e">
        <f>K383/Cererea!K72</f>
        <v>#DIV/0!</v>
      </c>
      <c r="L384" s="105" t="e">
        <f>L383/Cererea!L72</f>
        <v>#DIV/0!</v>
      </c>
      <c r="M384" s="105" t="e">
        <f>M383/Cererea!M72</f>
        <v>#DIV/0!</v>
      </c>
      <c r="N384" s="105" t="e">
        <f>N383/Cererea!N72</f>
        <v>#DIV/0!</v>
      </c>
      <c r="O384" s="105" t="e">
        <f>O383/Cererea!O72</f>
        <v>#DIV/0!</v>
      </c>
      <c r="Q384" s="35"/>
      <c r="S384" s="238"/>
      <c r="T384" s="238"/>
      <c r="U384" s="238"/>
      <c r="V384" s="238"/>
      <c r="W384" s="238"/>
      <c r="X384" s="238"/>
      <c r="Y384" s="238"/>
      <c r="Z384" s="238"/>
      <c r="AA384" s="238"/>
      <c r="AB384" s="238"/>
    </row>
    <row r="385" spans="2:28" s="22" customFormat="1" x14ac:dyDescent="0.3">
      <c r="B385" s="35"/>
      <c r="C385" s="40" t="s">
        <v>147</v>
      </c>
      <c r="D385" s="43" t="s">
        <v>158</v>
      </c>
      <c r="E385" s="150" t="e">
        <f>E369/E383</f>
        <v>#DIV/0!</v>
      </c>
      <c r="F385" s="150" t="e">
        <f>F369/F383</f>
        <v>#DIV/0!</v>
      </c>
      <c r="G385" s="150" t="e">
        <f>G369/G383</f>
        <v>#DIV/0!</v>
      </c>
      <c r="H385" s="170" t="e">
        <f>G385*(1+'Date macro-economice'!H$9)*(1+H386)</f>
        <v>#DIV/0!</v>
      </c>
      <c r="I385" s="170" t="e">
        <f>H385*(1+'Date macro-economice'!I$9)*(1+I386)</f>
        <v>#DIV/0!</v>
      </c>
      <c r="J385" s="170" t="e">
        <f>I385*(1+'Date macro-economice'!J$9)*(1+J386)</f>
        <v>#DIV/0!</v>
      </c>
      <c r="K385" s="170" t="e">
        <f>J385*(1+'Date macro-economice'!K$9)*(1+K386)</f>
        <v>#DIV/0!</v>
      </c>
      <c r="L385" s="170" t="e">
        <f>K385*(1+'Date macro-economice'!L$9)*(1+L386)</f>
        <v>#DIV/0!</v>
      </c>
      <c r="M385" s="170" t="e">
        <f>L385*(1+'Date macro-economice'!M$9)*(1+M386)</f>
        <v>#DIV/0!</v>
      </c>
      <c r="N385" s="170" t="e">
        <f>M385*(1+'Date macro-economice'!N$9)*(1+N386)</f>
        <v>#DIV/0!</v>
      </c>
      <c r="O385" s="170" t="e">
        <f>N385*(1+'Date macro-economice'!O$9)*(1+O386)</f>
        <v>#DIV/0!</v>
      </c>
      <c r="Q385" s="35"/>
      <c r="S385" s="238"/>
      <c r="T385" s="238"/>
      <c r="U385" s="238"/>
      <c r="V385" s="238"/>
      <c r="W385" s="238"/>
      <c r="X385" s="238"/>
      <c r="Y385" s="238"/>
      <c r="Z385" s="238"/>
      <c r="AA385" s="238"/>
      <c r="AB385" s="238"/>
    </row>
    <row r="386" spans="2:28" s="22" customFormat="1" x14ac:dyDescent="0.3">
      <c r="B386" s="35"/>
      <c r="C386" s="40" t="s">
        <v>148</v>
      </c>
      <c r="D386" s="43" t="s">
        <v>47</v>
      </c>
      <c r="E386" s="158" t="s">
        <v>92</v>
      </c>
      <c r="F386" s="36" t="e">
        <f>(F385/E385)/(1+'Date macro-economice'!F$9)-1</f>
        <v>#DIV/0!</v>
      </c>
      <c r="G386" s="36" t="e">
        <f>(G385/F385)/(1+'Date macro-economice'!G$9)-1</f>
        <v>#DIV/0!</v>
      </c>
      <c r="H386" s="159">
        <v>0</v>
      </c>
      <c r="I386" s="159">
        <v>0</v>
      </c>
      <c r="J386" s="159">
        <v>0</v>
      </c>
      <c r="K386" s="159">
        <v>0</v>
      </c>
      <c r="L386" s="159">
        <v>0</v>
      </c>
      <c r="M386" s="159">
        <v>0</v>
      </c>
      <c r="N386" s="159">
        <v>0</v>
      </c>
      <c r="O386" s="159">
        <v>0</v>
      </c>
      <c r="Q386" s="35"/>
      <c r="S386" s="238"/>
      <c r="T386" s="238"/>
      <c r="U386" s="238"/>
      <c r="V386" s="238"/>
      <c r="W386" s="238"/>
      <c r="X386" s="238"/>
      <c r="Y386" s="238"/>
      <c r="Z386" s="238"/>
      <c r="AA386" s="238"/>
      <c r="AB386" s="238"/>
    </row>
    <row r="387" spans="2:28" x14ac:dyDescent="0.3">
      <c r="B387" s="35"/>
      <c r="C387" s="81" t="s">
        <v>149</v>
      </c>
      <c r="D387" s="82" t="s">
        <v>141</v>
      </c>
      <c r="E387" s="91">
        <f>E369</f>
        <v>0</v>
      </c>
      <c r="F387" s="91">
        <f>F369</f>
        <v>0</v>
      </c>
      <c r="G387" s="91">
        <f>G369</f>
        <v>0</v>
      </c>
      <c r="H387" s="91">
        <f>IFERROR(H383*H385,0)</f>
        <v>0</v>
      </c>
      <c r="I387" s="91">
        <f t="shared" ref="I387:O387" si="91">IFERROR(I383*I385,0)</f>
        <v>0</v>
      </c>
      <c r="J387" s="91">
        <f t="shared" si="91"/>
        <v>0</v>
      </c>
      <c r="K387" s="91">
        <f t="shared" si="91"/>
        <v>0</v>
      </c>
      <c r="L387" s="91">
        <f t="shared" si="91"/>
        <v>0</v>
      </c>
      <c r="M387" s="91">
        <f t="shared" si="91"/>
        <v>0</v>
      </c>
      <c r="N387" s="91">
        <f t="shared" si="91"/>
        <v>0</v>
      </c>
      <c r="O387" s="91">
        <f t="shared" si="91"/>
        <v>0</v>
      </c>
      <c r="Q387" s="35"/>
      <c r="S387" s="238"/>
      <c r="T387" s="238"/>
      <c r="U387" s="238"/>
      <c r="V387" s="238"/>
      <c r="W387" s="238"/>
      <c r="X387" s="238"/>
      <c r="Y387" s="238"/>
      <c r="Z387" s="238"/>
      <c r="AA387" s="238"/>
      <c r="AB387" s="238"/>
    </row>
    <row r="388" spans="2:28" x14ac:dyDescent="0.3">
      <c r="B388" s="35"/>
      <c r="Q388" s="35"/>
      <c r="S388" s="238"/>
      <c r="T388" s="238"/>
      <c r="U388" s="238"/>
      <c r="V388" s="238"/>
      <c r="W388" s="238"/>
      <c r="X388" s="238"/>
      <c r="Y388" s="238"/>
      <c r="Z388" s="238"/>
      <c r="AA388" s="238"/>
      <c r="AB388" s="238"/>
    </row>
    <row r="389" spans="2:28" x14ac:dyDescent="0.3">
      <c r="B389" s="35"/>
      <c r="C389" s="66" t="s">
        <v>159</v>
      </c>
      <c r="Q389" s="35"/>
      <c r="S389" s="238"/>
      <c r="T389" s="238"/>
      <c r="U389" s="238"/>
      <c r="V389" s="238"/>
      <c r="W389" s="238"/>
      <c r="X389" s="238"/>
      <c r="Y389" s="238"/>
      <c r="Z389" s="238"/>
      <c r="AA389" s="238"/>
      <c r="AB389" s="238"/>
    </row>
    <row r="390" spans="2:28" x14ac:dyDescent="0.3">
      <c r="B390" s="35"/>
      <c r="C390" s="40" t="s">
        <v>160</v>
      </c>
      <c r="D390" s="43" t="s">
        <v>141</v>
      </c>
      <c r="E390" s="87">
        <v>0</v>
      </c>
      <c r="F390" s="87">
        <v>0</v>
      </c>
      <c r="G390" s="87">
        <v>0</v>
      </c>
      <c r="H390" s="88">
        <f>H393*H394*12</f>
        <v>0</v>
      </c>
      <c r="I390" s="88">
        <f t="shared" ref="I390:O390" si="92">I393*I394*12</f>
        <v>0</v>
      </c>
      <c r="J390" s="88">
        <f t="shared" si="92"/>
        <v>0</v>
      </c>
      <c r="K390" s="88">
        <f t="shared" si="92"/>
        <v>0</v>
      </c>
      <c r="L390" s="88">
        <f t="shared" si="92"/>
        <v>0</v>
      </c>
      <c r="M390" s="88">
        <f t="shared" si="92"/>
        <v>0</v>
      </c>
      <c r="N390" s="88">
        <f t="shared" si="92"/>
        <v>0</v>
      </c>
      <c r="O390" s="88">
        <f t="shared" si="92"/>
        <v>0</v>
      </c>
      <c r="Q390" s="35"/>
      <c r="S390" s="238"/>
      <c r="T390" s="238"/>
      <c r="U390" s="238"/>
      <c r="V390" s="238"/>
      <c r="W390" s="238"/>
      <c r="X390" s="238"/>
      <c r="Y390" s="238"/>
      <c r="Z390" s="238"/>
      <c r="AA390" s="238"/>
      <c r="AB390" s="238"/>
    </row>
    <row r="391" spans="2:28" x14ac:dyDescent="0.3">
      <c r="B391" s="35"/>
      <c r="C391" s="40" t="s">
        <v>161</v>
      </c>
      <c r="D391" s="43" t="s">
        <v>141</v>
      </c>
      <c r="E391" s="87">
        <v>0</v>
      </c>
      <c r="F391" s="87">
        <v>0</v>
      </c>
      <c r="G391" s="87">
        <v>0</v>
      </c>
      <c r="H391" s="88">
        <f>H393*H395*12</f>
        <v>0</v>
      </c>
      <c r="I391" s="88">
        <f t="shared" ref="I391:O391" si="93">I393*I395*12</f>
        <v>0</v>
      </c>
      <c r="J391" s="88">
        <f t="shared" si="93"/>
        <v>0</v>
      </c>
      <c r="K391" s="88">
        <f t="shared" si="93"/>
        <v>0</v>
      </c>
      <c r="L391" s="88">
        <f t="shared" si="93"/>
        <v>0</v>
      </c>
      <c r="M391" s="88">
        <f t="shared" si="93"/>
        <v>0</v>
      </c>
      <c r="N391" s="88">
        <f t="shared" si="93"/>
        <v>0</v>
      </c>
      <c r="O391" s="88">
        <f t="shared" si="93"/>
        <v>0</v>
      </c>
      <c r="Q391" s="35"/>
      <c r="S391" s="238"/>
      <c r="T391" s="238"/>
      <c r="U391" s="238"/>
      <c r="V391" s="238"/>
      <c r="W391" s="238"/>
      <c r="X391" s="238"/>
      <c r="Y391" s="238"/>
      <c r="Z391" s="238"/>
      <c r="AA391" s="238"/>
      <c r="AB391" s="238"/>
    </row>
    <row r="392" spans="2:28" x14ac:dyDescent="0.3">
      <c r="B392" s="35"/>
      <c r="C392" s="155" t="s">
        <v>162</v>
      </c>
      <c r="D392" s="129" t="s">
        <v>141</v>
      </c>
      <c r="E392" s="88">
        <f>E370-E390-E391</f>
        <v>0</v>
      </c>
      <c r="F392" s="88">
        <f>F370-F390-F391</f>
        <v>0</v>
      </c>
      <c r="G392" s="88">
        <f>G370-G390-G391</f>
        <v>0</v>
      </c>
      <c r="H392" s="88">
        <f t="shared" ref="H392:O392" si="94">H393*H396*12</f>
        <v>0</v>
      </c>
      <c r="I392" s="88">
        <f t="shared" si="94"/>
        <v>0</v>
      </c>
      <c r="J392" s="88">
        <f t="shared" si="94"/>
        <v>0</v>
      </c>
      <c r="K392" s="88">
        <f t="shared" si="94"/>
        <v>0</v>
      </c>
      <c r="L392" s="88">
        <f t="shared" si="94"/>
        <v>0</v>
      </c>
      <c r="M392" s="88">
        <f t="shared" si="94"/>
        <v>0</v>
      </c>
      <c r="N392" s="88">
        <f t="shared" si="94"/>
        <v>0</v>
      </c>
      <c r="O392" s="88">
        <f t="shared" si="94"/>
        <v>0</v>
      </c>
      <c r="Q392" s="35"/>
      <c r="S392" s="238"/>
      <c r="T392" s="238"/>
      <c r="U392" s="238"/>
      <c r="V392" s="238"/>
      <c r="W392" s="238"/>
      <c r="X392" s="238"/>
      <c r="Y392" s="238"/>
      <c r="Z392" s="238"/>
      <c r="AA392" s="238"/>
      <c r="AB392" s="238"/>
    </row>
    <row r="393" spans="2:28" x14ac:dyDescent="0.3">
      <c r="B393" s="35"/>
      <c r="C393" s="40" t="s">
        <v>163</v>
      </c>
      <c r="D393" s="43" t="s">
        <v>14</v>
      </c>
      <c r="E393" s="87">
        <v>0</v>
      </c>
      <c r="F393" s="87">
        <v>0</v>
      </c>
      <c r="G393" s="87">
        <v>0</v>
      </c>
      <c r="H393" s="87">
        <v>0</v>
      </c>
      <c r="I393" s="87">
        <v>0</v>
      </c>
      <c r="J393" s="87">
        <v>0</v>
      </c>
      <c r="K393" s="87">
        <v>0</v>
      </c>
      <c r="L393" s="87">
        <v>0</v>
      </c>
      <c r="M393" s="87">
        <v>0</v>
      </c>
      <c r="N393" s="87">
        <v>0</v>
      </c>
      <c r="O393" s="87">
        <v>0</v>
      </c>
      <c r="Q393" s="35"/>
      <c r="S393" s="238"/>
      <c r="T393" s="238"/>
      <c r="U393" s="238"/>
      <c r="V393" s="238"/>
      <c r="W393" s="238"/>
      <c r="X393" s="238"/>
      <c r="Y393" s="238"/>
      <c r="Z393" s="238"/>
      <c r="AA393" s="238"/>
      <c r="AB393" s="238"/>
    </row>
    <row r="394" spans="2:28" x14ac:dyDescent="0.3">
      <c r="B394" s="35"/>
      <c r="C394" s="40" t="s">
        <v>164</v>
      </c>
      <c r="D394" s="163" t="s">
        <v>165</v>
      </c>
      <c r="E394" s="88" t="e">
        <f>E390/E393/12</f>
        <v>#DIV/0!</v>
      </c>
      <c r="F394" s="88" t="e">
        <f>F390/F393/12</f>
        <v>#DIV/0!</v>
      </c>
      <c r="G394" s="88" t="e">
        <f>G390/G393/12</f>
        <v>#DIV/0!</v>
      </c>
      <c r="H394" s="88">
        <f>IFERROR(G394*(1+'Date macro-economice'!H$9)*(1+'Date macro-economice'!H$11*'Costuri operare'!H400)*(1+'Costuri operare'!H397),0)</f>
        <v>0</v>
      </c>
      <c r="I394" s="88">
        <f>H394*(1+'Date macro-economice'!I$9)*(1+'Date macro-economice'!I$11*'Costuri operare'!I400)*(1+'Costuri operare'!I397)</f>
        <v>0</v>
      </c>
      <c r="J394" s="88">
        <f>I394*(1+'Date macro-economice'!J$9)*(1+'Date macro-economice'!J$11*'Costuri operare'!J400)*(1+'Costuri operare'!J397)</f>
        <v>0</v>
      </c>
      <c r="K394" s="88">
        <f>J394*(1+'Date macro-economice'!K$9)*(1+'Date macro-economice'!K$11*'Costuri operare'!K400)*(1+'Costuri operare'!K397)</f>
        <v>0</v>
      </c>
      <c r="L394" s="88">
        <f>K394*(1+'Date macro-economice'!L$9)*(1+'Date macro-economice'!L$11*'Costuri operare'!L400)*(1+'Costuri operare'!L397)</f>
        <v>0</v>
      </c>
      <c r="M394" s="88">
        <f>L394*(1+'Date macro-economice'!M$9)*(1+'Date macro-economice'!M$11*'Costuri operare'!M400)*(1+'Costuri operare'!M397)</f>
        <v>0</v>
      </c>
      <c r="N394" s="88">
        <f>M394*(1+'Date macro-economice'!N$9)*(1+'Date macro-economice'!N$11*'Costuri operare'!N400)*(1+'Costuri operare'!N397)</f>
        <v>0</v>
      </c>
      <c r="O394" s="88">
        <f>N394*(1+'Date macro-economice'!O$9)*(1+'Date macro-economice'!O$11*'Costuri operare'!O400)*(1+'Costuri operare'!O397)</f>
        <v>0</v>
      </c>
      <c r="Q394" s="35"/>
      <c r="S394" s="238"/>
      <c r="T394" s="238"/>
      <c r="U394" s="238"/>
      <c r="V394" s="238"/>
      <c r="W394" s="238"/>
      <c r="X394" s="238"/>
      <c r="Y394" s="238"/>
      <c r="Z394" s="238"/>
      <c r="AA394" s="238"/>
      <c r="AB394" s="238"/>
    </row>
    <row r="395" spans="2:28" ht="28.8" x14ac:dyDescent="0.3">
      <c r="B395" s="35"/>
      <c r="C395" s="40" t="s">
        <v>166</v>
      </c>
      <c r="D395" s="163" t="s">
        <v>165</v>
      </c>
      <c r="E395" s="88" t="e">
        <f>E391/E393/12</f>
        <v>#DIV/0!</v>
      </c>
      <c r="F395" s="88" t="e">
        <f>F391/F393/12</f>
        <v>#DIV/0!</v>
      </c>
      <c r="G395" s="88" t="e">
        <f>G391/G393/12</f>
        <v>#DIV/0!</v>
      </c>
      <c r="H395" s="88">
        <f>IFERROR(G395*(1+'Date macro-economice'!H$9)*(1+'Date macro-economice'!H$11*'Costuri operare'!H400)*(1+'Costuri operare'!H398),0)</f>
        <v>0</v>
      </c>
      <c r="I395" s="88">
        <f>H395*(1+'Date macro-economice'!I$9)*(1+'Date macro-economice'!I$11*'Costuri operare'!I400)*(1+'Costuri operare'!I398)</f>
        <v>0</v>
      </c>
      <c r="J395" s="88">
        <f>I395*(1+'Date macro-economice'!J$9)*(1+'Date macro-economice'!J$11*'Costuri operare'!J400)*(1+'Costuri operare'!J398)</f>
        <v>0</v>
      </c>
      <c r="K395" s="88">
        <f>J395*(1+'Date macro-economice'!K$9)*(1+'Date macro-economice'!K$11*'Costuri operare'!K400)*(1+'Costuri operare'!K398)</f>
        <v>0</v>
      </c>
      <c r="L395" s="88">
        <f>K395*(1+'Date macro-economice'!L$9)*(1+'Date macro-economice'!L$11*'Costuri operare'!L400)*(1+'Costuri operare'!L398)</f>
        <v>0</v>
      </c>
      <c r="M395" s="88">
        <f>L395*(1+'Date macro-economice'!M$9)*(1+'Date macro-economice'!M$11*'Costuri operare'!M400)*(1+'Costuri operare'!M398)</f>
        <v>0</v>
      </c>
      <c r="N395" s="88">
        <f>M395*(1+'Date macro-economice'!N$9)*(1+'Date macro-economice'!N$11*'Costuri operare'!N400)*(1+'Costuri operare'!N398)</f>
        <v>0</v>
      </c>
      <c r="O395" s="88">
        <f>N395*(1+'Date macro-economice'!O$9)*(1+'Date macro-economice'!O$11*'Costuri operare'!O400)*(1+'Costuri operare'!O398)</f>
        <v>0</v>
      </c>
      <c r="Q395" s="35"/>
      <c r="S395" s="238"/>
      <c r="T395" s="238"/>
      <c r="U395" s="238"/>
      <c r="V395" s="238"/>
      <c r="W395" s="238"/>
      <c r="X395" s="238"/>
      <c r="Y395" s="238"/>
      <c r="Z395" s="238"/>
      <c r="AA395" s="238"/>
      <c r="AB395" s="238"/>
    </row>
    <row r="396" spans="2:28" x14ac:dyDescent="0.3">
      <c r="B396" s="35"/>
      <c r="C396" s="155" t="s">
        <v>167</v>
      </c>
      <c r="D396" s="164" t="s">
        <v>165</v>
      </c>
      <c r="E396" s="131" t="e">
        <f>E392/E393/12</f>
        <v>#DIV/0!</v>
      </c>
      <c r="F396" s="131" t="e">
        <f>F392/F393/12</f>
        <v>#DIV/0!</v>
      </c>
      <c r="G396" s="131" t="e">
        <f>G392/G393/12</f>
        <v>#DIV/0!</v>
      </c>
      <c r="H396" s="88">
        <f>IFERROR(G396*(1+'Date macro-economice'!H$9)*(1+'Date macro-economice'!H$11*'Costuri operare'!H400)*(1+'Costuri operare'!H399),0)</f>
        <v>0</v>
      </c>
      <c r="I396" s="88">
        <f>H396*(1+'Date macro-economice'!I$9)*(1+'Date macro-economice'!I$11*'Costuri operare'!I400)*(1+'Costuri operare'!I399)</f>
        <v>0</v>
      </c>
      <c r="J396" s="88">
        <f>I396*(1+'Date macro-economice'!J$9)*(1+'Date macro-economice'!J$11*'Costuri operare'!J400)*(1+'Costuri operare'!J399)</f>
        <v>0</v>
      </c>
      <c r="K396" s="88">
        <f>J396*(1+'Date macro-economice'!K$9)*(1+'Date macro-economice'!K$11*'Costuri operare'!K400)*(1+'Costuri operare'!K399)</f>
        <v>0</v>
      </c>
      <c r="L396" s="88">
        <f>K396*(1+'Date macro-economice'!L$9)*(1+'Date macro-economice'!L$11*'Costuri operare'!L400)*(1+'Costuri operare'!L399)</f>
        <v>0</v>
      </c>
      <c r="M396" s="88">
        <f>L396*(1+'Date macro-economice'!M$9)*(1+'Date macro-economice'!M$11*'Costuri operare'!M400)*(1+'Costuri operare'!M399)</f>
        <v>0</v>
      </c>
      <c r="N396" s="88">
        <f>M396*(1+'Date macro-economice'!N$9)*(1+'Date macro-economice'!N$11*'Costuri operare'!N400)*(1+'Costuri operare'!N399)</f>
        <v>0</v>
      </c>
      <c r="O396" s="88">
        <f>N396*(1+'Date macro-economice'!O$9)*(1+'Date macro-economice'!O$11*'Costuri operare'!O400)*(1+'Costuri operare'!O399)</f>
        <v>0</v>
      </c>
      <c r="Q396" s="35"/>
      <c r="S396" s="238"/>
      <c r="T396" s="238"/>
      <c r="U396" s="238"/>
      <c r="V396" s="238"/>
      <c r="W396" s="238"/>
      <c r="X396" s="238"/>
      <c r="Y396" s="238"/>
      <c r="Z396" s="238"/>
      <c r="AA396" s="238"/>
      <c r="AB396" s="238"/>
    </row>
    <row r="397" spans="2:28" s="22" customFormat="1" ht="28.8" x14ac:dyDescent="0.3">
      <c r="B397" s="35"/>
      <c r="C397" s="40" t="s">
        <v>168</v>
      </c>
      <c r="D397" s="43" t="s">
        <v>47</v>
      </c>
      <c r="E397" s="92" t="s">
        <v>92</v>
      </c>
      <c r="F397" s="36" t="e">
        <f>(F394/E394)/((1+'Date macro-economice'!F$9)*(1+'Date macro-economice'!F$11*F$58))-1</f>
        <v>#DIV/0!</v>
      </c>
      <c r="G397" s="36" t="e">
        <f>(G394/F394)/((1+'Date macro-economice'!G$9)*(1+'Date macro-economice'!G$11*G$58))-1</f>
        <v>#DIV/0!</v>
      </c>
      <c r="H397" s="159">
        <v>0</v>
      </c>
      <c r="I397" s="159">
        <v>0</v>
      </c>
      <c r="J397" s="159">
        <v>0</v>
      </c>
      <c r="K397" s="159">
        <v>0</v>
      </c>
      <c r="L397" s="159">
        <v>0</v>
      </c>
      <c r="M397" s="159">
        <v>0</v>
      </c>
      <c r="N397" s="159">
        <v>0</v>
      </c>
      <c r="O397" s="159">
        <v>0</v>
      </c>
      <c r="Q397" s="35"/>
      <c r="S397" s="238"/>
      <c r="T397" s="238"/>
      <c r="U397" s="238"/>
      <c r="V397" s="238"/>
      <c r="W397" s="238"/>
      <c r="X397" s="238"/>
      <c r="Y397" s="238"/>
      <c r="Z397" s="238"/>
      <c r="AA397" s="238"/>
      <c r="AB397" s="238"/>
    </row>
    <row r="398" spans="2:28" s="22" customFormat="1" ht="43.2" x14ac:dyDescent="0.3">
      <c r="B398" s="35"/>
      <c r="C398" s="40" t="s">
        <v>169</v>
      </c>
      <c r="D398" s="43" t="s">
        <v>47</v>
      </c>
      <c r="E398" s="92" t="s">
        <v>92</v>
      </c>
      <c r="F398" s="36" t="e">
        <f>(F395/E395)/((1+'Date macro-economice'!F$9)*(1+'Date macro-economice'!F$11*F$58))-1</f>
        <v>#DIV/0!</v>
      </c>
      <c r="G398" s="36" t="e">
        <f>(G395/F395)/((1+'Date macro-economice'!G$9)*(1+'Date macro-economice'!G$11*G$58))-1</f>
        <v>#DIV/0!</v>
      </c>
      <c r="H398" s="159">
        <v>0</v>
      </c>
      <c r="I398" s="159">
        <v>0</v>
      </c>
      <c r="J398" s="159">
        <v>0</v>
      </c>
      <c r="K398" s="159">
        <v>0</v>
      </c>
      <c r="L398" s="159">
        <v>0</v>
      </c>
      <c r="M398" s="159">
        <v>0</v>
      </c>
      <c r="N398" s="159">
        <v>0</v>
      </c>
      <c r="O398" s="159">
        <v>0</v>
      </c>
      <c r="Q398" s="35"/>
      <c r="S398" s="238"/>
      <c r="T398" s="238"/>
      <c r="U398" s="238"/>
      <c r="V398" s="238"/>
      <c r="W398" s="238"/>
      <c r="X398" s="238"/>
      <c r="Y398" s="238"/>
      <c r="Z398" s="238"/>
      <c r="AA398" s="238"/>
      <c r="AB398" s="238"/>
    </row>
    <row r="399" spans="2:28" s="22" customFormat="1" ht="43.2" x14ac:dyDescent="0.3">
      <c r="B399" s="35"/>
      <c r="C399" s="40" t="s">
        <v>169</v>
      </c>
      <c r="D399" s="43" t="s">
        <v>47</v>
      </c>
      <c r="E399" s="92" t="s">
        <v>92</v>
      </c>
      <c r="F399" s="36" t="e">
        <f>(F396/E396)/((1+'Date macro-economice'!F$9)*(1+'Date macro-economice'!F$11*F$58))-1</f>
        <v>#DIV/0!</v>
      </c>
      <c r="G399" s="36" t="e">
        <f>(G396/F396)/((1+'Date macro-economice'!G$9)*(1+'Date macro-economice'!G$11*G$58))-1</f>
        <v>#DIV/0!</v>
      </c>
      <c r="H399" s="159">
        <v>0</v>
      </c>
      <c r="I399" s="159">
        <v>0</v>
      </c>
      <c r="J399" s="159">
        <v>0</v>
      </c>
      <c r="K399" s="159">
        <v>0</v>
      </c>
      <c r="L399" s="159">
        <v>0</v>
      </c>
      <c r="M399" s="159">
        <v>0</v>
      </c>
      <c r="N399" s="159">
        <v>0</v>
      </c>
      <c r="O399" s="159">
        <v>0</v>
      </c>
      <c r="Q399" s="35"/>
      <c r="S399" s="238"/>
      <c r="T399" s="238"/>
      <c r="U399" s="238"/>
      <c r="V399" s="238"/>
      <c r="W399" s="238"/>
      <c r="X399" s="238"/>
      <c r="Y399" s="238"/>
      <c r="Z399" s="238"/>
      <c r="AA399" s="238"/>
      <c r="AB399" s="238"/>
    </row>
    <row r="400" spans="2:28" s="22" customFormat="1" ht="43.2" x14ac:dyDescent="0.3">
      <c r="B400" s="35"/>
      <c r="C400" s="40" t="s">
        <v>171</v>
      </c>
      <c r="D400" s="43" t="s">
        <v>47</v>
      </c>
      <c r="E400" s="92"/>
      <c r="F400" s="165">
        <v>0.75</v>
      </c>
      <c r="G400" s="165">
        <v>0.75</v>
      </c>
      <c r="H400" s="165">
        <v>0.75</v>
      </c>
      <c r="I400" s="165">
        <v>0.75</v>
      </c>
      <c r="J400" s="165">
        <v>0.75</v>
      </c>
      <c r="K400" s="165">
        <v>0.75</v>
      </c>
      <c r="L400" s="165">
        <v>0.75</v>
      </c>
      <c r="M400" s="165">
        <v>0.75</v>
      </c>
      <c r="N400" s="165">
        <v>0.75</v>
      </c>
      <c r="O400" s="165">
        <v>0.75</v>
      </c>
      <c r="Q400" s="35"/>
      <c r="S400" s="238"/>
      <c r="T400" s="238"/>
      <c r="U400" s="238"/>
      <c r="V400" s="238"/>
      <c r="W400" s="238"/>
      <c r="X400" s="238"/>
      <c r="Y400" s="238"/>
      <c r="Z400" s="238"/>
      <c r="AA400" s="238"/>
      <c r="AB400" s="238"/>
    </row>
    <row r="401" spans="2:28" x14ac:dyDescent="0.3">
      <c r="B401" s="35"/>
      <c r="Q401" s="35"/>
      <c r="S401" s="238"/>
      <c r="T401" s="238"/>
      <c r="U401" s="238"/>
      <c r="V401" s="238"/>
      <c r="W401" s="238"/>
      <c r="X401" s="238"/>
      <c r="Y401" s="238"/>
      <c r="Z401" s="238"/>
      <c r="AA401" s="238"/>
      <c r="AB401" s="238"/>
    </row>
    <row r="402" spans="2:28" ht="28.8" x14ac:dyDescent="0.3">
      <c r="B402" s="35"/>
      <c r="C402" s="40" t="s">
        <v>172</v>
      </c>
      <c r="D402" s="43" t="s">
        <v>47</v>
      </c>
      <c r="E402" s="92" t="s">
        <v>92</v>
      </c>
      <c r="F402" s="162" t="e">
        <f>(F371/E371)/(1+'Date macro-economice'!F$9)-1</f>
        <v>#DIV/0!</v>
      </c>
      <c r="G402" s="162" t="e">
        <f>(G371/F371)/(1+'Date macro-economice'!G$9)-1</f>
        <v>#DIV/0!</v>
      </c>
      <c r="H402" s="159">
        <v>0</v>
      </c>
      <c r="I402" s="159">
        <v>0</v>
      </c>
      <c r="J402" s="159">
        <v>0</v>
      </c>
      <c r="K402" s="159">
        <v>0</v>
      </c>
      <c r="L402" s="159">
        <v>0</v>
      </c>
      <c r="M402" s="159">
        <v>0</v>
      </c>
      <c r="N402" s="159">
        <v>0</v>
      </c>
      <c r="O402" s="159">
        <v>0</v>
      </c>
      <c r="Q402" s="35"/>
      <c r="S402" s="238"/>
      <c r="T402" s="238"/>
      <c r="U402" s="238"/>
      <c r="V402" s="238"/>
      <c r="W402" s="238"/>
      <c r="X402" s="238"/>
      <c r="Y402" s="238"/>
      <c r="Z402" s="238"/>
      <c r="AA402" s="238"/>
      <c r="AB402" s="238"/>
    </row>
    <row r="403" spans="2:28" ht="28.8" x14ac:dyDescent="0.3">
      <c r="B403" s="35"/>
      <c r="C403" s="40" t="s">
        <v>173</v>
      </c>
      <c r="D403" s="43" t="s">
        <v>47</v>
      </c>
      <c r="E403" s="92" t="s">
        <v>92</v>
      </c>
      <c r="F403" s="162" t="e">
        <f>(F372/E372)/(1+'Date macro-economice'!F$9)-1</f>
        <v>#DIV/0!</v>
      </c>
      <c r="G403" s="162" t="e">
        <f>(G372/F372)/(1+'Date macro-economice'!G$9)-1</f>
        <v>#DIV/0!</v>
      </c>
      <c r="H403" s="159">
        <v>0</v>
      </c>
      <c r="I403" s="159">
        <v>0</v>
      </c>
      <c r="J403" s="159">
        <v>0</v>
      </c>
      <c r="K403" s="159">
        <v>0</v>
      </c>
      <c r="L403" s="159">
        <v>0</v>
      </c>
      <c r="M403" s="159">
        <v>0</v>
      </c>
      <c r="N403" s="159">
        <v>0</v>
      </c>
      <c r="O403" s="159">
        <v>0</v>
      </c>
      <c r="Q403" s="35"/>
      <c r="S403" s="238"/>
      <c r="T403" s="238"/>
      <c r="U403" s="238"/>
      <c r="V403" s="238"/>
      <c r="W403" s="238"/>
      <c r="X403" s="238"/>
      <c r="Y403" s="238"/>
      <c r="Z403" s="238"/>
      <c r="AA403" s="238"/>
      <c r="AB403" s="238"/>
    </row>
    <row r="404" spans="2:28" ht="28.8" x14ac:dyDescent="0.3">
      <c r="B404" s="35"/>
      <c r="C404" s="40" t="s">
        <v>174</v>
      </c>
      <c r="D404" s="43" t="s">
        <v>47</v>
      </c>
      <c r="E404" s="92" t="s">
        <v>92</v>
      </c>
      <c r="F404" s="162" t="e">
        <f>(F377/E377)/(1+'Date macro-economice'!F$9)-1</f>
        <v>#DIV/0!</v>
      </c>
      <c r="G404" s="162" t="e">
        <f>(G377/F377)/(1+'Date macro-economice'!G$9)-1</f>
        <v>#DIV/0!</v>
      </c>
      <c r="H404" s="159">
        <v>0</v>
      </c>
      <c r="I404" s="159">
        <v>0</v>
      </c>
      <c r="J404" s="159">
        <v>0</v>
      </c>
      <c r="K404" s="159">
        <v>0</v>
      </c>
      <c r="L404" s="159">
        <v>0</v>
      </c>
      <c r="M404" s="159">
        <v>0</v>
      </c>
      <c r="N404" s="159">
        <v>0</v>
      </c>
      <c r="O404" s="159">
        <v>0</v>
      </c>
      <c r="Q404" s="35"/>
      <c r="S404" s="238"/>
      <c r="T404" s="238"/>
      <c r="U404" s="238"/>
      <c r="V404" s="238"/>
      <c r="W404" s="238"/>
      <c r="X404" s="238"/>
      <c r="Y404" s="238"/>
      <c r="Z404" s="238"/>
      <c r="AA404" s="238"/>
      <c r="AB404" s="238"/>
    </row>
    <row r="405" spans="2:28" x14ac:dyDescent="0.3">
      <c r="B405" s="35"/>
      <c r="Q405" s="35"/>
      <c r="S405" s="238"/>
      <c r="T405" s="238"/>
      <c r="U405" s="238"/>
      <c r="V405" s="238"/>
      <c r="W405" s="238"/>
      <c r="X405" s="238"/>
      <c r="Y405" s="238"/>
      <c r="Z405" s="238"/>
      <c r="AA405" s="238"/>
      <c r="AB405" s="238"/>
    </row>
    <row r="406" spans="2:28" s="22" customFormat="1" x14ac:dyDescent="0.3">
      <c r="B406" s="35"/>
      <c r="C406" s="66" t="s">
        <v>196</v>
      </c>
      <c r="D406" s="40"/>
      <c r="E406" s="40"/>
      <c r="F406" s="40"/>
      <c r="G406" s="40"/>
      <c r="H406" s="40"/>
      <c r="I406" s="40"/>
      <c r="J406" s="40"/>
      <c r="K406" s="40"/>
      <c r="L406" s="40"/>
      <c r="M406" s="40"/>
      <c r="N406" s="40"/>
      <c r="O406" s="40"/>
      <c r="Q406" s="35"/>
      <c r="S406" s="238"/>
      <c r="T406" s="238"/>
      <c r="U406" s="238"/>
      <c r="V406" s="238"/>
      <c r="W406" s="238"/>
      <c r="X406" s="238"/>
      <c r="Y406" s="238"/>
      <c r="Z406" s="238"/>
      <c r="AA406" s="238"/>
      <c r="AB406" s="238"/>
    </row>
    <row r="407" spans="2:28" s="22" customFormat="1" x14ac:dyDescent="0.3">
      <c r="B407" s="35"/>
      <c r="C407" s="40" t="s">
        <v>183</v>
      </c>
      <c r="D407" s="43" t="s">
        <v>184</v>
      </c>
      <c r="E407" s="87">
        <v>0</v>
      </c>
      <c r="F407" s="87">
        <v>0</v>
      </c>
      <c r="G407" s="87">
        <v>0</v>
      </c>
      <c r="H407" s="87">
        <v>0</v>
      </c>
      <c r="I407" s="87">
        <v>0</v>
      </c>
      <c r="J407" s="87">
        <v>0</v>
      </c>
      <c r="K407" s="87">
        <v>0</v>
      </c>
      <c r="L407" s="87">
        <v>0</v>
      </c>
      <c r="M407" s="87">
        <v>0</v>
      </c>
      <c r="N407" s="87">
        <v>0</v>
      </c>
      <c r="O407" s="87">
        <v>0</v>
      </c>
      <c r="Q407" s="35"/>
      <c r="S407" s="238"/>
      <c r="T407" s="238"/>
      <c r="U407" s="238"/>
      <c r="V407" s="238"/>
      <c r="W407" s="238"/>
      <c r="X407" s="238"/>
      <c r="Y407" s="238"/>
      <c r="Z407" s="238"/>
      <c r="AA407" s="238"/>
      <c r="AB407" s="238"/>
    </row>
    <row r="408" spans="2:28" s="22" customFormat="1" x14ac:dyDescent="0.3">
      <c r="B408" s="35"/>
      <c r="C408" s="40" t="s">
        <v>185</v>
      </c>
      <c r="D408" s="43" t="s">
        <v>186</v>
      </c>
      <c r="E408" s="150" t="e">
        <f>E410/E407</f>
        <v>#DIV/0!</v>
      </c>
      <c r="F408" s="150" t="e">
        <f>F410/F407</f>
        <v>#DIV/0!</v>
      </c>
      <c r="G408" s="150" t="e">
        <f>G410/G407</f>
        <v>#DIV/0!</v>
      </c>
      <c r="H408" s="170" t="e">
        <f>G408*(1+'Date macro-economice'!H$9)*(1+H409)</f>
        <v>#DIV/0!</v>
      </c>
      <c r="I408" s="170" t="e">
        <f>H408*(1+'Date macro-economice'!I$9)*(1+I409)</f>
        <v>#DIV/0!</v>
      </c>
      <c r="J408" s="170" t="e">
        <f>I408*(1+'Date macro-economice'!J$9)*(1+J409)</f>
        <v>#DIV/0!</v>
      </c>
      <c r="K408" s="170" t="e">
        <f>J408*(1+'Date macro-economice'!K$9)*(1+K409)</f>
        <v>#DIV/0!</v>
      </c>
      <c r="L408" s="170" t="e">
        <f>K408*(1+'Date macro-economice'!L$9)*(1+L409)</f>
        <v>#DIV/0!</v>
      </c>
      <c r="M408" s="170" t="e">
        <f>L408*(1+'Date macro-economice'!M$9)*(1+M409)</f>
        <v>#DIV/0!</v>
      </c>
      <c r="N408" s="170" t="e">
        <f>M408*(1+'Date macro-economice'!N$9)*(1+N409)</f>
        <v>#DIV/0!</v>
      </c>
      <c r="O408" s="170" t="e">
        <f>N408*(1+'Date macro-economice'!O$9)*(1+O409)</f>
        <v>#DIV/0!</v>
      </c>
      <c r="Q408" s="35"/>
      <c r="S408" s="238"/>
      <c r="T408" s="238"/>
      <c r="U408" s="238"/>
      <c r="V408" s="238"/>
      <c r="W408" s="238"/>
      <c r="X408" s="238"/>
      <c r="Y408" s="238"/>
      <c r="Z408" s="238"/>
      <c r="AA408" s="238"/>
      <c r="AB408" s="238"/>
    </row>
    <row r="409" spans="2:28" s="22" customFormat="1" x14ac:dyDescent="0.3">
      <c r="B409" s="35"/>
      <c r="C409" s="40" t="s">
        <v>148</v>
      </c>
      <c r="D409" s="43" t="s">
        <v>47</v>
      </c>
      <c r="E409" s="158" t="s">
        <v>92</v>
      </c>
      <c r="F409" s="36" t="e">
        <f>(F408/E408)/(1+'Date macro-economice'!F$9)-1</f>
        <v>#DIV/0!</v>
      </c>
      <c r="G409" s="36" t="e">
        <f>(G408/F408)/(1+'Date macro-economice'!G$9)-1</f>
        <v>#DIV/0!</v>
      </c>
      <c r="H409" s="159">
        <v>0</v>
      </c>
      <c r="I409" s="159">
        <v>0</v>
      </c>
      <c r="J409" s="159">
        <v>0</v>
      </c>
      <c r="K409" s="159">
        <v>0</v>
      </c>
      <c r="L409" s="159">
        <v>0</v>
      </c>
      <c r="M409" s="159">
        <v>0</v>
      </c>
      <c r="N409" s="159">
        <v>0</v>
      </c>
      <c r="O409" s="159">
        <v>0</v>
      </c>
      <c r="Q409" s="35"/>
      <c r="S409" s="238"/>
      <c r="T409" s="238"/>
      <c r="U409" s="238"/>
      <c r="V409" s="238"/>
      <c r="W409" s="238"/>
      <c r="X409" s="238"/>
      <c r="Y409" s="238"/>
      <c r="Z409" s="238"/>
      <c r="AA409" s="238"/>
      <c r="AB409" s="238"/>
    </row>
    <row r="410" spans="2:28" x14ac:dyDescent="0.3">
      <c r="B410" s="35"/>
      <c r="C410" s="81" t="s">
        <v>149</v>
      </c>
      <c r="D410" s="82" t="s">
        <v>141</v>
      </c>
      <c r="E410" s="91">
        <f>E376</f>
        <v>0</v>
      </c>
      <c r="F410" s="91">
        <f>F376</f>
        <v>0</v>
      </c>
      <c r="G410" s="91">
        <f>G376</f>
        <v>0</v>
      </c>
      <c r="H410" s="91">
        <f>IFERROR(H407*H408,0)</f>
        <v>0</v>
      </c>
      <c r="I410" s="91">
        <f t="shared" ref="I410:O410" si="95">IFERROR(I407*I408,0)</f>
        <v>0</v>
      </c>
      <c r="J410" s="91">
        <f t="shared" si="95"/>
        <v>0</v>
      </c>
      <c r="K410" s="91">
        <f t="shared" si="95"/>
        <v>0</v>
      </c>
      <c r="L410" s="91">
        <f t="shared" si="95"/>
        <v>0</v>
      </c>
      <c r="M410" s="91">
        <f t="shared" si="95"/>
        <v>0</v>
      </c>
      <c r="N410" s="91">
        <f t="shared" si="95"/>
        <v>0</v>
      </c>
      <c r="O410" s="91">
        <f t="shared" si="95"/>
        <v>0</v>
      </c>
      <c r="Q410" s="35"/>
      <c r="S410" s="238"/>
      <c r="T410" s="238"/>
      <c r="U410" s="238"/>
      <c r="V410" s="238"/>
      <c r="W410" s="238"/>
      <c r="X410" s="238"/>
      <c r="Y410" s="238"/>
      <c r="Z410" s="238"/>
      <c r="AA410" s="238"/>
      <c r="AB410" s="238"/>
    </row>
    <row r="411" spans="2:28" x14ac:dyDescent="0.3">
      <c r="B411" s="35"/>
      <c r="Q411" s="35"/>
      <c r="S411" s="238"/>
      <c r="T411" s="238"/>
      <c r="U411" s="238"/>
      <c r="V411" s="238"/>
      <c r="W411" s="238"/>
      <c r="X411" s="238"/>
      <c r="Y411" s="238"/>
      <c r="Z411" s="238"/>
      <c r="AA411" s="238"/>
      <c r="AB411" s="238"/>
    </row>
    <row r="412" spans="2:28" ht="28.8" x14ac:dyDescent="0.3">
      <c r="B412" s="35"/>
      <c r="C412" s="40" t="s">
        <v>175</v>
      </c>
      <c r="D412" s="43" t="s">
        <v>47</v>
      </c>
      <c r="E412" s="92" t="s">
        <v>92</v>
      </c>
      <c r="F412" s="162" t="e">
        <f>F373/E373-1</f>
        <v>#DIV/0!</v>
      </c>
      <c r="G412" s="162" t="e">
        <f>G373/F373-1</f>
        <v>#DIV/0!</v>
      </c>
      <c r="H412" s="166">
        <f>IFERROR('Amortizare si redeventa'!H232,0)</f>
        <v>0</v>
      </c>
      <c r="I412" s="166">
        <f>IFERROR('Amortizare si redeventa'!I232,0)</f>
        <v>0</v>
      </c>
      <c r="J412" s="166">
        <f>IFERROR('Amortizare si redeventa'!J232,0)</f>
        <v>0</v>
      </c>
      <c r="K412" s="166">
        <f>IFERROR('Amortizare si redeventa'!K232,0)</f>
        <v>0</v>
      </c>
      <c r="L412" s="166">
        <f>IFERROR('Amortizare si redeventa'!L232,0)</f>
        <v>0</v>
      </c>
      <c r="M412" s="166">
        <f>IFERROR('Amortizare si redeventa'!M232,0)</f>
        <v>0</v>
      </c>
      <c r="N412" s="166">
        <f>IFERROR('Amortizare si redeventa'!N232,0)</f>
        <v>0</v>
      </c>
      <c r="O412" s="166">
        <f>IFERROR('Amortizare si redeventa'!O232,0)</f>
        <v>0</v>
      </c>
      <c r="Q412" s="35"/>
      <c r="S412" s="238"/>
      <c r="T412" s="238"/>
      <c r="U412" s="238"/>
      <c r="V412" s="238"/>
      <c r="W412" s="238"/>
      <c r="X412" s="238"/>
      <c r="Y412" s="238"/>
      <c r="Z412" s="238"/>
      <c r="AA412" s="238"/>
      <c r="AB412" s="238"/>
    </row>
    <row r="413" spans="2:28" ht="28.8" x14ac:dyDescent="0.3">
      <c r="B413" s="35"/>
      <c r="C413" s="40" t="s">
        <v>176</v>
      </c>
      <c r="D413" s="43" t="s">
        <v>47</v>
      </c>
      <c r="E413" s="92" t="s">
        <v>92</v>
      </c>
      <c r="F413" s="162" t="e">
        <f>F374/E374-1</f>
        <v>#DIV/0!</v>
      </c>
      <c r="G413" s="162" t="e">
        <f>G374/F374-1</f>
        <v>#DIV/0!</v>
      </c>
      <c r="H413" s="166">
        <f>IFERROR('Amortizare si redeventa'!H238,0)</f>
        <v>0</v>
      </c>
      <c r="I413" s="166">
        <f>IFERROR('Amortizare si redeventa'!I238,0)</f>
        <v>0</v>
      </c>
      <c r="J413" s="166">
        <f>IFERROR('Amortizare si redeventa'!J238,0)</f>
        <v>0</v>
      </c>
      <c r="K413" s="166">
        <f>IFERROR('Amortizare si redeventa'!K238,0)</f>
        <v>0</v>
      </c>
      <c r="L413" s="166">
        <f>IFERROR('Amortizare si redeventa'!L238,0)</f>
        <v>0</v>
      </c>
      <c r="M413" s="166">
        <f>IFERROR('Amortizare si redeventa'!M238,0)</f>
        <v>0</v>
      </c>
      <c r="N413" s="166">
        <f>IFERROR('Amortizare si redeventa'!N238,0)</f>
        <v>0</v>
      </c>
      <c r="O413" s="166">
        <f>IFERROR('Amortizare si redeventa'!O238,0)</f>
        <v>0</v>
      </c>
      <c r="Q413" s="35"/>
      <c r="S413" s="238"/>
      <c r="T413" s="238"/>
      <c r="U413" s="238"/>
      <c r="V413" s="238"/>
      <c r="W413" s="238"/>
      <c r="X413" s="238"/>
      <c r="Y413" s="238"/>
      <c r="Z413" s="238"/>
      <c r="AA413" s="238"/>
      <c r="AB413" s="238"/>
    </row>
    <row r="414" spans="2:28" x14ac:dyDescent="0.3">
      <c r="B414" s="35"/>
      <c r="Q414" s="35"/>
      <c r="S414" s="238"/>
      <c r="T414" s="238"/>
      <c r="U414" s="238"/>
      <c r="V414" s="238"/>
      <c r="W414" s="238"/>
      <c r="X414" s="238"/>
      <c r="Y414" s="238"/>
      <c r="Z414" s="238"/>
      <c r="AA414" s="238"/>
      <c r="AB414" s="238"/>
    </row>
    <row r="415" spans="2:28" ht="6.6" customHeight="1" x14ac:dyDescent="0.3">
      <c r="B415" s="35"/>
      <c r="C415" s="35"/>
      <c r="D415" s="35"/>
      <c r="E415" s="35"/>
      <c r="F415" s="35"/>
      <c r="G415" s="35"/>
      <c r="H415" s="35"/>
      <c r="I415" s="35"/>
      <c r="J415" s="35"/>
      <c r="K415" s="35"/>
      <c r="L415" s="35"/>
      <c r="M415" s="35"/>
      <c r="N415" s="35"/>
      <c r="O415" s="35"/>
      <c r="P415" s="35"/>
      <c r="Q415" s="35"/>
    </row>
    <row r="417" spans="2:28" ht="8.1" customHeight="1" x14ac:dyDescent="0.3">
      <c r="B417" s="23"/>
      <c r="C417" s="23"/>
      <c r="D417" s="23"/>
      <c r="E417" s="23"/>
      <c r="F417" s="23"/>
      <c r="G417" s="23"/>
      <c r="H417" s="23"/>
      <c r="I417" s="23"/>
      <c r="J417" s="23"/>
      <c r="K417" s="23"/>
      <c r="L417" s="23"/>
      <c r="M417" s="23"/>
      <c r="N417" s="23"/>
      <c r="O417" s="23"/>
      <c r="P417" s="23"/>
      <c r="Q417" s="23"/>
    </row>
    <row r="418" spans="2:28" x14ac:dyDescent="0.3">
      <c r="B418" s="23"/>
      <c r="Q418" s="23"/>
    </row>
    <row r="419" spans="2:28" s="22" customFormat="1" ht="106.5" customHeight="1" x14ac:dyDescent="0.3">
      <c r="B419" s="35"/>
      <c r="C419" s="89" t="s">
        <v>199</v>
      </c>
      <c r="D419" s="89"/>
      <c r="E419" s="111">
        <f>F419-1</f>
        <v>2022</v>
      </c>
      <c r="F419" s="111">
        <f>G419-1</f>
        <v>2023</v>
      </c>
      <c r="G419" s="112">
        <f>'Date generale'!$D$8</f>
        <v>2024</v>
      </c>
      <c r="H419" s="113">
        <f t="shared" ref="H419:O419" si="96">G419+1</f>
        <v>2025</v>
      </c>
      <c r="I419" s="113">
        <f t="shared" si="96"/>
        <v>2026</v>
      </c>
      <c r="J419" s="113">
        <f t="shared" si="96"/>
        <v>2027</v>
      </c>
      <c r="K419" s="113">
        <f t="shared" si="96"/>
        <v>2028</v>
      </c>
      <c r="L419" s="113">
        <f t="shared" si="96"/>
        <v>2029</v>
      </c>
      <c r="M419" s="113">
        <f t="shared" si="96"/>
        <v>2030</v>
      </c>
      <c r="N419" s="113">
        <f t="shared" si="96"/>
        <v>2031</v>
      </c>
      <c r="O419" s="113">
        <f t="shared" si="96"/>
        <v>2032</v>
      </c>
      <c r="Q419" s="35"/>
      <c r="S419" s="237" t="s">
        <v>200</v>
      </c>
      <c r="T419" s="237"/>
      <c r="U419" s="237"/>
      <c r="V419" s="237"/>
      <c r="W419" s="237"/>
      <c r="X419" s="237"/>
      <c r="Y419" s="237"/>
      <c r="Z419" s="237"/>
      <c r="AA419" s="237"/>
      <c r="AB419" s="237"/>
    </row>
    <row r="420" spans="2:28" x14ac:dyDescent="0.3">
      <c r="B420" s="23"/>
      <c r="C420" s="114"/>
      <c r="D420" s="114"/>
      <c r="E420" s="115">
        <f>F420-1</f>
        <v>-3</v>
      </c>
      <c r="F420" s="115">
        <f>G420-1</f>
        <v>-2</v>
      </c>
      <c r="G420" s="116">
        <v>-1</v>
      </c>
      <c r="H420" s="116">
        <v>0</v>
      </c>
      <c r="I420" s="116">
        <f t="shared" ref="I420:O420" si="97">H420+1</f>
        <v>1</v>
      </c>
      <c r="J420" s="116">
        <f t="shared" si="97"/>
        <v>2</v>
      </c>
      <c r="K420" s="116">
        <f t="shared" si="97"/>
        <v>3</v>
      </c>
      <c r="L420" s="116">
        <f t="shared" si="97"/>
        <v>4</v>
      </c>
      <c r="M420" s="116">
        <f t="shared" si="97"/>
        <v>5</v>
      </c>
      <c r="N420" s="116">
        <f t="shared" si="97"/>
        <v>6</v>
      </c>
      <c r="O420" s="116">
        <f t="shared" si="97"/>
        <v>7</v>
      </c>
      <c r="Q420" s="35"/>
      <c r="S420" s="169" t="s">
        <v>132</v>
      </c>
      <c r="T420" s="169" t="s">
        <v>133</v>
      </c>
      <c r="U420" s="169" t="s">
        <v>134</v>
      </c>
      <c r="V420" s="169" t="s">
        <v>135</v>
      </c>
      <c r="W420" s="169" t="s">
        <v>136</v>
      </c>
      <c r="X420" s="169" t="s">
        <v>137</v>
      </c>
      <c r="Y420" s="169" t="s">
        <v>138</v>
      </c>
      <c r="Z420" s="169" t="s">
        <v>139</v>
      </c>
      <c r="AA420" s="169" t="s">
        <v>179</v>
      </c>
      <c r="AB420" s="169"/>
    </row>
    <row r="421" spans="2:28" s="24" customFormat="1" x14ac:dyDescent="0.3">
      <c r="B421" s="61"/>
      <c r="C421" s="42"/>
      <c r="D421" s="51"/>
      <c r="E421" s="62"/>
      <c r="F421" s="62"/>
      <c r="G421" s="62"/>
      <c r="H421" s="62"/>
      <c r="I421" s="62"/>
      <c r="J421" s="62"/>
      <c r="K421" s="62"/>
      <c r="L421" s="62"/>
      <c r="M421" s="62"/>
      <c r="N421" s="62"/>
      <c r="O421" s="62"/>
      <c r="Q421" s="35"/>
      <c r="S421" s="238"/>
      <c r="T421" s="238"/>
      <c r="U421" s="238"/>
      <c r="V421" s="238"/>
      <c r="W421" s="238"/>
      <c r="X421" s="238"/>
      <c r="Y421" s="238"/>
      <c r="Z421" s="238"/>
      <c r="AA421" s="238"/>
      <c r="AB421" s="238"/>
    </row>
    <row r="422" spans="2:28" s="53" customFormat="1" x14ac:dyDescent="0.3">
      <c r="B422" s="63"/>
      <c r="C422" s="40" t="s">
        <v>132</v>
      </c>
      <c r="D422" s="43" t="s">
        <v>141</v>
      </c>
      <c r="E422" s="87">
        <v>0</v>
      </c>
      <c r="F422" s="87">
        <v>0</v>
      </c>
      <c r="G422" s="87">
        <v>0</v>
      </c>
      <c r="H422" s="88">
        <f>G422*(1+'Date macro-economice'!H$9)*(1+'Costuri operare'!H434)</f>
        <v>0</v>
      </c>
      <c r="I422" s="88">
        <f>H422*(1+'Date macro-economice'!I$9)*(1+'Costuri operare'!I434)</f>
        <v>0</v>
      </c>
      <c r="J422" s="88">
        <f>I422*(1+'Date macro-economice'!J$9)*(1+'Costuri operare'!J434)</f>
        <v>0</v>
      </c>
      <c r="K422" s="88">
        <f>J422*(1+'Date macro-economice'!K$9)*(1+'Costuri operare'!K434)</f>
        <v>0</v>
      </c>
      <c r="L422" s="88">
        <f>K422*(1+'Date macro-economice'!L$9)*(1+'Costuri operare'!L434)</f>
        <v>0</v>
      </c>
      <c r="M422" s="88">
        <f>L422*(1+'Date macro-economice'!M$9)*(1+'Costuri operare'!M434)</f>
        <v>0</v>
      </c>
      <c r="N422" s="88">
        <f>M422*(1+'Date macro-economice'!N$9)*(1+'Costuri operare'!N434)</f>
        <v>0</v>
      </c>
      <c r="O422" s="88">
        <f>N422*(1+'Date macro-economice'!O$9)*(1+'Costuri operare'!O434)</f>
        <v>0</v>
      </c>
      <c r="Q422" s="35"/>
      <c r="S422" s="238"/>
      <c r="T422" s="238"/>
      <c r="U422" s="238"/>
      <c r="V422" s="238"/>
      <c r="W422" s="238"/>
      <c r="X422" s="238"/>
      <c r="Y422" s="238"/>
      <c r="Z422" s="238"/>
      <c r="AA422" s="238"/>
      <c r="AB422" s="238"/>
    </row>
    <row r="423" spans="2:28" s="22" customFormat="1" x14ac:dyDescent="0.3">
      <c r="B423" s="35"/>
      <c r="C423" s="40" t="s">
        <v>133</v>
      </c>
      <c r="D423" s="43" t="s">
        <v>141</v>
      </c>
      <c r="E423" s="87">
        <v>0</v>
      </c>
      <c r="F423" s="87">
        <v>0</v>
      </c>
      <c r="G423" s="87">
        <v>0</v>
      </c>
      <c r="H423" s="88">
        <f t="shared" ref="H423:O423" si="98">H441</f>
        <v>0</v>
      </c>
      <c r="I423" s="88">
        <f t="shared" si="98"/>
        <v>0</v>
      </c>
      <c r="J423" s="88">
        <f t="shared" si="98"/>
        <v>0</v>
      </c>
      <c r="K423" s="88">
        <f t="shared" si="98"/>
        <v>0</v>
      </c>
      <c r="L423" s="88">
        <f t="shared" si="98"/>
        <v>0</v>
      </c>
      <c r="M423" s="88">
        <f t="shared" si="98"/>
        <v>0</v>
      </c>
      <c r="N423" s="88">
        <f t="shared" si="98"/>
        <v>0</v>
      </c>
      <c r="O423" s="88">
        <f t="shared" si="98"/>
        <v>0</v>
      </c>
      <c r="Q423" s="35"/>
      <c r="S423" s="238"/>
      <c r="T423" s="238"/>
      <c r="U423" s="238"/>
      <c r="V423" s="238"/>
      <c r="W423" s="238"/>
      <c r="X423" s="238"/>
      <c r="Y423" s="238"/>
      <c r="Z423" s="238"/>
      <c r="AA423" s="238"/>
      <c r="AB423" s="238"/>
    </row>
    <row r="424" spans="2:28" s="22" customFormat="1" x14ac:dyDescent="0.3">
      <c r="B424" s="35"/>
      <c r="C424" s="40" t="s">
        <v>134</v>
      </c>
      <c r="D424" s="43" t="s">
        <v>141</v>
      </c>
      <c r="E424" s="87">
        <v>0</v>
      </c>
      <c r="F424" s="87">
        <v>0</v>
      </c>
      <c r="G424" s="87">
        <v>0</v>
      </c>
      <c r="H424" s="88">
        <f t="shared" ref="H424:O424" si="99">H444+H445+H446</f>
        <v>0</v>
      </c>
      <c r="I424" s="88">
        <f t="shared" si="99"/>
        <v>0</v>
      </c>
      <c r="J424" s="88">
        <f t="shared" si="99"/>
        <v>0</v>
      </c>
      <c r="K424" s="88">
        <f t="shared" si="99"/>
        <v>0</v>
      </c>
      <c r="L424" s="88">
        <f t="shared" si="99"/>
        <v>0</v>
      </c>
      <c r="M424" s="88">
        <f t="shared" si="99"/>
        <v>0</v>
      </c>
      <c r="N424" s="88">
        <f t="shared" si="99"/>
        <v>0</v>
      </c>
      <c r="O424" s="88">
        <f t="shared" si="99"/>
        <v>0</v>
      </c>
      <c r="Q424" s="35"/>
      <c r="S424" s="238"/>
      <c r="T424" s="238"/>
      <c r="U424" s="238"/>
      <c r="V424" s="238"/>
      <c r="W424" s="238"/>
      <c r="X424" s="238"/>
      <c r="Y424" s="238"/>
      <c r="Z424" s="238"/>
      <c r="AA424" s="238"/>
      <c r="AB424" s="238"/>
    </row>
    <row r="425" spans="2:28" s="22" customFormat="1" x14ac:dyDescent="0.3">
      <c r="B425" s="35"/>
      <c r="C425" s="40" t="s">
        <v>135</v>
      </c>
      <c r="D425" s="43" t="s">
        <v>141</v>
      </c>
      <c r="E425" s="87">
        <v>0</v>
      </c>
      <c r="F425" s="87">
        <v>0</v>
      </c>
      <c r="G425" s="87">
        <v>0</v>
      </c>
      <c r="H425" s="88">
        <f>G425*(1+H456)*(1+'Date macro-economice'!H$9)</f>
        <v>0</v>
      </c>
      <c r="I425" s="88">
        <f>H425*(1+I456)*(1+'Date macro-economice'!I$9)</f>
        <v>0</v>
      </c>
      <c r="J425" s="88">
        <f>I425*(1+J456)*(1+'Date macro-economice'!J$9)</f>
        <v>0</v>
      </c>
      <c r="K425" s="88">
        <f>J425*(1+K456)*(1+'Date macro-economice'!K$9)</f>
        <v>0</v>
      </c>
      <c r="L425" s="88">
        <f>K425*(1+L456)*(1+'Date macro-economice'!L$9)</f>
        <v>0</v>
      </c>
      <c r="M425" s="88">
        <f>L425*(1+M456)*(1+'Date macro-economice'!M$9)</f>
        <v>0</v>
      </c>
      <c r="N425" s="88">
        <f>M425*(1+N456)*(1+'Date macro-economice'!N$9)</f>
        <v>0</v>
      </c>
      <c r="O425" s="88">
        <f>N425*(1+O456)*(1+'Date macro-economice'!O$9)</f>
        <v>0</v>
      </c>
      <c r="Q425" s="35"/>
      <c r="S425" s="238"/>
      <c r="T425" s="238"/>
      <c r="U425" s="238"/>
      <c r="V425" s="238"/>
      <c r="W425" s="238"/>
      <c r="X425" s="238"/>
      <c r="Y425" s="238"/>
      <c r="Z425" s="238"/>
      <c r="AA425" s="238"/>
      <c r="AB425" s="238"/>
    </row>
    <row r="426" spans="2:28" s="22" customFormat="1" x14ac:dyDescent="0.3">
      <c r="B426" s="35"/>
      <c r="C426" s="40" t="s">
        <v>136</v>
      </c>
      <c r="D426" s="43" t="s">
        <v>141</v>
      </c>
      <c r="E426" s="87">
        <v>0</v>
      </c>
      <c r="F426" s="87">
        <v>0</v>
      </c>
      <c r="G426" s="87">
        <v>0</v>
      </c>
      <c r="H426" s="88">
        <f>G426*(1+H457)*(1+'Date macro-economice'!H$9)</f>
        <v>0</v>
      </c>
      <c r="I426" s="88">
        <f>H426*(1+I457)*(1+'Date macro-economice'!I$9)</f>
        <v>0</v>
      </c>
      <c r="J426" s="88">
        <f>I426*(1+J457)*(1+'Date macro-economice'!J$9)</f>
        <v>0</v>
      </c>
      <c r="K426" s="88">
        <f>J426*(1+K457)*(1+'Date macro-economice'!K$9)</f>
        <v>0</v>
      </c>
      <c r="L426" s="88">
        <f>K426*(1+L457)*(1+'Date macro-economice'!L$9)</f>
        <v>0</v>
      </c>
      <c r="M426" s="88">
        <f>L426*(1+M457)*(1+'Date macro-economice'!M$9)</f>
        <v>0</v>
      </c>
      <c r="N426" s="88">
        <f>M426*(1+N457)*(1+'Date macro-economice'!N$9)</f>
        <v>0</v>
      </c>
      <c r="O426" s="88">
        <f>N426*(1+O457)*(1+'Date macro-economice'!O$9)</f>
        <v>0</v>
      </c>
      <c r="Q426" s="35"/>
      <c r="S426" s="238"/>
      <c r="T426" s="238"/>
      <c r="U426" s="238"/>
      <c r="V426" s="238"/>
      <c r="W426" s="238"/>
      <c r="X426" s="238"/>
      <c r="Y426" s="238"/>
      <c r="Z426" s="238"/>
      <c r="AA426" s="238"/>
      <c r="AB426" s="238"/>
    </row>
    <row r="427" spans="2:28" s="22" customFormat="1" x14ac:dyDescent="0.3">
      <c r="B427" s="35"/>
      <c r="C427" s="40" t="s">
        <v>137</v>
      </c>
      <c r="D427" s="43" t="s">
        <v>141</v>
      </c>
      <c r="E427" s="87">
        <v>0</v>
      </c>
      <c r="F427" s="87">
        <v>0</v>
      </c>
      <c r="G427" s="87">
        <v>0</v>
      </c>
      <c r="H427" s="88">
        <f t="shared" ref="H427:O428" si="100">G427*(1+H466)</f>
        <v>0</v>
      </c>
      <c r="I427" s="88">
        <f t="shared" si="100"/>
        <v>0</v>
      </c>
      <c r="J427" s="88">
        <f t="shared" si="100"/>
        <v>0</v>
      </c>
      <c r="K427" s="88">
        <f t="shared" si="100"/>
        <v>0</v>
      </c>
      <c r="L427" s="88">
        <f t="shared" si="100"/>
        <v>0</v>
      </c>
      <c r="M427" s="88">
        <f t="shared" si="100"/>
        <v>0</v>
      </c>
      <c r="N427" s="88">
        <f t="shared" si="100"/>
        <v>0</v>
      </c>
      <c r="O427" s="88">
        <f t="shared" si="100"/>
        <v>0</v>
      </c>
      <c r="Q427" s="35"/>
      <c r="S427" s="238"/>
      <c r="T427" s="238"/>
      <c r="U427" s="238"/>
      <c r="V427" s="238"/>
      <c r="W427" s="238"/>
      <c r="X427" s="238"/>
      <c r="Y427" s="238"/>
      <c r="Z427" s="238"/>
      <c r="AA427" s="238"/>
      <c r="AB427" s="238"/>
    </row>
    <row r="428" spans="2:28" s="22" customFormat="1" x14ac:dyDescent="0.3">
      <c r="B428" s="35"/>
      <c r="C428" s="40" t="s">
        <v>138</v>
      </c>
      <c r="D428" s="43" t="s">
        <v>141</v>
      </c>
      <c r="E428" s="87">
        <v>0</v>
      </c>
      <c r="F428" s="87">
        <v>0</v>
      </c>
      <c r="G428" s="87">
        <v>0</v>
      </c>
      <c r="H428" s="88">
        <f t="shared" si="100"/>
        <v>0</v>
      </c>
      <c r="I428" s="88">
        <f t="shared" si="100"/>
        <v>0</v>
      </c>
      <c r="J428" s="88">
        <f t="shared" si="100"/>
        <v>0</v>
      </c>
      <c r="K428" s="88">
        <f t="shared" si="100"/>
        <v>0</v>
      </c>
      <c r="L428" s="88">
        <f t="shared" si="100"/>
        <v>0</v>
      </c>
      <c r="M428" s="88">
        <f t="shared" si="100"/>
        <v>0</v>
      </c>
      <c r="N428" s="88">
        <f t="shared" si="100"/>
        <v>0</v>
      </c>
      <c r="O428" s="88">
        <f t="shared" si="100"/>
        <v>0</v>
      </c>
      <c r="Q428" s="35"/>
      <c r="S428" s="238"/>
      <c r="T428" s="238"/>
      <c r="U428" s="238"/>
      <c r="V428" s="238"/>
      <c r="W428" s="238"/>
      <c r="X428" s="238"/>
      <c r="Y428" s="238"/>
      <c r="Z428" s="238"/>
      <c r="AA428" s="238"/>
      <c r="AB428" s="238"/>
    </row>
    <row r="429" spans="2:28" s="22" customFormat="1" ht="28.8" x14ac:dyDescent="0.3">
      <c r="B429" s="35"/>
      <c r="C429" s="40" t="s">
        <v>142</v>
      </c>
      <c r="D429" s="43" t="s">
        <v>141</v>
      </c>
      <c r="E429" s="87">
        <v>0</v>
      </c>
      <c r="F429" s="87">
        <v>0</v>
      </c>
      <c r="G429" s="87">
        <v>0</v>
      </c>
      <c r="H429" s="87">
        <v>0</v>
      </c>
      <c r="I429" s="87">
        <v>0</v>
      </c>
      <c r="J429" s="87">
        <v>0</v>
      </c>
      <c r="K429" s="87">
        <v>0</v>
      </c>
      <c r="L429" s="87">
        <v>0</v>
      </c>
      <c r="M429" s="87">
        <v>0</v>
      </c>
      <c r="N429" s="87">
        <v>0</v>
      </c>
      <c r="O429" s="87">
        <v>0</v>
      </c>
      <c r="Q429" s="35"/>
      <c r="S429" s="238"/>
      <c r="T429" s="238"/>
      <c r="U429" s="238"/>
      <c r="V429" s="238"/>
      <c r="W429" s="238"/>
      <c r="X429" s="238"/>
      <c r="Y429" s="238"/>
      <c r="Z429" s="238"/>
      <c r="AA429" s="238"/>
      <c r="AB429" s="238"/>
    </row>
    <row r="430" spans="2:28" s="22" customFormat="1" ht="33.6" customHeight="1" x14ac:dyDescent="0.3">
      <c r="B430" s="35"/>
      <c r="C430" s="155" t="s">
        <v>181</v>
      </c>
      <c r="D430" s="43" t="s">
        <v>141</v>
      </c>
      <c r="E430" s="87">
        <v>0</v>
      </c>
      <c r="F430" s="87">
        <v>0</v>
      </c>
      <c r="G430" s="87">
        <v>0</v>
      </c>
      <c r="H430" s="88">
        <f t="shared" ref="H430:O430" si="101">H464</f>
        <v>0</v>
      </c>
      <c r="I430" s="88">
        <f t="shared" si="101"/>
        <v>0</v>
      </c>
      <c r="J430" s="88">
        <f t="shared" si="101"/>
        <v>0</v>
      </c>
      <c r="K430" s="88">
        <f t="shared" si="101"/>
        <v>0</v>
      </c>
      <c r="L430" s="88">
        <f t="shared" si="101"/>
        <v>0</v>
      </c>
      <c r="M430" s="88">
        <f t="shared" si="101"/>
        <v>0</v>
      </c>
      <c r="N430" s="88">
        <f t="shared" si="101"/>
        <v>0</v>
      </c>
      <c r="O430" s="88">
        <f t="shared" si="101"/>
        <v>0</v>
      </c>
      <c r="Q430" s="35"/>
      <c r="S430" s="238"/>
      <c r="T430" s="238"/>
      <c r="U430" s="238"/>
      <c r="V430" s="238"/>
      <c r="W430" s="238"/>
      <c r="X430" s="238"/>
      <c r="Y430" s="238"/>
      <c r="Z430" s="238"/>
      <c r="AA430" s="238"/>
      <c r="AB430" s="238"/>
    </row>
    <row r="431" spans="2:28" s="22" customFormat="1" x14ac:dyDescent="0.3">
      <c r="B431" s="35"/>
      <c r="C431" s="155" t="s">
        <v>143</v>
      </c>
      <c r="D431" s="129" t="s">
        <v>141</v>
      </c>
      <c r="E431" s="87">
        <v>0</v>
      </c>
      <c r="F431" s="87">
        <v>0</v>
      </c>
      <c r="G431" s="87">
        <v>0</v>
      </c>
      <c r="H431" s="88">
        <f>G431*(1+H458)*(1+'Date macro-economice'!H$9)</f>
        <v>0</v>
      </c>
      <c r="I431" s="88">
        <f>H431*(1+I458)*(1+'Date macro-economice'!I$9)</f>
        <v>0</v>
      </c>
      <c r="J431" s="88">
        <f>I431*(1+J458)*(1+'Date macro-economice'!J$9)</f>
        <v>0</v>
      </c>
      <c r="K431" s="88">
        <f>J431*(1+K458)*(1+'Date macro-economice'!K$9)</f>
        <v>0</v>
      </c>
      <c r="L431" s="88">
        <f>K431*(1+L458)*(1+'Date macro-economice'!L$9)</f>
        <v>0</v>
      </c>
      <c r="M431" s="88">
        <f>L431*(1+M458)*(1+'Date macro-economice'!M$9)</f>
        <v>0</v>
      </c>
      <c r="N431" s="88">
        <f>M431*(1+N458)*(1+'Date macro-economice'!N$9)</f>
        <v>0</v>
      </c>
      <c r="O431" s="88">
        <f>N431*(1+O458)*(1+'Date macro-economice'!O$9)</f>
        <v>0</v>
      </c>
      <c r="Q431" s="35"/>
      <c r="S431" s="238"/>
      <c r="T431" s="238"/>
      <c r="U431" s="238"/>
      <c r="V431" s="238"/>
      <c r="W431" s="238"/>
      <c r="X431" s="238"/>
      <c r="Y431" s="238"/>
      <c r="Z431" s="238"/>
      <c r="AA431" s="238"/>
      <c r="AB431" s="238"/>
    </row>
    <row r="432" spans="2:28" s="22" customFormat="1" x14ac:dyDescent="0.3">
      <c r="B432" s="35"/>
      <c r="C432" s="42" t="s">
        <v>144</v>
      </c>
      <c r="D432" s="51" t="s">
        <v>141</v>
      </c>
      <c r="E432" s="62">
        <f t="shared" ref="E432:O432" si="102">SUM(E422:E431)</f>
        <v>0</v>
      </c>
      <c r="F432" s="62">
        <f t="shared" si="102"/>
        <v>0</v>
      </c>
      <c r="G432" s="62">
        <f t="shared" si="102"/>
        <v>0</v>
      </c>
      <c r="H432" s="62">
        <f t="shared" si="102"/>
        <v>0</v>
      </c>
      <c r="I432" s="62">
        <f t="shared" si="102"/>
        <v>0</v>
      </c>
      <c r="J432" s="62">
        <f t="shared" si="102"/>
        <v>0</v>
      </c>
      <c r="K432" s="62">
        <f t="shared" si="102"/>
        <v>0</v>
      </c>
      <c r="L432" s="62">
        <f t="shared" si="102"/>
        <v>0</v>
      </c>
      <c r="M432" s="62">
        <f t="shared" si="102"/>
        <v>0</v>
      </c>
      <c r="N432" s="62">
        <f t="shared" si="102"/>
        <v>0</v>
      </c>
      <c r="O432" s="62">
        <f t="shared" si="102"/>
        <v>0</v>
      </c>
      <c r="Q432" s="35"/>
      <c r="S432" s="238"/>
      <c r="T432" s="238"/>
      <c r="U432" s="238"/>
      <c r="V432" s="238"/>
      <c r="W432" s="238"/>
      <c r="X432" s="238"/>
      <c r="Y432" s="238"/>
      <c r="Z432" s="238"/>
      <c r="AA432" s="238"/>
      <c r="AB432" s="238"/>
    </row>
    <row r="433" spans="2:28" s="22" customFormat="1" x14ac:dyDescent="0.3">
      <c r="B433" s="35"/>
      <c r="Q433" s="35"/>
      <c r="S433" s="238"/>
      <c r="T433" s="238"/>
      <c r="U433" s="238"/>
      <c r="V433" s="238"/>
      <c r="W433" s="238"/>
      <c r="X433" s="238"/>
      <c r="Y433" s="238"/>
      <c r="Z433" s="238"/>
      <c r="AA433" s="238"/>
      <c r="AB433" s="238"/>
    </row>
    <row r="434" spans="2:28" x14ac:dyDescent="0.3">
      <c r="B434" s="35"/>
      <c r="C434" s="40" t="s">
        <v>152</v>
      </c>
      <c r="D434" s="43" t="s">
        <v>47</v>
      </c>
      <c r="E434" s="92" t="s">
        <v>92</v>
      </c>
      <c r="F434" s="162" t="e">
        <f>(F422/E422)/(1+'Date macro-economice'!F$9)-1</f>
        <v>#DIV/0!</v>
      </c>
      <c r="G434" s="162" t="e">
        <f>(G422/F422)/(1+'Date macro-economice'!G$9)-1</f>
        <v>#DIV/0!</v>
      </c>
      <c r="H434" s="159">
        <v>0</v>
      </c>
      <c r="I434" s="159">
        <v>0</v>
      </c>
      <c r="J434" s="159">
        <v>0</v>
      </c>
      <c r="K434" s="159">
        <v>0</v>
      </c>
      <c r="L434" s="159">
        <v>0</v>
      </c>
      <c r="M434" s="159">
        <v>0</v>
      </c>
      <c r="N434" s="159">
        <v>0</v>
      </c>
      <c r="O434" s="159">
        <v>0</v>
      </c>
      <c r="Q434" s="35"/>
      <c r="S434" s="238"/>
      <c r="T434" s="238"/>
      <c r="U434" s="238"/>
      <c r="V434" s="238"/>
      <c r="W434" s="238"/>
      <c r="X434" s="238"/>
      <c r="Y434" s="238"/>
      <c r="Z434" s="238"/>
      <c r="AA434" s="238"/>
      <c r="AB434" s="238"/>
    </row>
    <row r="435" spans="2:28" x14ac:dyDescent="0.3">
      <c r="B435" s="35"/>
      <c r="Q435" s="35"/>
      <c r="S435" s="238"/>
      <c r="T435" s="238"/>
      <c r="U435" s="238"/>
      <c r="V435" s="238"/>
      <c r="W435" s="238"/>
      <c r="X435" s="238"/>
      <c r="Y435" s="238"/>
      <c r="Z435" s="238"/>
      <c r="AA435" s="238"/>
      <c r="AB435" s="238"/>
    </row>
    <row r="436" spans="2:28" s="22" customFormat="1" x14ac:dyDescent="0.3">
      <c r="B436" s="35"/>
      <c r="C436" s="66" t="s">
        <v>153</v>
      </c>
      <c r="D436" s="40"/>
      <c r="E436" s="40"/>
      <c r="F436" s="40"/>
      <c r="G436" s="40"/>
      <c r="H436" s="40"/>
      <c r="I436" s="40"/>
      <c r="J436" s="40"/>
      <c r="K436" s="40"/>
      <c r="L436" s="40"/>
      <c r="M436" s="40"/>
      <c r="N436" s="40"/>
      <c r="O436" s="40"/>
      <c r="Q436" s="35"/>
      <c r="S436" s="238"/>
      <c r="T436" s="238"/>
      <c r="U436" s="238"/>
      <c r="V436" s="238"/>
      <c r="W436" s="238"/>
      <c r="X436" s="238"/>
      <c r="Y436" s="238"/>
      <c r="Z436" s="238"/>
      <c r="AA436" s="238"/>
      <c r="AB436" s="238"/>
    </row>
    <row r="437" spans="2:28" s="22" customFormat="1" x14ac:dyDescent="0.3">
      <c r="B437" s="35"/>
      <c r="C437" s="40" t="s">
        <v>154</v>
      </c>
      <c r="D437" s="43" t="s">
        <v>155</v>
      </c>
      <c r="E437" s="87">
        <v>0</v>
      </c>
      <c r="F437" s="87">
        <v>0</v>
      </c>
      <c r="G437" s="87">
        <v>0</v>
      </c>
      <c r="H437" s="87">
        <f>G437</f>
        <v>0</v>
      </c>
      <c r="I437" s="87">
        <f t="shared" ref="I437:O437" si="103">H437</f>
        <v>0</v>
      </c>
      <c r="J437" s="87">
        <f t="shared" si="103"/>
        <v>0</v>
      </c>
      <c r="K437" s="87">
        <f t="shared" si="103"/>
        <v>0</v>
      </c>
      <c r="L437" s="87">
        <f t="shared" si="103"/>
        <v>0</v>
      </c>
      <c r="M437" s="87">
        <f t="shared" si="103"/>
        <v>0</v>
      </c>
      <c r="N437" s="87">
        <f t="shared" si="103"/>
        <v>0</v>
      </c>
      <c r="O437" s="87">
        <f t="shared" si="103"/>
        <v>0</v>
      </c>
      <c r="Q437" s="35"/>
      <c r="S437" s="238"/>
      <c r="T437" s="238"/>
      <c r="U437" s="238"/>
      <c r="V437" s="238"/>
      <c r="W437" s="238"/>
      <c r="X437" s="238"/>
      <c r="Y437" s="238"/>
      <c r="Z437" s="238"/>
      <c r="AA437" s="238"/>
      <c r="AB437" s="238"/>
    </row>
    <row r="438" spans="2:28" s="22" customFormat="1" x14ac:dyDescent="0.3">
      <c r="B438" s="35"/>
      <c r="C438" s="40" t="s">
        <v>156</v>
      </c>
      <c r="D438" s="43" t="s">
        <v>157</v>
      </c>
      <c r="E438" s="105" t="e">
        <f>E437/Cererea!E124</f>
        <v>#DIV/0!</v>
      </c>
      <c r="F438" s="105" t="e">
        <f>F437/Cererea!F124</f>
        <v>#DIV/0!</v>
      </c>
      <c r="G438" s="105" t="e">
        <f>G437/Cererea!G124</f>
        <v>#DIV/0!</v>
      </c>
      <c r="H438" s="105" t="e">
        <f>H437/Cererea!H124</f>
        <v>#DIV/0!</v>
      </c>
      <c r="I438" s="105" t="e">
        <f>I437/Cererea!I124</f>
        <v>#DIV/0!</v>
      </c>
      <c r="J438" s="105" t="e">
        <f>J437/Cererea!J124</f>
        <v>#DIV/0!</v>
      </c>
      <c r="K438" s="105" t="e">
        <f>K437/Cererea!K124</f>
        <v>#DIV/0!</v>
      </c>
      <c r="L438" s="105" t="e">
        <f>L437/Cererea!L124</f>
        <v>#DIV/0!</v>
      </c>
      <c r="M438" s="105" t="e">
        <f>M437/Cererea!M124</f>
        <v>#DIV/0!</v>
      </c>
      <c r="N438" s="105" t="e">
        <f>N437/Cererea!N124</f>
        <v>#DIV/0!</v>
      </c>
      <c r="O438" s="105" t="e">
        <f>O437/Cererea!O124</f>
        <v>#DIV/0!</v>
      </c>
      <c r="Q438" s="35"/>
      <c r="S438" s="238"/>
      <c r="T438" s="238"/>
      <c r="U438" s="238"/>
      <c r="V438" s="238"/>
      <c r="W438" s="238"/>
      <c r="X438" s="238"/>
      <c r="Y438" s="238"/>
      <c r="Z438" s="238"/>
      <c r="AA438" s="238"/>
      <c r="AB438" s="238"/>
    </row>
    <row r="439" spans="2:28" s="22" customFormat="1" x14ac:dyDescent="0.3">
      <c r="B439" s="35"/>
      <c r="C439" s="40" t="s">
        <v>147</v>
      </c>
      <c r="D439" s="43" t="s">
        <v>158</v>
      </c>
      <c r="E439" s="150" t="e">
        <f>E423/E437</f>
        <v>#DIV/0!</v>
      </c>
      <c r="F439" s="150" t="e">
        <f>F423/F437</f>
        <v>#DIV/0!</v>
      </c>
      <c r="G439" s="150" t="e">
        <f>G423/G437</f>
        <v>#DIV/0!</v>
      </c>
      <c r="H439" s="170" t="e">
        <f>G439*(1+'Date macro-economice'!H$9)*(1+H440)</f>
        <v>#DIV/0!</v>
      </c>
      <c r="I439" s="170" t="e">
        <f>H439*(1+'Date macro-economice'!I$9)*(1+I440)</f>
        <v>#DIV/0!</v>
      </c>
      <c r="J439" s="170" t="e">
        <f>I439*(1+'Date macro-economice'!J$9)*(1+J440)</f>
        <v>#DIV/0!</v>
      </c>
      <c r="K439" s="170" t="e">
        <f>J439*(1+'Date macro-economice'!K$9)*(1+K440)</f>
        <v>#DIV/0!</v>
      </c>
      <c r="L439" s="170" t="e">
        <f>K439*(1+'Date macro-economice'!L$9)*(1+L440)</f>
        <v>#DIV/0!</v>
      </c>
      <c r="M439" s="170" t="e">
        <f>L439*(1+'Date macro-economice'!M$9)*(1+M440)</f>
        <v>#DIV/0!</v>
      </c>
      <c r="N439" s="170" t="e">
        <f>M439*(1+'Date macro-economice'!N$9)*(1+N440)</f>
        <v>#DIV/0!</v>
      </c>
      <c r="O439" s="170" t="e">
        <f>N439*(1+'Date macro-economice'!O$9)*(1+O440)</f>
        <v>#DIV/0!</v>
      </c>
      <c r="Q439" s="35"/>
      <c r="S439" s="238"/>
      <c r="T439" s="238"/>
      <c r="U439" s="238"/>
      <c r="V439" s="238"/>
      <c r="W439" s="238"/>
      <c r="X439" s="238"/>
      <c r="Y439" s="238"/>
      <c r="Z439" s="238"/>
      <c r="AA439" s="238"/>
      <c r="AB439" s="238"/>
    </row>
    <row r="440" spans="2:28" s="22" customFormat="1" x14ac:dyDescent="0.3">
      <c r="B440" s="35"/>
      <c r="C440" s="40" t="s">
        <v>148</v>
      </c>
      <c r="D440" s="43" t="s">
        <v>47</v>
      </c>
      <c r="E440" s="158" t="s">
        <v>92</v>
      </c>
      <c r="F440" s="36" t="e">
        <f>(F439/E439)/(1+'Date macro-economice'!F$9)-1</f>
        <v>#DIV/0!</v>
      </c>
      <c r="G440" s="36" t="e">
        <f>(G439/F439)/(1+'Date macro-economice'!G$9)-1</f>
        <v>#DIV/0!</v>
      </c>
      <c r="H440" s="159">
        <v>0</v>
      </c>
      <c r="I440" s="159">
        <v>0</v>
      </c>
      <c r="J440" s="159">
        <v>0</v>
      </c>
      <c r="K440" s="159">
        <v>0</v>
      </c>
      <c r="L440" s="159">
        <v>0</v>
      </c>
      <c r="M440" s="159">
        <v>0</v>
      </c>
      <c r="N440" s="159">
        <v>0</v>
      </c>
      <c r="O440" s="159">
        <v>0</v>
      </c>
      <c r="Q440" s="35"/>
      <c r="S440" s="238"/>
      <c r="T440" s="238"/>
      <c r="U440" s="238"/>
      <c r="V440" s="238"/>
      <c r="W440" s="238"/>
      <c r="X440" s="238"/>
      <c r="Y440" s="238"/>
      <c r="Z440" s="238"/>
      <c r="AA440" s="238"/>
      <c r="AB440" s="238"/>
    </row>
    <row r="441" spans="2:28" x14ac:dyDescent="0.3">
      <c r="B441" s="35"/>
      <c r="C441" s="81" t="s">
        <v>149</v>
      </c>
      <c r="D441" s="82" t="s">
        <v>141</v>
      </c>
      <c r="E441" s="91">
        <f>E423</f>
        <v>0</v>
      </c>
      <c r="F441" s="91">
        <f>F423</f>
        <v>0</v>
      </c>
      <c r="G441" s="91">
        <f>G423</f>
        <v>0</v>
      </c>
      <c r="H441" s="91">
        <f>IFERROR(H437*H439,0)</f>
        <v>0</v>
      </c>
      <c r="I441" s="91">
        <f t="shared" ref="I441:O441" si="104">IFERROR(I437*I439,0)</f>
        <v>0</v>
      </c>
      <c r="J441" s="91">
        <f t="shared" si="104"/>
        <v>0</v>
      </c>
      <c r="K441" s="91">
        <f t="shared" si="104"/>
        <v>0</v>
      </c>
      <c r="L441" s="91">
        <f t="shared" si="104"/>
        <v>0</v>
      </c>
      <c r="M441" s="91">
        <f t="shared" si="104"/>
        <v>0</v>
      </c>
      <c r="N441" s="91">
        <f t="shared" si="104"/>
        <v>0</v>
      </c>
      <c r="O441" s="91">
        <f t="shared" si="104"/>
        <v>0</v>
      </c>
      <c r="Q441" s="35"/>
      <c r="S441" s="238"/>
      <c r="T441" s="238"/>
      <c r="U441" s="238"/>
      <c r="V441" s="238"/>
      <c r="W441" s="238"/>
      <c r="X441" s="238"/>
      <c r="Y441" s="238"/>
      <c r="Z441" s="238"/>
      <c r="AA441" s="238"/>
      <c r="AB441" s="238"/>
    </row>
    <row r="442" spans="2:28" x14ac:dyDescent="0.3">
      <c r="B442" s="35"/>
      <c r="Q442" s="35"/>
      <c r="S442" s="238"/>
      <c r="T442" s="238"/>
      <c r="U442" s="238"/>
      <c r="V442" s="238"/>
      <c r="W442" s="238"/>
      <c r="X442" s="238"/>
      <c r="Y442" s="238"/>
      <c r="Z442" s="238"/>
      <c r="AA442" s="238"/>
      <c r="AB442" s="238"/>
    </row>
    <row r="443" spans="2:28" x14ac:dyDescent="0.3">
      <c r="B443" s="35"/>
      <c r="C443" s="66" t="s">
        <v>159</v>
      </c>
      <c r="Q443" s="35"/>
      <c r="S443" s="238"/>
      <c r="T443" s="238"/>
      <c r="U443" s="238"/>
      <c r="V443" s="238"/>
      <c r="W443" s="238"/>
      <c r="X443" s="238"/>
      <c r="Y443" s="238"/>
      <c r="Z443" s="238"/>
      <c r="AA443" s="238"/>
      <c r="AB443" s="238"/>
    </row>
    <row r="444" spans="2:28" x14ac:dyDescent="0.3">
      <c r="B444" s="35"/>
      <c r="C444" s="40" t="s">
        <v>160</v>
      </c>
      <c r="D444" s="43" t="s">
        <v>141</v>
      </c>
      <c r="E444" s="87">
        <v>0</v>
      </c>
      <c r="F444" s="87">
        <v>0</v>
      </c>
      <c r="G444" s="87">
        <v>0</v>
      </c>
      <c r="H444" s="88">
        <f>H447*H448*12</f>
        <v>0</v>
      </c>
      <c r="I444" s="88">
        <f t="shared" ref="I444:O444" si="105">I447*I448*12</f>
        <v>0</v>
      </c>
      <c r="J444" s="88">
        <f t="shared" si="105"/>
        <v>0</v>
      </c>
      <c r="K444" s="88">
        <f t="shared" si="105"/>
        <v>0</v>
      </c>
      <c r="L444" s="88">
        <f t="shared" si="105"/>
        <v>0</v>
      </c>
      <c r="M444" s="88">
        <f t="shared" si="105"/>
        <v>0</v>
      </c>
      <c r="N444" s="88">
        <f t="shared" si="105"/>
        <v>0</v>
      </c>
      <c r="O444" s="88">
        <f t="shared" si="105"/>
        <v>0</v>
      </c>
      <c r="Q444" s="35"/>
      <c r="S444" s="238"/>
      <c r="T444" s="238"/>
      <c r="U444" s="238"/>
      <c r="V444" s="238"/>
      <c r="W444" s="238"/>
      <c r="X444" s="238"/>
      <c r="Y444" s="238"/>
      <c r="Z444" s="238"/>
      <c r="AA444" s="238"/>
      <c r="AB444" s="238"/>
    </row>
    <row r="445" spans="2:28" x14ac:dyDescent="0.3">
      <c r="B445" s="35"/>
      <c r="C445" s="40" t="s">
        <v>161</v>
      </c>
      <c r="D445" s="43" t="s">
        <v>141</v>
      </c>
      <c r="E445" s="87">
        <v>0</v>
      </c>
      <c r="F445" s="87">
        <v>0</v>
      </c>
      <c r="G445" s="87">
        <v>0</v>
      </c>
      <c r="H445" s="88">
        <f>H447*H449*12</f>
        <v>0</v>
      </c>
      <c r="I445" s="88">
        <f t="shared" ref="I445:O445" si="106">I447*I449*12</f>
        <v>0</v>
      </c>
      <c r="J445" s="88">
        <f t="shared" si="106"/>
        <v>0</v>
      </c>
      <c r="K445" s="88">
        <f t="shared" si="106"/>
        <v>0</v>
      </c>
      <c r="L445" s="88">
        <f t="shared" si="106"/>
        <v>0</v>
      </c>
      <c r="M445" s="88">
        <f t="shared" si="106"/>
        <v>0</v>
      </c>
      <c r="N445" s="88">
        <f t="shared" si="106"/>
        <v>0</v>
      </c>
      <c r="O445" s="88">
        <f t="shared" si="106"/>
        <v>0</v>
      </c>
      <c r="Q445" s="35"/>
      <c r="S445" s="238"/>
      <c r="T445" s="238"/>
      <c r="U445" s="238"/>
      <c r="V445" s="238"/>
      <c r="W445" s="238"/>
      <c r="X445" s="238"/>
      <c r="Y445" s="238"/>
      <c r="Z445" s="238"/>
      <c r="AA445" s="238"/>
      <c r="AB445" s="238"/>
    </row>
    <row r="446" spans="2:28" x14ac:dyDescent="0.3">
      <c r="B446" s="35"/>
      <c r="C446" s="155" t="s">
        <v>162</v>
      </c>
      <c r="D446" s="129" t="s">
        <v>141</v>
      </c>
      <c r="E446" s="88">
        <f>E424-E444-E445</f>
        <v>0</v>
      </c>
      <c r="F446" s="88">
        <f>F424-F444-F445</f>
        <v>0</v>
      </c>
      <c r="G446" s="88">
        <f>G424-G444-G445</f>
        <v>0</v>
      </c>
      <c r="H446" s="88">
        <f t="shared" ref="H446:O446" si="107">H447*H450*12</f>
        <v>0</v>
      </c>
      <c r="I446" s="88">
        <f t="shared" si="107"/>
        <v>0</v>
      </c>
      <c r="J446" s="88">
        <f t="shared" si="107"/>
        <v>0</v>
      </c>
      <c r="K446" s="88">
        <f t="shared" si="107"/>
        <v>0</v>
      </c>
      <c r="L446" s="88">
        <f t="shared" si="107"/>
        <v>0</v>
      </c>
      <c r="M446" s="88">
        <f t="shared" si="107"/>
        <v>0</v>
      </c>
      <c r="N446" s="88">
        <f t="shared" si="107"/>
        <v>0</v>
      </c>
      <c r="O446" s="88">
        <f t="shared" si="107"/>
        <v>0</v>
      </c>
      <c r="Q446" s="35"/>
      <c r="S446" s="238"/>
      <c r="T446" s="238"/>
      <c r="U446" s="238"/>
      <c r="V446" s="238"/>
      <c r="W446" s="238"/>
      <c r="X446" s="238"/>
      <c r="Y446" s="238"/>
      <c r="Z446" s="238"/>
      <c r="AA446" s="238"/>
      <c r="AB446" s="238"/>
    </row>
    <row r="447" spans="2:28" x14ac:dyDescent="0.3">
      <c r="B447" s="35"/>
      <c r="C447" s="40" t="s">
        <v>163</v>
      </c>
      <c r="D447" s="43" t="s">
        <v>14</v>
      </c>
      <c r="E447" s="87">
        <v>0</v>
      </c>
      <c r="F447" s="87">
        <v>0</v>
      </c>
      <c r="G447" s="87">
        <v>0</v>
      </c>
      <c r="H447" s="87">
        <v>0</v>
      </c>
      <c r="I447" s="87">
        <v>0</v>
      </c>
      <c r="J447" s="87">
        <v>0</v>
      </c>
      <c r="K447" s="87">
        <v>0</v>
      </c>
      <c r="L447" s="87">
        <v>0</v>
      </c>
      <c r="M447" s="87">
        <v>0</v>
      </c>
      <c r="N447" s="87">
        <v>0</v>
      </c>
      <c r="O447" s="87">
        <v>0</v>
      </c>
      <c r="Q447" s="35"/>
      <c r="S447" s="238"/>
      <c r="T447" s="238"/>
      <c r="U447" s="238"/>
      <c r="V447" s="238"/>
      <c r="W447" s="238"/>
      <c r="X447" s="238"/>
      <c r="Y447" s="238"/>
      <c r="Z447" s="238"/>
      <c r="AA447" s="238"/>
      <c r="AB447" s="238"/>
    </row>
    <row r="448" spans="2:28" x14ac:dyDescent="0.3">
      <c r="B448" s="35"/>
      <c r="C448" s="40" t="s">
        <v>164</v>
      </c>
      <c r="D448" s="163" t="s">
        <v>165</v>
      </c>
      <c r="E448" s="88" t="e">
        <f>E444/E447/12</f>
        <v>#DIV/0!</v>
      </c>
      <c r="F448" s="88" t="e">
        <f>F444/F447/12</f>
        <v>#DIV/0!</v>
      </c>
      <c r="G448" s="88" t="e">
        <f>G444/G447/12</f>
        <v>#DIV/0!</v>
      </c>
      <c r="H448" s="88">
        <f>IFERROR(G448*(1+'Date macro-economice'!H$9)*(1+'Date macro-economice'!H$11*'Costuri operare'!H454)*(1+'Costuri operare'!H451),0)</f>
        <v>0</v>
      </c>
      <c r="I448" s="88">
        <f>H448*(1+'Date macro-economice'!I$9)*(1+'Date macro-economice'!I$11*'Costuri operare'!I454)*(1+'Costuri operare'!I451)</f>
        <v>0</v>
      </c>
      <c r="J448" s="88">
        <f>I448*(1+'Date macro-economice'!J$9)*(1+'Date macro-economice'!J$11*'Costuri operare'!J454)*(1+'Costuri operare'!J451)</f>
        <v>0</v>
      </c>
      <c r="K448" s="88">
        <f>J448*(1+'Date macro-economice'!K$9)*(1+'Date macro-economice'!K$11*'Costuri operare'!K454)*(1+'Costuri operare'!K451)</f>
        <v>0</v>
      </c>
      <c r="L448" s="88">
        <f>K448*(1+'Date macro-economice'!L$9)*(1+'Date macro-economice'!L$11*'Costuri operare'!L454)*(1+'Costuri operare'!L451)</f>
        <v>0</v>
      </c>
      <c r="M448" s="88">
        <f>L448*(1+'Date macro-economice'!M$9)*(1+'Date macro-economice'!M$11*'Costuri operare'!M454)*(1+'Costuri operare'!M451)</f>
        <v>0</v>
      </c>
      <c r="N448" s="88">
        <f>M448*(1+'Date macro-economice'!N$9)*(1+'Date macro-economice'!N$11*'Costuri operare'!N454)*(1+'Costuri operare'!N451)</f>
        <v>0</v>
      </c>
      <c r="O448" s="88">
        <f>N448*(1+'Date macro-economice'!O$9)*(1+'Date macro-economice'!O$11*'Costuri operare'!O454)*(1+'Costuri operare'!O451)</f>
        <v>0</v>
      </c>
      <c r="Q448" s="35"/>
      <c r="S448" s="238"/>
      <c r="T448" s="238"/>
      <c r="U448" s="238"/>
      <c r="V448" s="238"/>
      <c r="W448" s="238"/>
      <c r="X448" s="238"/>
      <c r="Y448" s="238"/>
      <c r="Z448" s="238"/>
      <c r="AA448" s="238"/>
      <c r="AB448" s="238"/>
    </row>
    <row r="449" spans="2:28" ht="28.8" x14ac:dyDescent="0.3">
      <c r="B449" s="35"/>
      <c r="C449" s="40" t="s">
        <v>166</v>
      </c>
      <c r="D449" s="163" t="s">
        <v>165</v>
      </c>
      <c r="E449" s="88" t="e">
        <f>E445/E447/12</f>
        <v>#DIV/0!</v>
      </c>
      <c r="F449" s="88" t="e">
        <f>F445/F447/12</f>
        <v>#DIV/0!</v>
      </c>
      <c r="G449" s="88" t="e">
        <f>G445/G447/12</f>
        <v>#DIV/0!</v>
      </c>
      <c r="H449" s="88">
        <f>IFERROR(G449*(1+'Date macro-economice'!H$9)*(1+'Date macro-economice'!H$11*'Costuri operare'!H454)*(1+'Costuri operare'!H452),0)</f>
        <v>0</v>
      </c>
      <c r="I449" s="88">
        <f>H449*(1+'Date macro-economice'!I$9)*(1+'Date macro-economice'!I$11*'Costuri operare'!I454)*(1+'Costuri operare'!I452)</f>
        <v>0</v>
      </c>
      <c r="J449" s="88">
        <f>I449*(1+'Date macro-economice'!J$9)*(1+'Date macro-economice'!J$11*'Costuri operare'!J454)*(1+'Costuri operare'!J452)</f>
        <v>0</v>
      </c>
      <c r="K449" s="88">
        <f>J449*(1+'Date macro-economice'!K$9)*(1+'Date macro-economice'!K$11*'Costuri operare'!K454)*(1+'Costuri operare'!K452)</f>
        <v>0</v>
      </c>
      <c r="L449" s="88">
        <f>K449*(1+'Date macro-economice'!L$9)*(1+'Date macro-economice'!L$11*'Costuri operare'!L454)*(1+'Costuri operare'!L452)</f>
        <v>0</v>
      </c>
      <c r="M449" s="88">
        <f>L449*(1+'Date macro-economice'!M$9)*(1+'Date macro-economice'!M$11*'Costuri operare'!M454)*(1+'Costuri operare'!M452)</f>
        <v>0</v>
      </c>
      <c r="N449" s="88">
        <f>M449*(1+'Date macro-economice'!N$9)*(1+'Date macro-economice'!N$11*'Costuri operare'!N454)*(1+'Costuri operare'!N452)</f>
        <v>0</v>
      </c>
      <c r="O449" s="88">
        <f>N449*(1+'Date macro-economice'!O$9)*(1+'Date macro-economice'!O$11*'Costuri operare'!O454)*(1+'Costuri operare'!O452)</f>
        <v>0</v>
      </c>
      <c r="Q449" s="35"/>
      <c r="S449" s="238"/>
      <c r="T449" s="238"/>
      <c r="U449" s="238"/>
      <c r="V449" s="238"/>
      <c r="W449" s="238"/>
      <c r="X449" s="238"/>
      <c r="Y449" s="238"/>
      <c r="Z449" s="238"/>
      <c r="AA449" s="238"/>
      <c r="AB449" s="238"/>
    </row>
    <row r="450" spans="2:28" x14ac:dyDescent="0.3">
      <c r="B450" s="35"/>
      <c r="C450" s="155" t="s">
        <v>167</v>
      </c>
      <c r="D450" s="164" t="s">
        <v>165</v>
      </c>
      <c r="E450" s="131" t="e">
        <f>E446/E447/12</f>
        <v>#DIV/0!</v>
      </c>
      <c r="F450" s="131" t="e">
        <f>F446/F447/12</f>
        <v>#DIV/0!</v>
      </c>
      <c r="G450" s="131" t="e">
        <f>G446/G447/12</f>
        <v>#DIV/0!</v>
      </c>
      <c r="H450" s="88">
        <f>IFERROR(G450*(1+'Date macro-economice'!H$9)*(1+'Date macro-economice'!H$11*'Costuri operare'!H454)*(1+'Costuri operare'!H453),0)</f>
        <v>0</v>
      </c>
      <c r="I450" s="88">
        <f>H450*(1+'Date macro-economice'!I$9)*(1+'Date macro-economice'!I$11*'Costuri operare'!I454)*(1+'Costuri operare'!I453)</f>
        <v>0</v>
      </c>
      <c r="J450" s="88">
        <f>I450*(1+'Date macro-economice'!J$9)*(1+'Date macro-economice'!J$11*'Costuri operare'!J454)*(1+'Costuri operare'!J453)</f>
        <v>0</v>
      </c>
      <c r="K450" s="88">
        <f>J450*(1+'Date macro-economice'!K$9)*(1+'Date macro-economice'!K$11*'Costuri operare'!K454)*(1+'Costuri operare'!K453)</f>
        <v>0</v>
      </c>
      <c r="L450" s="88">
        <f>K450*(1+'Date macro-economice'!L$9)*(1+'Date macro-economice'!L$11*'Costuri operare'!L454)*(1+'Costuri operare'!L453)</f>
        <v>0</v>
      </c>
      <c r="M450" s="88">
        <f>L450*(1+'Date macro-economice'!M$9)*(1+'Date macro-economice'!M$11*'Costuri operare'!M454)*(1+'Costuri operare'!M453)</f>
        <v>0</v>
      </c>
      <c r="N450" s="88">
        <f>M450*(1+'Date macro-economice'!N$9)*(1+'Date macro-economice'!N$11*'Costuri operare'!N454)*(1+'Costuri operare'!N453)</f>
        <v>0</v>
      </c>
      <c r="O450" s="88">
        <f>N450*(1+'Date macro-economice'!O$9)*(1+'Date macro-economice'!O$11*'Costuri operare'!O454)*(1+'Costuri operare'!O453)</f>
        <v>0</v>
      </c>
      <c r="Q450" s="35"/>
      <c r="S450" s="238"/>
      <c r="T450" s="238"/>
      <c r="U450" s="238"/>
      <c r="V450" s="238"/>
      <c r="W450" s="238"/>
      <c r="X450" s="238"/>
      <c r="Y450" s="238"/>
      <c r="Z450" s="238"/>
      <c r="AA450" s="238"/>
      <c r="AB450" s="238"/>
    </row>
    <row r="451" spans="2:28" s="22" customFormat="1" ht="28.8" x14ac:dyDescent="0.3">
      <c r="B451" s="35"/>
      <c r="C451" s="40" t="s">
        <v>168</v>
      </c>
      <c r="D451" s="43" t="s">
        <v>47</v>
      </c>
      <c r="E451" s="92" t="s">
        <v>92</v>
      </c>
      <c r="F451" s="36" t="e">
        <f>(F448/E448)/((1+'Date macro-economice'!F$9)*(1+'Date macro-economice'!F$11*F$58))-1</f>
        <v>#DIV/0!</v>
      </c>
      <c r="G451" s="36" t="e">
        <f>(G448/F448)/((1+'Date macro-economice'!G$9)*(1+'Date macro-economice'!G$11*G$58))-1</f>
        <v>#DIV/0!</v>
      </c>
      <c r="H451" s="159">
        <v>0</v>
      </c>
      <c r="I451" s="159">
        <v>0</v>
      </c>
      <c r="J451" s="159">
        <v>0</v>
      </c>
      <c r="K451" s="159">
        <v>0</v>
      </c>
      <c r="L451" s="159">
        <v>0</v>
      </c>
      <c r="M451" s="159">
        <v>0</v>
      </c>
      <c r="N451" s="159">
        <v>0</v>
      </c>
      <c r="O451" s="159">
        <v>0</v>
      </c>
      <c r="Q451" s="35"/>
      <c r="S451" s="238"/>
      <c r="T451" s="238"/>
      <c r="U451" s="238"/>
      <c r="V451" s="238"/>
      <c r="W451" s="238"/>
      <c r="X451" s="238"/>
      <c r="Y451" s="238"/>
      <c r="Z451" s="238"/>
      <c r="AA451" s="238"/>
      <c r="AB451" s="238"/>
    </row>
    <row r="452" spans="2:28" s="22" customFormat="1" ht="43.2" x14ac:dyDescent="0.3">
      <c r="B452" s="35"/>
      <c r="C452" s="40" t="s">
        <v>169</v>
      </c>
      <c r="D452" s="43" t="s">
        <v>47</v>
      </c>
      <c r="E452" s="92" t="s">
        <v>92</v>
      </c>
      <c r="F452" s="36" t="e">
        <f>(F449/E449)/((1+'Date macro-economice'!F$9)*(1+'Date macro-economice'!F$11*F$58))-1</f>
        <v>#DIV/0!</v>
      </c>
      <c r="G452" s="36" t="e">
        <f>(G449/F449)/((1+'Date macro-economice'!G$9)*(1+'Date macro-economice'!G$11*G$58))-1</f>
        <v>#DIV/0!</v>
      </c>
      <c r="H452" s="159">
        <v>0</v>
      </c>
      <c r="I452" s="159">
        <v>0</v>
      </c>
      <c r="J452" s="159">
        <v>0</v>
      </c>
      <c r="K452" s="159">
        <v>0</v>
      </c>
      <c r="L452" s="159">
        <v>0</v>
      </c>
      <c r="M452" s="159">
        <v>0</v>
      </c>
      <c r="N452" s="159">
        <v>0</v>
      </c>
      <c r="O452" s="159">
        <v>0</v>
      </c>
      <c r="Q452" s="35"/>
      <c r="S452" s="238"/>
      <c r="T452" s="238"/>
      <c r="U452" s="238"/>
      <c r="V452" s="238"/>
      <c r="W452" s="238"/>
      <c r="X452" s="238"/>
      <c r="Y452" s="238"/>
      <c r="Z452" s="238"/>
      <c r="AA452" s="238"/>
      <c r="AB452" s="238"/>
    </row>
    <row r="453" spans="2:28" s="22" customFormat="1" ht="43.2" x14ac:dyDescent="0.3">
      <c r="B453" s="35"/>
      <c r="C453" s="40" t="s">
        <v>169</v>
      </c>
      <c r="D453" s="43" t="s">
        <v>47</v>
      </c>
      <c r="E453" s="92" t="s">
        <v>92</v>
      </c>
      <c r="F453" s="36" t="e">
        <f>(F450/E450)/((1+'Date macro-economice'!F$9)*(1+'Date macro-economice'!F$11*F$58))-1</f>
        <v>#DIV/0!</v>
      </c>
      <c r="G453" s="36" t="e">
        <f>(G450/F450)/((1+'Date macro-economice'!G$9)*(1+'Date macro-economice'!G$11*G$58))-1</f>
        <v>#DIV/0!</v>
      </c>
      <c r="H453" s="159">
        <v>0</v>
      </c>
      <c r="I453" s="159">
        <v>0</v>
      </c>
      <c r="J453" s="159">
        <v>0</v>
      </c>
      <c r="K453" s="159">
        <v>0</v>
      </c>
      <c r="L453" s="159">
        <v>0</v>
      </c>
      <c r="M453" s="159">
        <v>0</v>
      </c>
      <c r="N453" s="159">
        <v>0</v>
      </c>
      <c r="O453" s="159">
        <v>0</v>
      </c>
      <c r="Q453" s="35"/>
      <c r="S453" s="238"/>
      <c r="T453" s="238"/>
      <c r="U453" s="238"/>
      <c r="V453" s="238"/>
      <c r="W453" s="238"/>
      <c r="X453" s="238"/>
      <c r="Y453" s="238"/>
      <c r="Z453" s="238"/>
      <c r="AA453" s="238"/>
      <c r="AB453" s="238"/>
    </row>
    <row r="454" spans="2:28" s="22" customFormat="1" ht="43.2" x14ac:dyDescent="0.3">
      <c r="B454" s="35"/>
      <c r="C454" s="40" t="s">
        <v>171</v>
      </c>
      <c r="D454" s="43" t="s">
        <v>47</v>
      </c>
      <c r="E454" s="92"/>
      <c r="F454" s="165">
        <v>0.75</v>
      </c>
      <c r="G454" s="165">
        <v>0.75</v>
      </c>
      <c r="H454" s="165">
        <v>0.75</v>
      </c>
      <c r="I454" s="165">
        <v>0.75</v>
      </c>
      <c r="J454" s="165">
        <v>0.75</v>
      </c>
      <c r="K454" s="165">
        <v>0.75</v>
      </c>
      <c r="L454" s="165">
        <v>0.75</v>
      </c>
      <c r="M454" s="165">
        <v>0.75</v>
      </c>
      <c r="N454" s="165">
        <v>0.75</v>
      </c>
      <c r="O454" s="165">
        <v>0.75</v>
      </c>
      <c r="Q454" s="35"/>
      <c r="S454" s="238"/>
      <c r="T454" s="238"/>
      <c r="U454" s="238"/>
      <c r="V454" s="238"/>
      <c r="W454" s="238"/>
      <c r="X454" s="238"/>
      <c r="Y454" s="238"/>
      <c r="Z454" s="238"/>
      <c r="AA454" s="238"/>
      <c r="AB454" s="238"/>
    </row>
    <row r="455" spans="2:28" x14ac:dyDescent="0.3">
      <c r="B455" s="35"/>
      <c r="Q455" s="35"/>
      <c r="S455" s="238"/>
      <c r="T455" s="238"/>
      <c r="U455" s="238"/>
      <c r="V455" s="238"/>
      <c r="W455" s="238"/>
      <c r="X455" s="238"/>
      <c r="Y455" s="238"/>
      <c r="Z455" s="238"/>
      <c r="AA455" s="238"/>
      <c r="AB455" s="238"/>
    </row>
    <row r="456" spans="2:28" ht="28.8" x14ac:dyDescent="0.3">
      <c r="B456" s="35"/>
      <c r="C456" s="40" t="s">
        <v>172</v>
      </c>
      <c r="D456" s="43" t="s">
        <v>47</v>
      </c>
      <c r="E456" s="92" t="s">
        <v>92</v>
      </c>
      <c r="F456" s="162" t="e">
        <f>(F425/E425)/(1+'Date macro-economice'!F$9)-1</f>
        <v>#DIV/0!</v>
      </c>
      <c r="G456" s="162" t="e">
        <f>(G425/F425)/(1+'Date macro-economice'!G$9)-1</f>
        <v>#DIV/0!</v>
      </c>
      <c r="H456" s="159">
        <v>0</v>
      </c>
      <c r="I456" s="159">
        <v>0</v>
      </c>
      <c r="J456" s="159">
        <v>0</v>
      </c>
      <c r="K456" s="159">
        <v>0</v>
      </c>
      <c r="L456" s="159">
        <v>0</v>
      </c>
      <c r="M456" s="159">
        <v>0</v>
      </c>
      <c r="N456" s="159">
        <v>0</v>
      </c>
      <c r="O456" s="159">
        <v>0</v>
      </c>
      <c r="Q456" s="35"/>
      <c r="S456" s="238"/>
      <c r="T456" s="238"/>
      <c r="U456" s="238"/>
      <c r="V456" s="238"/>
      <c r="W456" s="238"/>
      <c r="X456" s="238"/>
      <c r="Y456" s="238"/>
      <c r="Z456" s="238"/>
      <c r="AA456" s="238"/>
      <c r="AB456" s="238"/>
    </row>
    <row r="457" spans="2:28" ht="28.8" x14ac:dyDescent="0.3">
      <c r="B457" s="35"/>
      <c r="C457" s="40" t="s">
        <v>173</v>
      </c>
      <c r="D457" s="43" t="s">
        <v>47</v>
      </c>
      <c r="E457" s="92" t="s">
        <v>92</v>
      </c>
      <c r="F457" s="162" t="e">
        <f>(F426/E426)/(1+'Date macro-economice'!F$9)-1</f>
        <v>#DIV/0!</v>
      </c>
      <c r="G457" s="162" t="e">
        <f>(G426/F426)/(1+'Date macro-economice'!G$9)-1</f>
        <v>#DIV/0!</v>
      </c>
      <c r="H457" s="159">
        <v>0</v>
      </c>
      <c r="I457" s="159">
        <v>0</v>
      </c>
      <c r="J457" s="159">
        <v>0</v>
      </c>
      <c r="K457" s="159">
        <v>0</v>
      </c>
      <c r="L457" s="159">
        <v>0</v>
      </c>
      <c r="M457" s="159">
        <v>0</v>
      </c>
      <c r="N457" s="159">
        <v>0</v>
      </c>
      <c r="O457" s="159">
        <v>0</v>
      </c>
      <c r="Q457" s="35"/>
      <c r="S457" s="238"/>
      <c r="T457" s="238"/>
      <c r="U457" s="238"/>
      <c r="V457" s="238"/>
      <c r="W457" s="238"/>
      <c r="X457" s="238"/>
      <c r="Y457" s="238"/>
      <c r="Z457" s="238"/>
      <c r="AA457" s="238"/>
      <c r="AB457" s="238"/>
    </row>
    <row r="458" spans="2:28" ht="28.8" x14ac:dyDescent="0.3">
      <c r="B458" s="35"/>
      <c r="C458" s="40" t="s">
        <v>174</v>
      </c>
      <c r="D458" s="43" t="s">
        <v>47</v>
      </c>
      <c r="E458" s="92" t="s">
        <v>92</v>
      </c>
      <c r="F458" s="162" t="e">
        <f>(F431/E431)/(1+'Date macro-economice'!F$9)-1</f>
        <v>#DIV/0!</v>
      </c>
      <c r="G458" s="162" t="e">
        <f>(G431/F431)/(1+'Date macro-economice'!G$9)-1</f>
        <v>#DIV/0!</v>
      </c>
      <c r="H458" s="159">
        <v>0</v>
      </c>
      <c r="I458" s="159">
        <v>0</v>
      </c>
      <c r="J458" s="159">
        <v>0</v>
      </c>
      <c r="K458" s="159">
        <v>0</v>
      </c>
      <c r="L458" s="159">
        <v>0</v>
      </c>
      <c r="M458" s="159">
        <v>0</v>
      </c>
      <c r="N458" s="159">
        <v>0</v>
      </c>
      <c r="O458" s="159">
        <v>0</v>
      </c>
      <c r="Q458" s="35"/>
      <c r="S458" s="238"/>
      <c r="T458" s="238"/>
      <c r="U458" s="238"/>
      <c r="V458" s="238"/>
      <c r="W458" s="238"/>
      <c r="X458" s="238"/>
      <c r="Y458" s="238"/>
      <c r="Z458" s="238"/>
      <c r="AA458" s="238"/>
      <c r="AB458" s="238"/>
    </row>
    <row r="459" spans="2:28" x14ac:dyDescent="0.3">
      <c r="B459" s="35"/>
      <c r="Q459" s="35"/>
      <c r="S459" s="238"/>
      <c r="T459" s="238"/>
      <c r="U459" s="238"/>
      <c r="V459" s="238"/>
      <c r="W459" s="238"/>
      <c r="X459" s="238"/>
      <c r="Y459" s="238"/>
      <c r="Z459" s="238"/>
      <c r="AA459" s="238"/>
      <c r="AB459" s="238"/>
    </row>
    <row r="460" spans="2:28" s="22" customFormat="1" x14ac:dyDescent="0.3">
      <c r="B460" s="35"/>
      <c r="C460" s="66" t="s">
        <v>196</v>
      </c>
      <c r="D460" s="40"/>
      <c r="E460" s="40"/>
      <c r="F460" s="40"/>
      <c r="G460" s="40"/>
      <c r="H460" s="40"/>
      <c r="I460" s="40"/>
      <c r="J460" s="40"/>
      <c r="K460" s="40"/>
      <c r="L460" s="40"/>
      <c r="M460" s="40"/>
      <c r="N460" s="40"/>
      <c r="O460" s="40"/>
      <c r="Q460" s="35"/>
      <c r="S460" s="238"/>
      <c r="T460" s="238"/>
      <c r="U460" s="238"/>
      <c r="V460" s="238"/>
      <c r="W460" s="238"/>
      <c r="X460" s="238"/>
      <c r="Y460" s="238"/>
      <c r="Z460" s="238"/>
      <c r="AA460" s="238"/>
      <c r="AB460" s="238"/>
    </row>
    <row r="461" spans="2:28" s="22" customFormat="1" x14ac:dyDescent="0.3">
      <c r="B461" s="35"/>
      <c r="C461" s="40" t="s">
        <v>183</v>
      </c>
      <c r="D461" s="43" t="s">
        <v>184</v>
      </c>
      <c r="E461" s="87">
        <v>0</v>
      </c>
      <c r="F461" s="87">
        <v>0</v>
      </c>
      <c r="G461" s="87">
        <v>0</v>
      </c>
      <c r="H461" s="87">
        <v>0</v>
      </c>
      <c r="I461" s="87">
        <v>0</v>
      </c>
      <c r="J461" s="87">
        <v>0</v>
      </c>
      <c r="K461" s="87">
        <v>0</v>
      </c>
      <c r="L461" s="87">
        <v>0</v>
      </c>
      <c r="M461" s="87">
        <v>0</v>
      </c>
      <c r="N461" s="87">
        <v>0</v>
      </c>
      <c r="O461" s="87">
        <v>0</v>
      </c>
      <c r="Q461" s="35"/>
      <c r="S461" s="238"/>
      <c r="T461" s="238"/>
      <c r="U461" s="238"/>
      <c r="V461" s="238"/>
      <c r="W461" s="238"/>
      <c r="X461" s="238"/>
      <c r="Y461" s="238"/>
      <c r="Z461" s="238"/>
      <c r="AA461" s="238"/>
      <c r="AB461" s="238"/>
    </row>
    <row r="462" spans="2:28" s="22" customFormat="1" x14ac:dyDescent="0.3">
      <c r="B462" s="35"/>
      <c r="C462" s="40" t="s">
        <v>185</v>
      </c>
      <c r="D462" s="43" t="s">
        <v>186</v>
      </c>
      <c r="E462" s="150" t="e">
        <f>E464/E461</f>
        <v>#DIV/0!</v>
      </c>
      <c r="F462" s="150" t="e">
        <f>F464/F461</f>
        <v>#DIV/0!</v>
      </c>
      <c r="G462" s="150" t="e">
        <f>G464/G461</f>
        <v>#DIV/0!</v>
      </c>
      <c r="H462" s="170" t="e">
        <f>G462*(1+'Date macro-economice'!H$9)*(1+H463)</f>
        <v>#DIV/0!</v>
      </c>
      <c r="I462" s="170" t="e">
        <f>H462*(1+'Date macro-economice'!I$9)*(1+I463)</f>
        <v>#DIV/0!</v>
      </c>
      <c r="J462" s="170" t="e">
        <f>I462*(1+'Date macro-economice'!J$9)*(1+J463)</f>
        <v>#DIV/0!</v>
      </c>
      <c r="K462" s="170" t="e">
        <f>J462*(1+'Date macro-economice'!K$9)*(1+K463)</f>
        <v>#DIV/0!</v>
      </c>
      <c r="L462" s="170" t="e">
        <f>K462*(1+'Date macro-economice'!L$9)*(1+L463)</f>
        <v>#DIV/0!</v>
      </c>
      <c r="M462" s="170" t="e">
        <f>L462*(1+'Date macro-economice'!M$9)*(1+M463)</f>
        <v>#DIV/0!</v>
      </c>
      <c r="N462" s="170" t="e">
        <f>M462*(1+'Date macro-economice'!N$9)*(1+N463)</f>
        <v>#DIV/0!</v>
      </c>
      <c r="O462" s="170" t="e">
        <f>N462*(1+'Date macro-economice'!O$9)*(1+O463)</f>
        <v>#DIV/0!</v>
      </c>
      <c r="Q462" s="35"/>
      <c r="S462" s="238"/>
      <c r="T462" s="238"/>
      <c r="U462" s="238"/>
      <c r="V462" s="238"/>
      <c r="W462" s="238"/>
      <c r="X462" s="238"/>
      <c r="Y462" s="238"/>
      <c r="Z462" s="238"/>
      <c r="AA462" s="238"/>
      <c r="AB462" s="238"/>
    </row>
    <row r="463" spans="2:28" s="22" customFormat="1" x14ac:dyDescent="0.3">
      <c r="B463" s="35"/>
      <c r="C463" s="40" t="s">
        <v>148</v>
      </c>
      <c r="D463" s="43" t="s">
        <v>47</v>
      </c>
      <c r="E463" s="158" t="s">
        <v>92</v>
      </c>
      <c r="F463" s="36" t="e">
        <f>(F462/E462)/(1+'Date macro-economice'!F$9)-1</f>
        <v>#DIV/0!</v>
      </c>
      <c r="G463" s="36" t="e">
        <f>(G462/F462)/(1+'Date macro-economice'!G$9)-1</f>
        <v>#DIV/0!</v>
      </c>
      <c r="H463" s="159">
        <v>0</v>
      </c>
      <c r="I463" s="159">
        <v>0</v>
      </c>
      <c r="J463" s="159">
        <v>0</v>
      </c>
      <c r="K463" s="159">
        <v>0</v>
      </c>
      <c r="L463" s="159">
        <v>0</v>
      </c>
      <c r="M463" s="159">
        <v>0</v>
      </c>
      <c r="N463" s="159">
        <v>0</v>
      </c>
      <c r="O463" s="159">
        <v>0</v>
      </c>
      <c r="Q463" s="35"/>
      <c r="S463" s="238"/>
      <c r="T463" s="238"/>
      <c r="U463" s="238"/>
      <c r="V463" s="238"/>
      <c r="W463" s="238"/>
      <c r="X463" s="238"/>
      <c r="Y463" s="238"/>
      <c r="Z463" s="238"/>
      <c r="AA463" s="238"/>
      <c r="AB463" s="238"/>
    </row>
    <row r="464" spans="2:28" x14ac:dyDescent="0.3">
      <c r="B464" s="35"/>
      <c r="C464" s="81" t="s">
        <v>149</v>
      </c>
      <c r="D464" s="82" t="s">
        <v>141</v>
      </c>
      <c r="E464" s="91">
        <f>E430</f>
        <v>0</v>
      </c>
      <c r="F464" s="91">
        <f>F430</f>
        <v>0</v>
      </c>
      <c r="G464" s="91">
        <f>G430</f>
        <v>0</v>
      </c>
      <c r="H464" s="91">
        <f>IFERROR(H461*H462,0)</f>
        <v>0</v>
      </c>
      <c r="I464" s="91">
        <f t="shared" ref="I464:O464" si="108">IFERROR(I461*I462,0)</f>
        <v>0</v>
      </c>
      <c r="J464" s="91">
        <f t="shared" si="108"/>
        <v>0</v>
      </c>
      <c r="K464" s="91">
        <f t="shared" si="108"/>
        <v>0</v>
      </c>
      <c r="L464" s="91">
        <f t="shared" si="108"/>
        <v>0</v>
      </c>
      <c r="M464" s="91">
        <f t="shared" si="108"/>
        <v>0</v>
      </c>
      <c r="N464" s="91">
        <f t="shared" si="108"/>
        <v>0</v>
      </c>
      <c r="O464" s="91">
        <f t="shared" si="108"/>
        <v>0</v>
      </c>
      <c r="Q464" s="35"/>
      <c r="S464" s="238"/>
      <c r="T464" s="238"/>
      <c r="U464" s="238"/>
      <c r="V464" s="238"/>
      <c r="W464" s="238"/>
      <c r="X464" s="238"/>
      <c r="Y464" s="238"/>
      <c r="Z464" s="238"/>
      <c r="AA464" s="238"/>
      <c r="AB464" s="238"/>
    </row>
    <row r="465" spans="2:28" x14ac:dyDescent="0.3">
      <c r="B465" s="35"/>
      <c r="Q465" s="35"/>
      <c r="S465" s="238"/>
      <c r="T465" s="238"/>
      <c r="U465" s="238"/>
      <c r="V465" s="238"/>
      <c r="W465" s="238"/>
      <c r="X465" s="238"/>
      <c r="Y465" s="238"/>
      <c r="Z465" s="238"/>
      <c r="AA465" s="238"/>
      <c r="AB465" s="238"/>
    </row>
    <row r="466" spans="2:28" ht="28.8" x14ac:dyDescent="0.3">
      <c r="B466" s="35"/>
      <c r="C466" s="40" t="s">
        <v>175</v>
      </c>
      <c r="D466" s="43" t="s">
        <v>47</v>
      </c>
      <c r="E466" s="92" t="s">
        <v>92</v>
      </c>
      <c r="F466" s="162" t="e">
        <f>F427/E427-1</f>
        <v>#DIV/0!</v>
      </c>
      <c r="G466" s="162" t="e">
        <f>G427/F427-1</f>
        <v>#DIV/0!</v>
      </c>
      <c r="H466" s="166">
        <f>IFERROR('Amortizare si redeventa'!H267,0)</f>
        <v>0</v>
      </c>
      <c r="I466" s="166">
        <f>IFERROR('Amortizare si redeventa'!I267,0)</f>
        <v>0</v>
      </c>
      <c r="J466" s="166">
        <f>IFERROR('Amortizare si redeventa'!J267,0)</f>
        <v>0</v>
      </c>
      <c r="K466" s="166">
        <f>IFERROR('Amortizare si redeventa'!K267,0)</f>
        <v>0</v>
      </c>
      <c r="L466" s="166">
        <f>IFERROR('Amortizare si redeventa'!L267,0)</f>
        <v>0</v>
      </c>
      <c r="M466" s="166">
        <f>IFERROR('Amortizare si redeventa'!M267,0)</f>
        <v>0</v>
      </c>
      <c r="N466" s="166">
        <f>IFERROR('Amortizare si redeventa'!N267,0)</f>
        <v>0</v>
      </c>
      <c r="O466" s="166">
        <f>IFERROR('Amortizare si redeventa'!O267,0)</f>
        <v>0</v>
      </c>
      <c r="Q466" s="35"/>
      <c r="S466" s="238"/>
      <c r="T466" s="238"/>
      <c r="U466" s="238"/>
      <c r="V466" s="238"/>
      <c r="W466" s="238"/>
      <c r="X466" s="238"/>
      <c r="Y466" s="238"/>
      <c r="Z466" s="238"/>
      <c r="AA466" s="238"/>
      <c r="AB466" s="238"/>
    </row>
    <row r="467" spans="2:28" ht="28.8" x14ac:dyDescent="0.3">
      <c r="B467" s="35"/>
      <c r="C467" s="40" t="s">
        <v>176</v>
      </c>
      <c r="D467" s="43" t="s">
        <v>47</v>
      </c>
      <c r="E467" s="92" t="s">
        <v>92</v>
      </c>
      <c r="F467" s="162" t="e">
        <f>F428/E428-1</f>
        <v>#DIV/0!</v>
      </c>
      <c r="G467" s="162" t="e">
        <f>G428/F428-1</f>
        <v>#DIV/0!</v>
      </c>
      <c r="H467" s="166">
        <f>IFERROR('Amortizare si redeventa'!H273,0)</f>
        <v>0</v>
      </c>
      <c r="I467" s="166">
        <f>IFERROR('Amortizare si redeventa'!I273,0)</f>
        <v>0</v>
      </c>
      <c r="J467" s="166">
        <f>IFERROR('Amortizare si redeventa'!J273,0)</f>
        <v>0</v>
      </c>
      <c r="K467" s="166">
        <f>IFERROR('Amortizare si redeventa'!K273,0)</f>
        <v>0</v>
      </c>
      <c r="L467" s="166">
        <f>IFERROR('Amortizare si redeventa'!L273,0)</f>
        <v>0</v>
      </c>
      <c r="M467" s="166">
        <f>IFERROR('Amortizare si redeventa'!M273,0)</f>
        <v>0</v>
      </c>
      <c r="N467" s="166">
        <f>IFERROR('Amortizare si redeventa'!N273,0)</f>
        <v>0</v>
      </c>
      <c r="O467" s="166">
        <f>IFERROR('Amortizare si redeventa'!O273,0)</f>
        <v>0</v>
      </c>
      <c r="Q467" s="35"/>
      <c r="S467" s="238"/>
      <c r="T467" s="238"/>
      <c r="U467" s="238"/>
      <c r="V467" s="238"/>
      <c r="W467" s="238"/>
      <c r="X467" s="238"/>
      <c r="Y467" s="238"/>
      <c r="Z467" s="238"/>
      <c r="AA467" s="238"/>
      <c r="AB467" s="238"/>
    </row>
    <row r="468" spans="2:28" x14ac:dyDescent="0.3">
      <c r="B468" s="35"/>
      <c r="Q468" s="35"/>
      <c r="S468" s="238"/>
      <c r="T468" s="238"/>
      <c r="U468" s="238"/>
      <c r="V468" s="238"/>
      <c r="W468" s="238"/>
      <c r="X468" s="238"/>
      <c r="Y468" s="238"/>
      <c r="Z468" s="238"/>
      <c r="AA468" s="238"/>
      <c r="AB468" s="238"/>
    </row>
    <row r="469" spans="2:28" ht="6.6" customHeight="1" x14ac:dyDescent="0.3">
      <c r="B469" s="35"/>
      <c r="C469" s="35"/>
      <c r="D469" s="35"/>
      <c r="E469" s="35"/>
      <c r="F469" s="35"/>
      <c r="G469" s="35"/>
      <c r="H469" s="35"/>
      <c r="I469" s="35"/>
      <c r="J469" s="35"/>
      <c r="K469" s="35"/>
      <c r="L469" s="35"/>
      <c r="M469" s="35"/>
      <c r="N469" s="35"/>
      <c r="O469" s="35"/>
      <c r="P469" s="35"/>
      <c r="Q469" s="35"/>
    </row>
    <row r="471" spans="2:28" ht="8.1" customHeight="1" x14ac:dyDescent="0.3">
      <c r="B471" s="23"/>
      <c r="C471" s="23"/>
      <c r="D471" s="23"/>
      <c r="E471" s="23"/>
      <c r="F471" s="23"/>
      <c r="G471" s="23"/>
      <c r="H471" s="23"/>
      <c r="I471" s="23"/>
      <c r="J471" s="23"/>
      <c r="K471" s="23"/>
      <c r="L471" s="23"/>
      <c r="M471" s="23"/>
      <c r="N471" s="23"/>
      <c r="O471" s="23"/>
      <c r="P471" s="23"/>
      <c r="Q471" s="23"/>
    </row>
    <row r="472" spans="2:28" x14ac:dyDescent="0.3">
      <c r="B472" s="23"/>
      <c r="Q472" s="23"/>
    </row>
    <row r="473" spans="2:28" s="22" customFormat="1" ht="51" customHeight="1" x14ac:dyDescent="0.3">
      <c r="B473" s="35"/>
      <c r="C473" s="89" t="s">
        <v>201</v>
      </c>
      <c r="D473" s="89"/>
      <c r="E473" s="111">
        <f>F473-1</f>
        <v>2022</v>
      </c>
      <c r="F473" s="111">
        <f>G473-1</f>
        <v>2023</v>
      </c>
      <c r="G473" s="112">
        <f>'Date generale'!$D$8</f>
        <v>2024</v>
      </c>
      <c r="H473" s="113">
        <f t="shared" ref="H473:O473" si="109">G473+1</f>
        <v>2025</v>
      </c>
      <c r="I473" s="113">
        <f t="shared" si="109"/>
        <v>2026</v>
      </c>
      <c r="J473" s="113">
        <f t="shared" si="109"/>
        <v>2027</v>
      </c>
      <c r="K473" s="113">
        <f t="shared" si="109"/>
        <v>2028</v>
      </c>
      <c r="L473" s="113">
        <f t="shared" si="109"/>
        <v>2029</v>
      </c>
      <c r="M473" s="113">
        <f t="shared" si="109"/>
        <v>2030</v>
      </c>
      <c r="N473" s="113">
        <f t="shared" si="109"/>
        <v>2031</v>
      </c>
      <c r="O473" s="113">
        <f t="shared" si="109"/>
        <v>2032</v>
      </c>
      <c r="Q473" s="35"/>
      <c r="S473" s="237" t="s">
        <v>202</v>
      </c>
      <c r="T473" s="237"/>
      <c r="U473" s="237"/>
      <c r="V473" s="237"/>
      <c r="W473" s="237"/>
      <c r="X473" s="237"/>
      <c r="Y473" s="237"/>
      <c r="Z473" s="237"/>
      <c r="AA473" s="237"/>
      <c r="AB473" s="237"/>
    </row>
    <row r="474" spans="2:28" x14ac:dyDescent="0.3">
      <c r="B474" s="23"/>
      <c r="C474" s="114"/>
      <c r="D474" s="114"/>
      <c r="E474" s="115">
        <f>F474-1</f>
        <v>-3</v>
      </c>
      <c r="F474" s="115">
        <f>G474-1</f>
        <v>-2</v>
      </c>
      <c r="G474" s="116">
        <v>-1</v>
      </c>
      <c r="H474" s="116">
        <v>0</v>
      </c>
      <c r="I474" s="116">
        <f t="shared" ref="I474:O474" si="110">H474+1</f>
        <v>1</v>
      </c>
      <c r="J474" s="116">
        <f t="shared" si="110"/>
        <v>2</v>
      </c>
      <c r="K474" s="116">
        <f t="shared" si="110"/>
        <v>3</v>
      </c>
      <c r="L474" s="116">
        <f t="shared" si="110"/>
        <v>4</v>
      </c>
      <c r="M474" s="116">
        <f t="shared" si="110"/>
        <v>5</v>
      </c>
      <c r="N474" s="116">
        <f t="shared" si="110"/>
        <v>6</v>
      </c>
      <c r="O474" s="116">
        <f t="shared" si="110"/>
        <v>7</v>
      </c>
      <c r="Q474" s="35"/>
      <c r="S474" s="169" t="s">
        <v>132</v>
      </c>
      <c r="T474" s="169" t="s">
        <v>133</v>
      </c>
      <c r="U474" s="169" t="s">
        <v>134</v>
      </c>
      <c r="V474" s="169" t="s">
        <v>135</v>
      </c>
      <c r="W474" s="169" t="s">
        <v>136</v>
      </c>
      <c r="X474" s="169" t="s">
        <v>137</v>
      </c>
      <c r="Y474" s="169" t="s">
        <v>138</v>
      </c>
      <c r="Z474" s="169" t="s">
        <v>139</v>
      </c>
      <c r="AA474" s="169" t="s">
        <v>179</v>
      </c>
      <c r="AB474" s="169"/>
    </row>
    <row r="475" spans="2:28" s="24" customFormat="1" x14ac:dyDescent="0.3">
      <c r="B475" s="61"/>
      <c r="C475" s="42"/>
      <c r="D475" s="51"/>
      <c r="E475" s="62"/>
      <c r="F475" s="62"/>
      <c r="G475" s="62"/>
      <c r="H475" s="62"/>
      <c r="I475" s="62"/>
      <c r="J475" s="62"/>
      <c r="K475" s="62"/>
      <c r="L475" s="62"/>
      <c r="M475" s="62"/>
      <c r="N475" s="62"/>
      <c r="O475" s="62"/>
      <c r="Q475" s="35"/>
      <c r="S475" s="238"/>
      <c r="T475" s="238"/>
      <c r="U475" s="238"/>
      <c r="V475" s="238"/>
      <c r="W475" s="238"/>
      <c r="X475" s="238"/>
      <c r="Y475" s="238"/>
      <c r="Z475" s="238"/>
      <c r="AA475" s="238"/>
      <c r="AB475" s="238"/>
    </row>
    <row r="476" spans="2:28" s="53" customFormat="1" x14ac:dyDescent="0.3">
      <c r="B476" s="63"/>
      <c r="C476" s="40" t="s">
        <v>132</v>
      </c>
      <c r="D476" s="43" t="s">
        <v>141</v>
      </c>
      <c r="E476" s="87">
        <v>0</v>
      </c>
      <c r="F476" s="87">
        <v>0</v>
      </c>
      <c r="G476" s="87">
        <v>0</v>
      </c>
      <c r="H476" s="88">
        <f>G476*(1+'Date macro-economice'!H$9)*(1+'Costuri operare'!H488)</f>
        <v>0</v>
      </c>
      <c r="I476" s="88">
        <f>H476*(1+'Date macro-economice'!I$9)*(1+'Costuri operare'!I488)</f>
        <v>0</v>
      </c>
      <c r="J476" s="88">
        <f>I476*(1+'Date macro-economice'!J$9)*(1+'Costuri operare'!J488)</f>
        <v>0</v>
      </c>
      <c r="K476" s="88">
        <f>J476*(1+'Date macro-economice'!K$9)*(1+'Costuri operare'!K488)</f>
        <v>0</v>
      </c>
      <c r="L476" s="88">
        <f>K476*(1+'Date macro-economice'!L$9)*(1+'Costuri operare'!L488)</f>
        <v>0</v>
      </c>
      <c r="M476" s="88">
        <f>L476*(1+'Date macro-economice'!M$9)*(1+'Costuri operare'!M488)</f>
        <v>0</v>
      </c>
      <c r="N476" s="88">
        <f>M476*(1+'Date macro-economice'!N$9)*(1+'Costuri operare'!N488)</f>
        <v>0</v>
      </c>
      <c r="O476" s="88">
        <f>N476*(1+'Date macro-economice'!O$9)*(1+'Costuri operare'!O488)</f>
        <v>0</v>
      </c>
      <c r="Q476" s="35"/>
      <c r="S476" s="238"/>
      <c r="T476" s="238"/>
      <c r="U476" s="238"/>
      <c r="V476" s="238"/>
      <c r="W476" s="238"/>
      <c r="X476" s="238"/>
      <c r="Y476" s="238"/>
      <c r="Z476" s="238"/>
      <c r="AA476" s="238"/>
      <c r="AB476" s="238"/>
    </row>
    <row r="477" spans="2:28" s="22" customFormat="1" x14ac:dyDescent="0.3">
      <c r="B477" s="35"/>
      <c r="C477" s="40" t="s">
        <v>133</v>
      </c>
      <c r="D477" s="43" t="s">
        <v>141</v>
      </c>
      <c r="E477" s="87">
        <v>0</v>
      </c>
      <c r="F477" s="87">
        <v>0</v>
      </c>
      <c r="G477" s="87">
        <v>0</v>
      </c>
      <c r="H477" s="88">
        <f t="shared" ref="H477:O477" si="111">H495</f>
        <v>0</v>
      </c>
      <c r="I477" s="88">
        <f t="shared" si="111"/>
        <v>0</v>
      </c>
      <c r="J477" s="88">
        <f t="shared" si="111"/>
        <v>0</v>
      </c>
      <c r="K477" s="88">
        <f t="shared" si="111"/>
        <v>0</v>
      </c>
      <c r="L477" s="88">
        <f t="shared" si="111"/>
        <v>0</v>
      </c>
      <c r="M477" s="88">
        <f t="shared" si="111"/>
        <v>0</v>
      </c>
      <c r="N477" s="88">
        <f t="shared" si="111"/>
        <v>0</v>
      </c>
      <c r="O477" s="88">
        <f t="shared" si="111"/>
        <v>0</v>
      </c>
      <c r="Q477" s="35"/>
      <c r="S477" s="238"/>
      <c r="T477" s="238"/>
      <c r="U477" s="238"/>
      <c r="V477" s="238"/>
      <c r="W477" s="238"/>
      <c r="X477" s="238"/>
      <c r="Y477" s="238"/>
      <c r="Z477" s="238"/>
      <c r="AA477" s="238"/>
      <c r="AB477" s="238"/>
    </row>
    <row r="478" spans="2:28" s="22" customFormat="1" x14ac:dyDescent="0.3">
      <c r="B478" s="35"/>
      <c r="C478" s="40" t="s">
        <v>134</v>
      </c>
      <c r="D478" s="43" t="s">
        <v>141</v>
      </c>
      <c r="E478" s="87">
        <v>0</v>
      </c>
      <c r="F478" s="87">
        <v>0</v>
      </c>
      <c r="G478" s="87">
        <v>0</v>
      </c>
      <c r="H478" s="88">
        <f t="shared" ref="H478:O478" si="112">H498+H499+H500</f>
        <v>0</v>
      </c>
      <c r="I478" s="88">
        <f t="shared" si="112"/>
        <v>0</v>
      </c>
      <c r="J478" s="88">
        <f t="shared" si="112"/>
        <v>0</v>
      </c>
      <c r="K478" s="88">
        <f t="shared" si="112"/>
        <v>0</v>
      </c>
      <c r="L478" s="88">
        <f t="shared" si="112"/>
        <v>0</v>
      </c>
      <c r="M478" s="88">
        <f t="shared" si="112"/>
        <v>0</v>
      </c>
      <c r="N478" s="88">
        <f t="shared" si="112"/>
        <v>0</v>
      </c>
      <c r="O478" s="88">
        <f t="shared" si="112"/>
        <v>0</v>
      </c>
      <c r="Q478" s="35"/>
      <c r="S478" s="238"/>
      <c r="T478" s="238"/>
      <c r="U478" s="238"/>
      <c r="V478" s="238"/>
      <c r="W478" s="238"/>
      <c r="X478" s="238"/>
      <c r="Y478" s="238"/>
      <c r="Z478" s="238"/>
      <c r="AA478" s="238"/>
      <c r="AB478" s="238"/>
    </row>
    <row r="479" spans="2:28" s="22" customFormat="1" x14ac:dyDescent="0.3">
      <c r="B479" s="35"/>
      <c r="C479" s="40" t="s">
        <v>135</v>
      </c>
      <c r="D479" s="43" t="s">
        <v>141</v>
      </c>
      <c r="E479" s="87">
        <v>0</v>
      </c>
      <c r="F479" s="87">
        <v>0</v>
      </c>
      <c r="G479" s="87">
        <v>0</v>
      </c>
      <c r="H479" s="88">
        <f>G479*(1+H510)*(1+'Date macro-economice'!H$9)</f>
        <v>0</v>
      </c>
      <c r="I479" s="88">
        <f>H479*(1+I510)*(1+'Date macro-economice'!I$9)</f>
        <v>0</v>
      </c>
      <c r="J479" s="88">
        <f>I479*(1+J510)*(1+'Date macro-economice'!J$9)</f>
        <v>0</v>
      </c>
      <c r="K479" s="88">
        <f>J479*(1+K510)*(1+'Date macro-economice'!K$9)</f>
        <v>0</v>
      </c>
      <c r="L479" s="88">
        <f>K479*(1+L510)*(1+'Date macro-economice'!L$9)</f>
        <v>0</v>
      </c>
      <c r="M479" s="88">
        <f>L479*(1+M510)*(1+'Date macro-economice'!M$9)</f>
        <v>0</v>
      </c>
      <c r="N479" s="88">
        <f>M479*(1+N510)*(1+'Date macro-economice'!N$9)</f>
        <v>0</v>
      </c>
      <c r="O479" s="88">
        <f>N479*(1+O510)*(1+'Date macro-economice'!O$9)</f>
        <v>0</v>
      </c>
      <c r="Q479" s="35"/>
      <c r="S479" s="238"/>
      <c r="T479" s="238"/>
      <c r="U479" s="238"/>
      <c r="V479" s="238"/>
      <c r="W479" s="238"/>
      <c r="X479" s="238"/>
      <c r="Y479" s="238"/>
      <c r="Z479" s="238"/>
      <c r="AA479" s="238"/>
      <c r="AB479" s="238"/>
    </row>
    <row r="480" spans="2:28" s="22" customFormat="1" x14ac:dyDescent="0.3">
      <c r="B480" s="35"/>
      <c r="C480" s="40" t="s">
        <v>136</v>
      </c>
      <c r="D480" s="43" t="s">
        <v>141</v>
      </c>
      <c r="E480" s="87">
        <v>0</v>
      </c>
      <c r="F480" s="87">
        <v>0</v>
      </c>
      <c r="G480" s="87">
        <v>0</v>
      </c>
      <c r="H480" s="88">
        <f>G480*(1+H511)*(1+'Date macro-economice'!H$9)</f>
        <v>0</v>
      </c>
      <c r="I480" s="88">
        <f>H480*(1+I511)*(1+'Date macro-economice'!I$9)</f>
        <v>0</v>
      </c>
      <c r="J480" s="88">
        <f>I480*(1+J511)*(1+'Date macro-economice'!J$9)</f>
        <v>0</v>
      </c>
      <c r="K480" s="88">
        <f>J480*(1+K511)*(1+'Date macro-economice'!K$9)</f>
        <v>0</v>
      </c>
      <c r="L480" s="88">
        <f>K480*(1+L511)*(1+'Date macro-economice'!L$9)</f>
        <v>0</v>
      </c>
      <c r="M480" s="88">
        <f>L480*(1+M511)*(1+'Date macro-economice'!M$9)</f>
        <v>0</v>
      </c>
      <c r="N480" s="88">
        <f>M480*(1+N511)*(1+'Date macro-economice'!N$9)</f>
        <v>0</v>
      </c>
      <c r="O480" s="88">
        <f>N480*(1+O511)*(1+'Date macro-economice'!O$9)</f>
        <v>0</v>
      </c>
      <c r="Q480" s="35"/>
      <c r="S480" s="238"/>
      <c r="T480" s="238"/>
      <c r="U480" s="238"/>
      <c r="V480" s="238"/>
      <c r="W480" s="238"/>
      <c r="X480" s="238"/>
      <c r="Y480" s="238"/>
      <c r="Z480" s="238"/>
      <c r="AA480" s="238"/>
      <c r="AB480" s="238"/>
    </row>
    <row r="481" spans="2:28" s="22" customFormat="1" x14ac:dyDescent="0.3">
      <c r="B481" s="35"/>
      <c r="C481" s="40" t="s">
        <v>137</v>
      </c>
      <c r="D481" s="43" t="s">
        <v>141</v>
      </c>
      <c r="E481" s="87">
        <v>0</v>
      </c>
      <c r="F481" s="87">
        <v>0</v>
      </c>
      <c r="G481" s="87">
        <v>0</v>
      </c>
      <c r="H481" s="88">
        <f t="shared" ref="H481:O482" si="113">G481*(1+H520)</f>
        <v>0</v>
      </c>
      <c r="I481" s="88">
        <f t="shared" si="113"/>
        <v>0</v>
      </c>
      <c r="J481" s="88">
        <f t="shared" si="113"/>
        <v>0</v>
      </c>
      <c r="K481" s="88">
        <f t="shared" si="113"/>
        <v>0</v>
      </c>
      <c r="L481" s="88">
        <f t="shared" si="113"/>
        <v>0</v>
      </c>
      <c r="M481" s="88">
        <f t="shared" si="113"/>
        <v>0</v>
      </c>
      <c r="N481" s="88">
        <f t="shared" si="113"/>
        <v>0</v>
      </c>
      <c r="O481" s="88">
        <f t="shared" si="113"/>
        <v>0</v>
      </c>
      <c r="Q481" s="35"/>
      <c r="S481" s="238"/>
      <c r="T481" s="238"/>
      <c r="U481" s="238"/>
      <c r="V481" s="238"/>
      <c r="W481" s="238"/>
      <c r="X481" s="238"/>
      <c r="Y481" s="238"/>
      <c r="Z481" s="238"/>
      <c r="AA481" s="238"/>
      <c r="AB481" s="238"/>
    </row>
    <row r="482" spans="2:28" s="22" customFormat="1" x14ac:dyDescent="0.3">
      <c r="B482" s="35"/>
      <c r="C482" s="40" t="s">
        <v>138</v>
      </c>
      <c r="D482" s="43" t="s">
        <v>141</v>
      </c>
      <c r="E482" s="87">
        <v>0</v>
      </c>
      <c r="F482" s="87">
        <v>0</v>
      </c>
      <c r="G482" s="87">
        <v>0</v>
      </c>
      <c r="H482" s="88">
        <f t="shared" si="113"/>
        <v>0</v>
      </c>
      <c r="I482" s="88">
        <f t="shared" si="113"/>
        <v>0</v>
      </c>
      <c r="J482" s="88">
        <f t="shared" si="113"/>
        <v>0</v>
      </c>
      <c r="K482" s="88">
        <f t="shared" si="113"/>
        <v>0</v>
      </c>
      <c r="L482" s="88">
        <f t="shared" si="113"/>
        <v>0</v>
      </c>
      <c r="M482" s="88">
        <f t="shared" si="113"/>
        <v>0</v>
      </c>
      <c r="N482" s="88">
        <f t="shared" si="113"/>
        <v>0</v>
      </c>
      <c r="O482" s="88">
        <f t="shared" si="113"/>
        <v>0</v>
      </c>
      <c r="Q482" s="35"/>
      <c r="S482" s="238"/>
      <c r="T482" s="238"/>
      <c r="U482" s="238"/>
      <c r="V482" s="238"/>
      <c r="W482" s="238"/>
      <c r="X482" s="238"/>
      <c r="Y482" s="238"/>
      <c r="Z482" s="238"/>
      <c r="AA482" s="238"/>
      <c r="AB482" s="238"/>
    </row>
    <row r="483" spans="2:28" s="22" customFormat="1" ht="28.8" x14ac:dyDescent="0.3">
      <c r="B483" s="35"/>
      <c r="C483" s="40" t="s">
        <v>142</v>
      </c>
      <c r="D483" s="43" t="s">
        <v>141</v>
      </c>
      <c r="E483" s="87">
        <v>0</v>
      </c>
      <c r="F483" s="87">
        <v>0</v>
      </c>
      <c r="G483" s="87">
        <v>0</v>
      </c>
      <c r="H483" s="87">
        <v>0</v>
      </c>
      <c r="I483" s="87">
        <v>0</v>
      </c>
      <c r="J483" s="87">
        <v>0</v>
      </c>
      <c r="K483" s="87">
        <v>0</v>
      </c>
      <c r="L483" s="87">
        <v>0</v>
      </c>
      <c r="M483" s="87">
        <v>0</v>
      </c>
      <c r="N483" s="87">
        <v>0</v>
      </c>
      <c r="O483" s="87">
        <v>0</v>
      </c>
      <c r="Q483" s="35"/>
      <c r="S483" s="238"/>
      <c r="T483" s="238"/>
      <c r="U483" s="238"/>
      <c r="V483" s="238"/>
      <c r="W483" s="238"/>
      <c r="X483" s="238"/>
      <c r="Y483" s="238"/>
      <c r="Z483" s="238"/>
      <c r="AA483" s="238"/>
      <c r="AB483" s="238"/>
    </row>
    <row r="484" spans="2:28" s="22" customFormat="1" ht="28.35" customHeight="1" x14ac:dyDescent="0.3">
      <c r="B484" s="35"/>
      <c r="C484" s="155" t="s">
        <v>181</v>
      </c>
      <c r="D484" s="43" t="s">
        <v>141</v>
      </c>
      <c r="E484" s="87">
        <v>0</v>
      </c>
      <c r="F484" s="87">
        <v>0</v>
      </c>
      <c r="G484" s="87">
        <v>0</v>
      </c>
      <c r="H484" s="88">
        <f t="shared" ref="H484:O484" si="114">H518</f>
        <v>0</v>
      </c>
      <c r="I484" s="88">
        <f t="shared" si="114"/>
        <v>0</v>
      </c>
      <c r="J484" s="88">
        <f t="shared" si="114"/>
        <v>0</v>
      </c>
      <c r="K484" s="88">
        <f t="shared" si="114"/>
        <v>0</v>
      </c>
      <c r="L484" s="88">
        <f t="shared" si="114"/>
        <v>0</v>
      </c>
      <c r="M484" s="88">
        <f t="shared" si="114"/>
        <v>0</v>
      </c>
      <c r="N484" s="88">
        <f t="shared" si="114"/>
        <v>0</v>
      </c>
      <c r="O484" s="88">
        <f t="shared" si="114"/>
        <v>0</v>
      </c>
      <c r="Q484" s="35"/>
      <c r="S484" s="238"/>
      <c r="T484" s="238"/>
      <c r="U484" s="238"/>
      <c r="V484" s="238"/>
      <c r="W484" s="238"/>
      <c r="X484" s="238"/>
      <c r="Y484" s="238"/>
      <c r="Z484" s="238"/>
      <c r="AA484" s="238"/>
      <c r="AB484" s="238"/>
    </row>
    <row r="485" spans="2:28" s="22" customFormat="1" x14ac:dyDescent="0.3">
      <c r="B485" s="35"/>
      <c r="C485" s="155" t="s">
        <v>143</v>
      </c>
      <c r="D485" s="129" t="s">
        <v>141</v>
      </c>
      <c r="E485" s="87">
        <v>0</v>
      </c>
      <c r="F485" s="87">
        <v>0</v>
      </c>
      <c r="G485" s="87">
        <v>0</v>
      </c>
      <c r="H485" s="88">
        <f>G485*(1+H512)*(1+'Date macro-economice'!H$9)</f>
        <v>0</v>
      </c>
      <c r="I485" s="88">
        <f>H485*(1+I512)*(1+'Date macro-economice'!I$9)</f>
        <v>0</v>
      </c>
      <c r="J485" s="88">
        <f>I485*(1+J512)*(1+'Date macro-economice'!J$9)</f>
        <v>0</v>
      </c>
      <c r="K485" s="88">
        <f>J485*(1+K512)*(1+'Date macro-economice'!K$9)</f>
        <v>0</v>
      </c>
      <c r="L485" s="88">
        <f>K485*(1+L512)*(1+'Date macro-economice'!L$9)</f>
        <v>0</v>
      </c>
      <c r="M485" s="88">
        <f>L485*(1+M512)*(1+'Date macro-economice'!M$9)</f>
        <v>0</v>
      </c>
      <c r="N485" s="88">
        <f>M485*(1+N512)*(1+'Date macro-economice'!N$9)</f>
        <v>0</v>
      </c>
      <c r="O485" s="88">
        <f>N485*(1+O512)*(1+'Date macro-economice'!O$9)</f>
        <v>0</v>
      </c>
      <c r="Q485" s="35"/>
      <c r="S485" s="238"/>
      <c r="T485" s="238"/>
      <c r="U485" s="238"/>
      <c r="V485" s="238"/>
      <c r="W485" s="238"/>
      <c r="X485" s="238"/>
      <c r="Y485" s="238"/>
      <c r="Z485" s="238"/>
      <c r="AA485" s="238"/>
      <c r="AB485" s="238"/>
    </row>
    <row r="486" spans="2:28" s="22" customFormat="1" x14ac:dyDescent="0.3">
      <c r="B486" s="35"/>
      <c r="C486" s="42" t="s">
        <v>144</v>
      </c>
      <c r="D486" s="51" t="s">
        <v>141</v>
      </c>
      <c r="E486" s="62">
        <f t="shared" ref="E486:O486" si="115">SUM(E476:E485)</f>
        <v>0</v>
      </c>
      <c r="F486" s="62">
        <f t="shared" si="115"/>
        <v>0</v>
      </c>
      <c r="G486" s="62">
        <f t="shared" si="115"/>
        <v>0</v>
      </c>
      <c r="H486" s="62">
        <f t="shared" si="115"/>
        <v>0</v>
      </c>
      <c r="I486" s="62">
        <f t="shared" si="115"/>
        <v>0</v>
      </c>
      <c r="J486" s="62">
        <f t="shared" si="115"/>
        <v>0</v>
      </c>
      <c r="K486" s="62">
        <f t="shared" si="115"/>
        <v>0</v>
      </c>
      <c r="L486" s="62">
        <f t="shared" si="115"/>
        <v>0</v>
      </c>
      <c r="M486" s="62">
        <f t="shared" si="115"/>
        <v>0</v>
      </c>
      <c r="N486" s="62">
        <f t="shared" si="115"/>
        <v>0</v>
      </c>
      <c r="O486" s="62">
        <f t="shared" si="115"/>
        <v>0</v>
      </c>
      <c r="Q486" s="35"/>
      <c r="S486" s="238"/>
      <c r="T486" s="238"/>
      <c r="U486" s="238"/>
      <c r="V486" s="238"/>
      <c r="W486" s="238"/>
      <c r="X486" s="238"/>
      <c r="Y486" s="238"/>
      <c r="Z486" s="238"/>
      <c r="AA486" s="238"/>
      <c r="AB486" s="238"/>
    </row>
    <row r="487" spans="2:28" s="22" customFormat="1" x14ac:dyDescent="0.3">
      <c r="B487" s="35"/>
      <c r="Q487" s="35"/>
      <c r="S487" s="238"/>
      <c r="T487" s="238"/>
      <c r="U487" s="238"/>
      <c r="V487" s="238"/>
      <c r="W487" s="238"/>
      <c r="X487" s="238"/>
      <c r="Y487" s="238"/>
      <c r="Z487" s="238"/>
      <c r="AA487" s="238"/>
      <c r="AB487" s="238"/>
    </row>
    <row r="488" spans="2:28" x14ac:dyDescent="0.3">
      <c r="B488" s="35"/>
      <c r="C488" s="40" t="s">
        <v>152</v>
      </c>
      <c r="D488" s="43" t="s">
        <v>47</v>
      </c>
      <c r="E488" s="92" t="s">
        <v>92</v>
      </c>
      <c r="F488" s="162" t="e">
        <f>(F476/E476)/(1+'Date macro-economice'!F$9)-1</f>
        <v>#DIV/0!</v>
      </c>
      <c r="G488" s="162" t="e">
        <f>(G476/F476)/(1+'Date macro-economice'!G$9)-1</f>
        <v>#DIV/0!</v>
      </c>
      <c r="H488" s="159">
        <v>0</v>
      </c>
      <c r="I488" s="159">
        <v>0</v>
      </c>
      <c r="J488" s="159">
        <v>0</v>
      </c>
      <c r="K488" s="159">
        <v>0</v>
      </c>
      <c r="L488" s="159">
        <v>0</v>
      </c>
      <c r="M488" s="159">
        <v>0</v>
      </c>
      <c r="N488" s="159">
        <v>0</v>
      </c>
      <c r="O488" s="159">
        <v>0</v>
      </c>
      <c r="Q488" s="35"/>
      <c r="S488" s="238"/>
      <c r="T488" s="238"/>
      <c r="U488" s="238"/>
      <c r="V488" s="238"/>
      <c r="W488" s="238"/>
      <c r="X488" s="238"/>
      <c r="Y488" s="238"/>
      <c r="Z488" s="238"/>
      <c r="AA488" s="238"/>
      <c r="AB488" s="238"/>
    </row>
    <row r="489" spans="2:28" x14ac:dyDescent="0.3">
      <c r="B489" s="35"/>
      <c r="Q489" s="35"/>
      <c r="S489" s="238"/>
      <c r="T489" s="238"/>
      <c r="U489" s="238"/>
      <c r="V489" s="238"/>
      <c r="W489" s="238"/>
      <c r="X489" s="238"/>
      <c r="Y489" s="238"/>
      <c r="Z489" s="238"/>
      <c r="AA489" s="238"/>
      <c r="AB489" s="238"/>
    </row>
    <row r="490" spans="2:28" s="22" customFormat="1" x14ac:dyDescent="0.3">
      <c r="B490" s="35"/>
      <c r="C490" s="66" t="s">
        <v>153</v>
      </c>
      <c r="D490" s="40"/>
      <c r="E490" s="40"/>
      <c r="F490" s="40"/>
      <c r="G490" s="40"/>
      <c r="H490" s="40"/>
      <c r="I490" s="40"/>
      <c r="J490" s="40"/>
      <c r="K490" s="40"/>
      <c r="L490" s="40"/>
      <c r="M490" s="40"/>
      <c r="N490" s="40"/>
      <c r="O490" s="40"/>
      <c r="Q490" s="35"/>
      <c r="S490" s="238"/>
      <c r="T490" s="238"/>
      <c r="U490" s="238"/>
      <c r="V490" s="238"/>
      <c r="W490" s="238"/>
      <c r="X490" s="238"/>
      <c r="Y490" s="238"/>
      <c r="Z490" s="238"/>
      <c r="AA490" s="238"/>
      <c r="AB490" s="238"/>
    </row>
    <row r="491" spans="2:28" s="22" customFormat="1" x14ac:dyDescent="0.3">
      <c r="B491" s="35"/>
      <c r="C491" s="40" t="s">
        <v>154</v>
      </c>
      <c r="D491" s="43" t="s">
        <v>155</v>
      </c>
      <c r="E491" s="87">
        <v>0</v>
      </c>
      <c r="F491" s="87">
        <v>0</v>
      </c>
      <c r="G491" s="87">
        <v>0</v>
      </c>
      <c r="H491" s="87">
        <f>G491</f>
        <v>0</v>
      </c>
      <c r="I491" s="87">
        <f t="shared" ref="I491:O491" si="116">H491</f>
        <v>0</v>
      </c>
      <c r="J491" s="87">
        <f t="shared" si="116"/>
        <v>0</v>
      </c>
      <c r="K491" s="87">
        <f t="shared" si="116"/>
        <v>0</v>
      </c>
      <c r="L491" s="87">
        <f t="shared" si="116"/>
        <v>0</v>
      </c>
      <c r="M491" s="87">
        <f t="shared" si="116"/>
        <v>0</v>
      </c>
      <c r="N491" s="87">
        <f t="shared" si="116"/>
        <v>0</v>
      </c>
      <c r="O491" s="87">
        <f t="shared" si="116"/>
        <v>0</v>
      </c>
      <c r="Q491" s="35"/>
      <c r="S491" s="238"/>
      <c r="T491" s="238"/>
      <c r="U491" s="238"/>
      <c r="V491" s="238"/>
      <c r="W491" s="238"/>
      <c r="X491" s="238"/>
      <c r="Y491" s="238"/>
      <c r="Z491" s="238"/>
      <c r="AA491" s="238"/>
      <c r="AB491" s="238"/>
    </row>
    <row r="492" spans="2:28" s="22" customFormat="1" x14ac:dyDescent="0.3">
      <c r="B492" s="35"/>
      <c r="C492" s="40" t="s">
        <v>156</v>
      </c>
      <c r="D492" s="43" t="s">
        <v>157</v>
      </c>
      <c r="E492" s="105" t="e">
        <f>E491/Cererea!E76</f>
        <v>#DIV/0!</v>
      </c>
      <c r="F492" s="105" t="e">
        <f>F491/Cererea!F76</f>
        <v>#DIV/0!</v>
      </c>
      <c r="G492" s="105" t="e">
        <f>G491/Cererea!G76</f>
        <v>#DIV/0!</v>
      </c>
      <c r="H492" s="105" t="e">
        <f>H491/Cererea!H76</f>
        <v>#DIV/0!</v>
      </c>
      <c r="I492" s="105" t="e">
        <f>I491/Cererea!I76</f>
        <v>#DIV/0!</v>
      </c>
      <c r="J492" s="105" t="e">
        <f>J491/Cererea!J76</f>
        <v>#DIV/0!</v>
      </c>
      <c r="K492" s="105" t="e">
        <f>K491/Cererea!K76</f>
        <v>#DIV/0!</v>
      </c>
      <c r="L492" s="105" t="e">
        <f>L491/Cererea!L76</f>
        <v>#DIV/0!</v>
      </c>
      <c r="M492" s="105" t="e">
        <f>M491/Cererea!M76</f>
        <v>#DIV/0!</v>
      </c>
      <c r="N492" s="105" t="e">
        <f>N491/Cererea!N76</f>
        <v>#DIV/0!</v>
      </c>
      <c r="O492" s="105" t="e">
        <f>O491/Cererea!O76</f>
        <v>#DIV/0!</v>
      </c>
      <c r="Q492" s="35"/>
      <c r="S492" s="238"/>
      <c r="T492" s="238"/>
      <c r="U492" s="238"/>
      <c r="V492" s="238"/>
      <c r="W492" s="238"/>
      <c r="X492" s="238"/>
      <c r="Y492" s="238"/>
      <c r="Z492" s="238"/>
      <c r="AA492" s="238"/>
      <c r="AB492" s="238"/>
    </row>
    <row r="493" spans="2:28" s="22" customFormat="1" x14ac:dyDescent="0.3">
      <c r="B493" s="35"/>
      <c r="C493" s="40" t="s">
        <v>147</v>
      </c>
      <c r="D493" s="43" t="s">
        <v>158</v>
      </c>
      <c r="E493" s="150" t="e">
        <f>E477/E491</f>
        <v>#DIV/0!</v>
      </c>
      <c r="F493" s="150" t="e">
        <f>F477/F491</f>
        <v>#DIV/0!</v>
      </c>
      <c r="G493" s="150" t="e">
        <f>G477/G491</f>
        <v>#DIV/0!</v>
      </c>
      <c r="H493" s="170" t="e">
        <f>G493*(1+'Date macro-economice'!H$9)*(1+H494)</f>
        <v>#DIV/0!</v>
      </c>
      <c r="I493" s="170" t="e">
        <f>H493*(1+'Date macro-economice'!I$9)*(1+I494)</f>
        <v>#DIV/0!</v>
      </c>
      <c r="J493" s="170" t="e">
        <f>I493*(1+'Date macro-economice'!J$9)*(1+J494)</f>
        <v>#DIV/0!</v>
      </c>
      <c r="K493" s="170" t="e">
        <f>J493*(1+'Date macro-economice'!K$9)*(1+K494)</f>
        <v>#DIV/0!</v>
      </c>
      <c r="L493" s="170" t="e">
        <f>K493*(1+'Date macro-economice'!L$9)*(1+L494)</f>
        <v>#DIV/0!</v>
      </c>
      <c r="M493" s="170" t="e">
        <f>L493*(1+'Date macro-economice'!M$9)*(1+M494)</f>
        <v>#DIV/0!</v>
      </c>
      <c r="N493" s="170" t="e">
        <f>M493*(1+'Date macro-economice'!N$9)*(1+N494)</f>
        <v>#DIV/0!</v>
      </c>
      <c r="O493" s="170" t="e">
        <f>N493*(1+'Date macro-economice'!O$9)*(1+O494)</f>
        <v>#DIV/0!</v>
      </c>
      <c r="Q493" s="35"/>
      <c r="S493" s="238"/>
      <c r="T493" s="238"/>
      <c r="U493" s="238"/>
      <c r="V493" s="238"/>
      <c r="W493" s="238"/>
      <c r="X493" s="238"/>
      <c r="Y493" s="238"/>
      <c r="Z493" s="238"/>
      <c r="AA493" s="238"/>
      <c r="AB493" s="238"/>
    </row>
    <row r="494" spans="2:28" s="22" customFormat="1" x14ac:dyDescent="0.3">
      <c r="B494" s="35"/>
      <c r="C494" s="40" t="s">
        <v>148</v>
      </c>
      <c r="D494" s="43" t="s">
        <v>47</v>
      </c>
      <c r="E494" s="158" t="s">
        <v>92</v>
      </c>
      <c r="F494" s="36" t="e">
        <f>(F493/E493)/(1+'Date macro-economice'!F$9)-1</f>
        <v>#DIV/0!</v>
      </c>
      <c r="G494" s="36" t="e">
        <f>(G493/F493)/(1+'Date macro-economice'!G$9)-1</f>
        <v>#DIV/0!</v>
      </c>
      <c r="H494" s="159">
        <v>0</v>
      </c>
      <c r="I494" s="159">
        <v>0</v>
      </c>
      <c r="J494" s="159">
        <v>0</v>
      </c>
      <c r="K494" s="159">
        <v>0</v>
      </c>
      <c r="L494" s="159">
        <v>0</v>
      </c>
      <c r="M494" s="159">
        <v>0</v>
      </c>
      <c r="N494" s="159">
        <v>0</v>
      </c>
      <c r="O494" s="159">
        <v>0</v>
      </c>
      <c r="Q494" s="35"/>
      <c r="S494" s="238"/>
      <c r="T494" s="238"/>
      <c r="U494" s="238"/>
      <c r="V494" s="238"/>
      <c r="W494" s="238"/>
      <c r="X494" s="238"/>
      <c r="Y494" s="238"/>
      <c r="Z494" s="238"/>
      <c r="AA494" s="238"/>
      <c r="AB494" s="238"/>
    </row>
    <row r="495" spans="2:28" x14ac:dyDescent="0.3">
      <c r="B495" s="35"/>
      <c r="C495" s="81" t="s">
        <v>149</v>
      </c>
      <c r="D495" s="82" t="s">
        <v>141</v>
      </c>
      <c r="E495" s="91">
        <f>E477</f>
        <v>0</v>
      </c>
      <c r="F495" s="91">
        <f>F477</f>
        <v>0</v>
      </c>
      <c r="G495" s="91">
        <f>G477</f>
        <v>0</v>
      </c>
      <c r="H495" s="91">
        <f>IFERROR(H491*H493,0)</f>
        <v>0</v>
      </c>
      <c r="I495" s="91">
        <f t="shared" ref="I495:O495" si="117">IFERROR(I491*I493,0)</f>
        <v>0</v>
      </c>
      <c r="J495" s="91">
        <f t="shared" si="117"/>
        <v>0</v>
      </c>
      <c r="K495" s="91">
        <f t="shared" si="117"/>
        <v>0</v>
      </c>
      <c r="L495" s="91">
        <f t="shared" si="117"/>
        <v>0</v>
      </c>
      <c r="M495" s="91">
        <f t="shared" si="117"/>
        <v>0</v>
      </c>
      <c r="N495" s="91">
        <f t="shared" si="117"/>
        <v>0</v>
      </c>
      <c r="O495" s="91">
        <f t="shared" si="117"/>
        <v>0</v>
      </c>
      <c r="Q495" s="35"/>
      <c r="S495" s="238"/>
      <c r="T495" s="238"/>
      <c r="U495" s="238"/>
      <c r="V495" s="238"/>
      <c r="W495" s="238"/>
      <c r="X495" s="238"/>
      <c r="Y495" s="238"/>
      <c r="Z495" s="238"/>
      <c r="AA495" s="238"/>
      <c r="AB495" s="238"/>
    </row>
    <row r="496" spans="2:28" x14ac:dyDescent="0.3">
      <c r="B496" s="35"/>
      <c r="Q496" s="35"/>
      <c r="S496" s="238"/>
      <c r="T496" s="238"/>
      <c r="U496" s="238"/>
      <c r="V496" s="238"/>
      <c r="W496" s="238"/>
      <c r="X496" s="238"/>
      <c r="Y496" s="238"/>
      <c r="Z496" s="238"/>
      <c r="AA496" s="238"/>
      <c r="AB496" s="238"/>
    </row>
    <row r="497" spans="2:28" x14ac:dyDescent="0.3">
      <c r="B497" s="35"/>
      <c r="C497" s="66" t="s">
        <v>159</v>
      </c>
      <c r="Q497" s="35"/>
      <c r="S497" s="238"/>
      <c r="T497" s="238"/>
      <c r="U497" s="238"/>
      <c r="V497" s="238"/>
      <c r="W497" s="238"/>
      <c r="X497" s="238"/>
      <c r="Y497" s="238"/>
      <c r="Z497" s="238"/>
      <c r="AA497" s="238"/>
      <c r="AB497" s="238"/>
    </row>
    <row r="498" spans="2:28" x14ac:dyDescent="0.3">
      <c r="B498" s="35"/>
      <c r="C498" s="40" t="s">
        <v>160</v>
      </c>
      <c r="D498" s="43" t="s">
        <v>141</v>
      </c>
      <c r="E498" s="87">
        <v>0</v>
      </c>
      <c r="F498" s="87">
        <v>0</v>
      </c>
      <c r="G498" s="87">
        <v>0</v>
      </c>
      <c r="H498" s="88">
        <f>H501*H502*12</f>
        <v>0</v>
      </c>
      <c r="I498" s="88">
        <f t="shared" ref="I498:O498" si="118">I501*I502*12</f>
        <v>0</v>
      </c>
      <c r="J498" s="88">
        <f t="shared" si="118"/>
        <v>0</v>
      </c>
      <c r="K498" s="88">
        <f t="shared" si="118"/>
        <v>0</v>
      </c>
      <c r="L498" s="88">
        <f t="shared" si="118"/>
        <v>0</v>
      </c>
      <c r="M498" s="88">
        <f t="shared" si="118"/>
        <v>0</v>
      </c>
      <c r="N498" s="88">
        <f t="shared" si="118"/>
        <v>0</v>
      </c>
      <c r="O498" s="88">
        <f t="shared" si="118"/>
        <v>0</v>
      </c>
      <c r="Q498" s="35"/>
      <c r="S498" s="238"/>
      <c r="T498" s="238"/>
      <c r="U498" s="238"/>
      <c r="V498" s="238"/>
      <c r="W498" s="238"/>
      <c r="X498" s="238"/>
      <c r="Y498" s="238"/>
      <c r="Z498" s="238"/>
      <c r="AA498" s="238"/>
      <c r="AB498" s="238"/>
    </row>
    <row r="499" spans="2:28" x14ac:dyDescent="0.3">
      <c r="B499" s="35"/>
      <c r="C499" s="40" t="s">
        <v>161</v>
      </c>
      <c r="D499" s="43" t="s">
        <v>141</v>
      </c>
      <c r="E499" s="87">
        <v>0</v>
      </c>
      <c r="F499" s="87">
        <v>0</v>
      </c>
      <c r="G499" s="87">
        <v>0</v>
      </c>
      <c r="H499" s="88">
        <f>H501*H503*12</f>
        <v>0</v>
      </c>
      <c r="I499" s="88">
        <f t="shared" ref="I499:O499" si="119">I501*I503*12</f>
        <v>0</v>
      </c>
      <c r="J499" s="88">
        <f t="shared" si="119"/>
        <v>0</v>
      </c>
      <c r="K499" s="88">
        <f t="shared" si="119"/>
        <v>0</v>
      </c>
      <c r="L499" s="88">
        <f t="shared" si="119"/>
        <v>0</v>
      </c>
      <c r="M499" s="88">
        <f t="shared" si="119"/>
        <v>0</v>
      </c>
      <c r="N499" s="88">
        <f t="shared" si="119"/>
        <v>0</v>
      </c>
      <c r="O499" s="88">
        <f t="shared" si="119"/>
        <v>0</v>
      </c>
      <c r="Q499" s="35"/>
      <c r="S499" s="238"/>
      <c r="T499" s="238"/>
      <c r="U499" s="238"/>
      <c r="V499" s="238"/>
      <c r="W499" s="238"/>
      <c r="X499" s="238"/>
      <c r="Y499" s="238"/>
      <c r="Z499" s="238"/>
      <c r="AA499" s="238"/>
      <c r="AB499" s="238"/>
    </row>
    <row r="500" spans="2:28" x14ac:dyDescent="0.3">
      <c r="B500" s="35"/>
      <c r="C500" s="155" t="s">
        <v>162</v>
      </c>
      <c r="D500" s="129" t="s">
        <v>141</v>
      </c>
      <c r="E500" s="88">
        <f>E478-E498-E499</f>
        <v>0</v>
      </c>
      <c r="F500" s="88">
        <f>F478-F498-F499</f>
        <v>0</v>
      </c>
      <c r="G500" s="88">
        <f>G478-G498-G499</f>
        <v>0</v>
      </c>
      <c r="H500" s="88">
        <f t="shared" ref="H500:O500" si="120">H501*H504*12</f>
        <v>0</v>
      </c>
      <c r="I500" s="88">
        <f t="shared" si="120"/>
        <v>0</v>
      </c>
      <c r="J500" s="88">
        <f t="shared" si="120"/>
        <v>0</v>
      </c>
      <c r="K500" s="88">
        <f t="shared" si="120"/>
        <v>0</v>
      </c>
      <c r="L500" s="88">
        <f t="shared" si="120"/>
        <v>0</v>
      </c>
      <c r="M500" s="88">
        <f t="shared" si="120"/>
        <v>0</v>
      </c>
      <c r="N500" s="88">
        <f t="shared" si="120"/>
        <v>0</v>
      </c>
      <c r="O500" s="88">
        <f t="shared" si="120"/>
        <v>0</v>
      </c>
      <c r="Q500" s="35"/>
      <c r="S500" s="238"/>
      <c r="T500" s="238"/>
      <c r="U500" s="238"/>
      <c r="V500" s="238"/>
      <c r="W500" s="238"/>
      <c r="X500" s="238"/>
      <c r="Y500" s="238"/>
      <c r="Z500" s="238"/>
      <c r="AA500" s="238"/>
      <c r="AB500" s="238"/>
    </row>
    <row r="501" spans="2:28" x14ac:dyDescent="0.3">
      <c r="B501" s="35"/>
      <c r="C501" s="40" t="s">
        <v>163</v>
      </c>
      <c r="D501" s="43" t="s">
        <v>14</v>
      </c>
      <c r="E501" s="87">
        <v>0</v>
      </c>
      <c r="F501" s="87">
        <v>0</v>
      </c>
      <c r="G501" s="87">
        <v>0</v>
      </c>
      <c r="H501" s="87">
        <v>0</v>
      </c>
      <c r="I501" s="87">
        <v>0</v>
      </c>
      <c r="J501" s="87">
        <v>0</v>
      </c>
      <c r="K501" s="87">
        <v>0</v>
      </c>
      <c r="L501" s="87">
        <v>0</v>
      </c>
      <c r="M501" s="87">
        <v>0</v>
      </c>
      <c r="N501" s="87">
        <v>0</v>
      </c>
      <c r="O501" s="87">
        <v>0</v>
      </c>
      <c r="Q501" s="35"/>
      <c r="S501" s="238"/>
      <c r="T501" s="238"/>
      <c r="U501" s="238"/>
      <c r="V501" s="238"/>
      <c r="W501" s="238"/>
      <c r="X501" s="238"/>
      <c r="Y501" s="238"/>
      <c r="Z501" s="238"/>
      <c r="AA501" s="238"/>
      <c r="AB501" s="238"/>
    </row>
    <row r="502" spans="2:28" x14ac:dyDescent="0.3">
      <c r="B502" s="35"/>
      <c r="C502" s="40" t="s">
        <v>164</v>
      </c>
      <c r="D502" s="163" t="s">
        <v>165</v>
      </c>
      <c r="E502" s="88" t="e">
        <f>E498/E501/12</f>
        <v>#DIV/0!</v>
      </c>
      <c r="F502" s="88" t="e">
        <f>F498/F501/12</f>
        <v>#DIV/0!</v>
      </c>
      <c r="G502" s="88" t="e">
        <f>G498/G501/12</f>
        <v>#DIV/0!</v>
      </c>
      <c r="H502" s="88">
        <f>IFERROR(G502*(1+'Date macro-economice'!H$9)*(1+'Date macro-economice'!H$11*'Costuri operare'!H508)*(1+'Costuri operare'!H505),0)</f>
        <v>0</v>
      </c>
      <c r="I502" s="88">
        <f>H502*(1+'Date macro-economice'!I$9)*(1+'Date macro-economice'!I$11*'Costuri operare'!I508)*(1+'Costuri operare'!I505)</f>
        <v>0</v>
      </c>
      <c r="J502" s="88">
        <f>I502*(1+'Date macro-economice'!J$9)*(1+'Date macro-economice'!J$11*'Costuri operare'!J508)*(1+'Costuri operare'!J505)</f>
        <v>0</v>
      </c>
      <c r="K502" s="88">
        <f>J502*(1+'Date macro-economice'!K$9)*(1+'Date macro-economice'!K$11*'Costuri operare'!K508)*(1+'Costuri operare'!K505)</f>
        <v>0</v>
      </c>
      <c r="L502" s="88">
        <f>K502*(1+'Date macro-economice'!L$9)*(1+'Date macro-economice'!L$11*'Costuri operare'!L508)*(1+'Costuri operare'!L505)</f>
        <v>0</v>
      </c>
      <c r="M502" s="88">
        <f>L502*(1+'Date macro-economice'!M$9)*(1+'Date macro-economice'!M$11*'Costuri operare'!M508)*(1+'Costuri operare'!M505)</f>
        <v>0</v>
      </c>
      <c r="N502" s="88">
        <f>M502*(1+'Date macro-economice'!N$9)*(1+'Date macro-economice'!N$11*'Costuri operare'!N508)*(1+'Costuri operare'!N505)</f>
        <v>0</v>
      </c>
      <c r="O502" s="88">
        <f>N502*(1+'Date macro-economice'!O$9)*(1+'Date macro-economice'!O$11*'Costuri operare'!O508)*(1+'Costuri operare'!O505)</f>
        <v>0</v>
      </c>
      <c r="Q502" s="35"/>
      <c r="S502" s="238"/>
      <c r="T502" s="238"/>
      <c r="U502" s="238"/>
      <c r="V502" s="238"/>
      <c r="W502" s="238"/>
      <c r="X502" s="238"/>
      <c r="Y502" s="238"/>
      <c r="Z502" s="238"/>
      <c r="AA502" s="238"/>
      <c r="AB502" s="238"/>
    </row>
    <row r="503" spans="2:28" ht="28.8" x14ac:dyDescent="0.3">
      <c r="B503" s="35"/>
      <c r="C503" s="40" t="s">
        <v>166</v>
      </c>
      <c r="D503" s="163" t="s">
        <v>165</v>
      </c>
      <c r="E503" s="88" t="e">
        <f>E499/E501/12</f>
        <v>#DIV/0!</v>
      </c>
      <c r="F503" s="88" t="e">
        <f>F499/F501/12</f>
        <v>#DIV/0!</v>
      </c>
      <c r="G503" s="88" t="e">
        <f>G499/G501/12</f>
        <v>#DIV/0!</v>
      </c>
      <c r="H503" s="88">
        <f>IFERROR(G503*(1+'Date macro-economice'!H$9)*(1+'Date macro-economice'!H$11*'Costuri operare'!H508)*(1+'Costuri operare'!H506),0)</f>
        <v>0</v>
      </c>
      <c r="I503" s="88">
        <f>H503*(1+'Date macro-economice'!I$9)*(1+'Date macro-economice'!I$11*'Costuri operare'!I508)*(1+'Costuri operare'!I506)</f>
        <v>0</v>
      </c>
      <c r="J503" s="88">
        <f>I503*(1+'Date macro-economice'!J$9)*(1+'Date macro-economice'!J$11*'Costuri operare'!J508)*(1+'Costuri operare'!J506)</f>
        <v>0</v>
      </c>
      <c r="K503" s="88">
        <f>J503*(1+'Date macro-economice'!K$9)*(1+'Date macro-economice'!K$11*'Costuri operare'!K508)*(1+'Costuri operare'!K506)</f>
        <v>0</v>
      </c>
      <c r="L503" s="88">
        <f>K503*(1+'Date macro-economice'!L$9)*(1+'Date macro-economice'!L$11*'Costuri operare'!L508)*(1+'Costuri operare'!L506)</f>
        <v>0</v>
      </c>
      <c r="M503" s="88">
        <f>L503*(1+'Date macro-economice'!M$9)*(1+'Date macro-economice'!M$11*'Costuri operare'!M508)*(1+'Costuri operare'!M506)</f>
        <v>0</v>
      </c>
      <c r="N503" s="88">
        <f>M503*(1+'Date macro-economice'!N$9)*(1+'Date macro-economice'!N$11*'Costuri operare'!N508)*(1+'Costuri operare'!N506)</f>
        <v>0</v>
      </c>
      <c r="O503" s="88">
        <f>N503*(1+'Date macro-economice'!O$9)*(1+'Date macro-economice'!O$11*'Costuri operare'!O508)*(1+'Costuri operare'!O506)</f>
        <v>0</v>
      </c>
      <c r="Q503" s="35"/>
      <c r="S503" s="238"/>
      <c r="T503" s="238"/>
      <c r="U503" s="238"/>
      <c r="V503" s="238"/>
      <c r="W503" s="238"/>
      <c r="X503" s="238"/>
      <c r="Y503" s="238"/>
      <c r="Z503" s="238"/>
      <c r="AA503" s="238"/>
      <c r="AB503" s="238"/>
    </row>
    <row r="504" spans="2:28" x14ac:dyDescent="0.3">
      <c r="B504" s="35"/>
      <c r="C504" s="155" t="s">
        <v>167</v>
      </c>
      <c r="D504" s="164" t="s">
        <v>165</v>
      </c>
      <c r="E504" s="131" t="e">
        <f>E500/E501/12</f>
        <v>#DIV/0!</v>
      </c>
      <c r="F504" s="131" t="e">
        <f>F500/F501/12</f>
        <v>#DIV/0!</v>
      </c>
      <c r="G504" s="131" t="e">
        <f>G500/G501/12</f>
        <v>#DIV/0!</v>
      </c>
      <c r="H504" s="88">
        <f>IFERROR(G504*(1+'Date macro-economice'!H$9)*(1+'Date macro-economice'!H$11*'Costuri operare'!H508)*(1+'Costuri operare'!H507),0)</f>
        <v>0</v>
      </c>
      <c r="I504" s="88">
        <f>H504*(1+'Date macro-economice'!I$9)*(1+'Date macro-economice'!I$11*'Costuri operare'!I508)*(1+'Costuri operare'!I507)</f>
        <v>0</v>
      </c>
      <c r="J504" s="88">
        <f>I504*(1+'Date macro-economice'!J$9)*(1+'Date macro-economice'!J$11*'Costuri operare'!J508)*(1+'Costuri operare'!J507)</f>
        <v>0</v>
      </c>
      <c r="K504" s="88">
        <f>J504*(1+'Date macro-economice'!K$9)*(1+'Date macro-economice'!K$11*'Costuri operare'!K508)*(1+'Costuri operare'!K507)</f>
        <v>0</v>
      </c>
      <c r="L504" s="88">
        <f>K504*(1+'Date macro-economice'!L$9)*(1+'Date macro-economice'!L$11*'Costuri operare'!L508)*(1+'Costuri operare'!L507)</f>
        <v>0</v>
      </c>
      <c r="M504" s="88">
        <f>L504*(1+'Date macro-economice'!M$9)*(1+'Date macro-economice'!M$11*'Costuri operare'!M508)*(1+'Costuri operare'!M507)</f>
        <v>0</v>
      </c>
      <c r="N504" s="88">
        <f>M504*(1+'Date macro-economice'!N$9)*(1+'Date macro-economice'!N$11*'Costuri operare'!N508)*(1+'Costuri operare'!N507)</f>
        <v>0</v>
      </c>
      <c r="O504" s="88">
        <f>N504*(1+'Date macro-economice'!O$9)*(1+'Date macro-economice'!O$11*'Costuri operare'!O508)*(1+'Costuri operare'!O507)</f>
        <v>0</v>
      </c>
      <c r="Q504" s="35"/>
      <c r="S504" s="238"/>
      <c r="T504" s="238"/>
      <c r="U504" s="238"/>
      <c r="V504" s="238"/>
      <c r="W504" s="238"/>
      <c r="X504" s="238"/>
      <c r="Y504" s="238"/>
      <c r="Z504" s="238"/>
      <c r="AA504" s="238"/>
      <c r="AB504" s="238"/>
    </row>
    <row r="505" spans="2:28" s="22" customFormat="1" ht="50.25" customHeight="1" x14ac:dyDescent="0.3">
      <c r="B505" s="35"/>
      <c r="C505" s="40" t="s">
        <v>168</v>
      </c>
      <c r="D505" s="43" t="s">
        <v>47</v>
      </c>
      <c r="E505" s="92" t="s">
        <v>92</v>
      </c>
      <c r="F505" s="36" t="e">
        <f>(F502/E502)/((1+'Date macro-economice'!F$9)*(1+'Date macro-economice'!F$11*F$58))-1</f>
        <v>#DIV/0!</v>
      </c>
      <c r="G505" s="36" t="e">
        <f>(G502/F502)/((1+'Date macro-economice'!G$9)*(1+'Date macro-economice'!G$11*G$58))-1</f>
        <v>#DIV/0!</v>
      </c>
      <c r="H505" s="159">
        <v>0</v>
      </c>
      <c r="I505" s="159">
        <v>0</v>
      </c>
      <c r="J505" s="159">
        <v>0</v>
      </c>
      <c r="K505" s="159">
        <v>0</v>
      </c>
      <c r="L505" s="159">
        <v>0</v>
      </c>
      <c r="M505" s="159">
        <v>0</v>
      </c>
      <c r="N505" s="159">
        <v>0</v>
      </c>
      <c r="O505" s="159">
        <v>0</v>
      </c>
      <c r="Q505" s="35"/>
      <c r="S505" s="238"/>
      <c r="T505" s="238"/>
      <c r="U505" s="238"/>
      <c r="V505" s="238"/>
      <c r="W505" s="238"/>
      <c r="X505" s="238"/>
      <c r="Y505" s="238"/>
      <c r="Z505" s="238"/>
      <c r="AA505" s="238"/>
      <c r="AB505" s="238"/>
    </row>
    <row r="506" spans="2:28" s="22" customFormat="1" ht="43.2" x14ac:dyDescent="0.3">
      <c r="B506" s="35"/>
      <c r="C506" s="40" t="s">
        <v>169</v>
      </c>
      <c r="D506" s="43" t="s">
        <v>47</v>
      </c>
      <c r="E506" s="92" t="s">
        <v>92</v>
      </c>
      <c r="F506" s="36" t="e">
        <f>(F503/E503)/((1+'Date macro-economice'!F$9)*(1+'Date macro-economice'!F$11*F$58))-1</f>
        <v>#DIV/0!</v>
      </c>
      <c r="G506" s="36" t="e">
        <f>(G503/F503)/((1+'Date macro-economice'!G$9)*(1+'Date macro-economice'!G$11*G$58))-1</f>
        <v>#DIV/0!</v>
      </c>
      <c r="H506" s="159">
        <v>0</v>
      </c>
      <c r="I506" s="159">
        <v>0</v>
      </c>
      <c r="J506" s="159">
        <v>0</v>
      </c>
      <c r="K506" s="159">
        <v>0</v>
      </c>
      <c r="L506" s="159">
        <v>0</v>
      </c>
      <c r="M506" s="159">
        <v>0</v>
      </c>
      <c r="N506" s="159">
        <v>0</v>
      </c>
      <c r="O506" s="159">
        <v>0</v>
      </c>
      <c r="Q506" s="35"/>
      <c r="S506" s="238"/>
      <c r="T506" s="238"/>
      <c r="U506" s="238"/>
      <c r="V506" s="238"/>
      <c r="W506" s="238"/>
      <c r="X506" s="238"/>
      <c r="Y506" s="238"/>
      <c r="Z506" s="238"/>
      <c r="AA506" s="238"/>
      <c r="AB506" s="238"/>
    </row>
    <row r="507" spans="2:28" s="22" customFormat="1" ht="43.2" x14ac:dyDescent="0.3">
      <c r="B507" s="35"/>
      <c r="C507" s="40" t="s">
        <v>169</v>
      </c>
      <c r="D507" s="43" t="s">
        <v>47</v>
      </c>
      <c r="E507" s="92" t="s">
        <v>92</v>
      </c>
      <c r="F507" s="36" t="e">
        <f>(F504/E504)/((1+'Date macro-economice'!F$9)*(1+'Date macro-economice'!F$11*F$58))-1</f>
        <v>#DIV/0!</v>
      </c>
      <c r="G507" s="36" t="e">
        <f>(G504/F504)/((1+'Date macro-economice'!G$9)*(1+'Date macro-economice'!G$11*G$58))-1</f>
        <v>#DIV/0!</v>
      </c>
      <c r="H507" s="159">
        <v>0</v>
      </c>
      <c r="I507" s="159">
        <v>0</v>
      </c>
      <c r="J507" s="159">
        <v>0</v>
      </c>
      <c r="K507" s="159">
        <v>0</v>
      </c>
      <c r="L507" s="159">
        <v>0</v>
      </c>
      <c r="M507" s="159">
        <v>0</v>
      </c>
      <c r="N507" s="159">
        <v>0</v>
      </c>
      <c r="O507" s="159">
        <v>0</v>
      </c>
      <c r="Q507" s="35"/>
      <c r="S507" s="238"/>
      <c r="T507" s="238"/>
      <c r="U507" s="238"/>
      <c r="V507" s="238"/>
      <c r="W507" s="238"/>
      <c r="X507" s="238"/>
      <c r="Y507" s="238"/>
      <c r="Z507" s="238"/>
      <c r="AA507" s="238"/>
      <c r="AB507" s="238"/>
    </row>
    <row r="508" spans="2:28" s="22" customFormat="1" ht="43.2" x14ac:dyDescent="0.3">
      <c r="B508" s="35"/>
      <c r="C508" s="40" t="s">
        <v>171</v>
      </c>
      <c r="D508" s="43" t="s">
        <v>47</v>
      </c>
      <c r="E508" s="92"/>
      <c r="F508" s="165">
        <v>0.75</v>
      </c>
      <c r="G508" s="165">
        <v>0.75</v>
      </c>
      <c r="H508" s="165">
        <v>0.75</v>
      </c>
      <c r="I508" s="165">
        <v>0.75</v>
      </c>
      <c r="J508" s="165">
        <v>0.75</v>
      </c>
      <c r="K508" s="165">
        <v>0.75</v>
      </c>
      <c r="L508" s="165">
        <v>0.75</v>
      </c>
      <c r="M508" s="165">
        <v>0.75</v>
      </c>
      <c r="N508" s="165">
        <v>0.75</v>
      </c>
      <c r="O508" s="165">
        <v>0.75</v>
      </c>
      <c r="Q508" s="35"/>
      <c r="S508" s="238"/>
      <c r="T508" s="238"/>
      <c r="U508" s="238"/>
      <c r="V508" s="238"/>
      <c r="W508" s="238"/>
      <c r="X508" s="238"/>
      <c r="Y508" s="238"/>
      <c r="Z508" s="238"/>
      <c r="AA508" s="238"/>
      <c r="AB508" s="238"/>
    </row>
    <row r="509" spans="2:28" x14ac:dyDescent="0.3">
      <c r="B509" s="35"/>
      <c r="Q509" s="35"/>
      <c r="S509" s="238"/>
      <c r="T509" s="238"/>
      <c r="U509" s="238"/>
      <c r="V509" s="238"/>
      <c r="W509" s="238"/>
      <c r="X509" s="238"/>
      <c r="Y509" s="238"/>
      <c r="Z509" s="238"/>
      <c r="AA509" s="238"/>
      <c r="AB509" s="238"/>
    </row>
    <row r="510" spans="2:28" ht="28.8" x14ac:dyDescent="0.3">
      <c r="B510" s="35"/>
      <c r="C510" s="40" t="s">
        <v>172</v>
      </c>
      <c r="D510" s="43" t="s">
        <v>47</v>
      </c>
      <c r="E510" s="92" t="s">
        <v>92</v>
      </c>
      <c r="F510" s="162" t="e">
        <f>(F479/E479)/(1+'Date macro-economice'!F$9)-1</f>
        <v>#DIV/0!</v>
      </c>
      <c r="G510" s="162" t="e">
        <f>(G479/F479)/(1+'Date macro-economice'!G$9)-1</f>
        <v>#DIV/0!</v>
      </c>
      <c r="H510" s="159">
        <v>0</v>
      </c>
      <c r="I510" s="159">
        <v>0</v>
      </c>
      <c r="J510" s="159">
        <v>0</v>
      </c>
      <c r="K510" s="159">
        <v>0</v>
      </c>
      <c r="L510" s="159">
        <v>0</v>
      </c>
      <c r="M510" s="159">
        <v>0</v>
      </c>
      <c r="N510" s="159">
        <v>0</v>
      </c>
      <c r="O510" s="159">
        <v>0</v>
      </c>
      <c r="Q510" s="35"/>
      <c r="S510" s="238"/>
      <c r="T510" s="238"/>
      <c r="U510" s="238"/>
      <c r="V510" s="238"/>
      <c r="W510" s="238"/>
      <c r="X510" s="238"/>
      <c r="Y510" s="238"/>
      <c r="Z510" s="238"/>
      <c r="AA510" s="238"/>
      <c r="AB510" s="238"/>
    </row>
    <row r="511" spans="2:28" ht="51.75" customHeight="1" x14ac:dyDescent="0.3">
      <c r="B511" s="35"/>
      <c r="C511" s="40" t="s">
        <v>173</v>
      </c>
      <c r="D511" s="43" t="s">
        <v>47</v>
      </c>
      <c r="E511" s="92" t="s">
        <v>92</v>
      </c>
      <c r="F511" s="162" t="e">
        <f>(F480/E480)/(1+'Date macro-economice'!F$9)-1</f>
        <v>#DIV/0!</v>
      </c>
      <c r="G511" s="162" t="e">
        <f>(G480/F480)/(1+'Date macro-economice'!G$9)-1</f>
        <v>#DIV/0!</v>
      </c>
      <c r="H511" s="159">
        <v>0</v>
      </c>
      <c r="I511" s="159">
        <v>0</v>
      </c>
      <c r="J511" s="159">
        <v>0</v>
      </c>
      <c r="K511" s="159">
        <v>0</v>
      </c>
      <c r="L511" s="159">
        <v>0</v>
      </c>
      <c r="M511" s="159">
        <v>0</v>
      </c>
      <c r="N511" s="159">
        <v>0</v>
      </c>
      <c r="O511" s="159">
        <v>0</v>
      </c>
      <c r="Q511" s="35"/>
      <c r="S511" s="238"/>
      <c r="T511" s="238"/>
      <c r="U511" s="238"/>
      <c r="V511" s="238"/>
      <c r="W511" s="238"/>
      <c r="X511" s="238"/>
      <c r="Y511" s="238"/>
      <c r="Z511" s="238"/>
      <c r="AA511" s="238"/>
      <c r="AB511" s="238"/>
    </row>
    <row r="512" spans="2:28" ht="28.8" x14ac:dyDescent="0.3">
      <c r="B512" s="35"/>
      <c r="C512" s="40" t="s">
        <v>174</v>
      </c>
      <c r="D512" s="43" t="s">
        <v>47</v>
      </c>
      <c r="E512" s="92" t="s">
        <v>92</v>
      </c>
      <c r="F512" s="162" t="e">
        <f>(F485/E485)/(1+'Date macro-economice'!F$9)-1</f>
        <v>#DIV/0!</v>
      </c>
      <c r="G512" s="162" t="e">
        <f>(G485/F485)/(1+'Date macro-economice'!G$9)-1</f>
        <v>#DIV/0!</v>
      </c>
      <c r="H512" s="159">
        <v>0</v>
      </c>
      <c r="I512" s="159">
        <v>0</v>
      </c>
      <c r="J512" s="159">
        <v>0</v>
      </c>
      <c r="K512" s="159">
        <v>0</v>
      </c>
      <c r="L512" s="159">
        <v>0</v>
      </c>
      <c r="M512" s="159">
        <v>0</v>
      </c>
      <c r="N512" s="159">
        <v>0</v>
      </c>
      <c r="O512" s="159">
        <v>0</v>
      </c>
      <c r="Q512" s="35"/>
      <c r="S512" s="238"/>
      <c r="T512" s="238"/>
      <c r="U512" s="238"/>
      <c r="V512" s="238"/>
      <c r="W512" s="238"/>
      <c r="X512" s="238"/>
      <c r="Y512" s="238"/>
      <c r="Z512" s="238"/>
      <c r="AA512" s="238"/>
      <c r="AB512" s="238"/>
    </row>
    <row r="513" spans="2:28" x14ac:dyDescent="0.3">
      <c r="B513" s="35"/>
      <c r="Q513" s="35"/>
      <c r="S513" s="238"/>
      <c r="T513" s="238"/>
      <c r="U513" s="238"/>
      <c r="V513" s="238"/>
      <c r="W513" s="238"/>
      <c r="X513" s="238"/>
      <c r="Y513" s="238"/>
      <c r="Z513" s="238"/>
      <c r="AA513" s="238"/>
      <c r="AB513" s="238"/>
    </row>
    <row r="514" spans="2:28" s="22" customFormat="1" x14ac:dyDescent="0.3">
      <c r="B514" s="35"/>
      <c r="C514" s="66" t="s">
        <v>196</v>
      </c>
      <c r="D514" s="40"/>
      <c r="E514" s="40"/>
      <c r="F514" s="40"/>
      <c r="G514" s="40"/>
      <c r="H514" s="40"/>
      <c r="I514" s="40"/>
      <c r="J514" s="40"/>
      <c r="K514" s="40"/>
      <c r="L514" s="40"/>
      <c r="M514" s="40"/>
      <c r="N514" s="40"/>
      <c r="O514" s="40"/>
      <c r="Q514" s="35"/>
      <c r="S514" s="238"/>
      <c r="T514" s="238"/>
      <c r="U514" s="238"/>
      <c r="V514" s="238"/>
      <c r="W514" s="238"/>
      <c r="X514" s="238"/>
      <c r="Y514" s="238"/>
      <c r="Z514" s="238"/>
      <c r="AA514" s="238"/>
      <c r="AB514" s="238"/>
    </row>
    <row r="515" spans="2:28" s="22" customFormat="1" x14ac:dyDescent="0.3">
      <c r="B515" s="35"/>
      <c r="C515" s="40" t="s">
        <v>183</v>
      </c>
      <c r="D515" s="43" t="s">
        <v>184</v>
      </c>
      <c r="E515" s="87">
        <v>0</v>
      </c>
      <c r="F515" s="87">
        <v>0</v>
      </c>
      <c r="G515" s="87">
        <v>0</v>
      </c>
      <c r="H515" s="87">
        <v>0</v>
      </c>
      <c r="I515" s="87">
        <v>0</v>
      </c>
      <c r="J515" s="87">
        <v>0</v>
      </c>
      <c r="K515" s="87">
        <v>0</v>
      </c>
      <c r="L515" s="87">
        <v>0</v>
      </c>
      <c r="M515" s="87">
        <v>0</v>
      </c>
      <c r="N515" s="87">
        <v>0</v>
      </c>
      <c r="O515" s="87">
        <v>0</v>
      </c>
      <c r="Q515" s="35"/>
      <c r="S515" s="238"/>
      <c r="T515" s="238"/>
      <c r="U515" s="238"/>
      <c r="V515" s="238"/>
      <c r="W515" s="238"/>
      <c r="X515" s="238"/>
      <c r="Y515" s="238"/>
      <c r="Z515" s="238"/>
      <c r="AA515" s="238"/>
      <c r="AB515" s="238"/>
    </row>
    <row r="516" spans="2:28" s="22" customFormat="1" x14ac:dyDescent="0.3">
      <c r="B516" s="35"/>
      <c r="C516" s="40" t="s">
        <v>185</v>
      </c>
      <c r="D516" s="43" t="s">
        <v>186</v>
      </c>
      <c r="E516" s="150" t="e">
        <f>E518/E515</f>
        <v>#DIV/0!</v>
      </c>
      <c r="F516" s="150" t="e">
        <f>F518/F515</f>
        <v>#DIV/0!</v>
      </c>
      <c r="G516" s="150" t="e">
        <f>G518/G515</f>
        <v>#DIV/0!</v>
      </c>
      <c r="H516" s="170" t="e">
        <f>G516*(1+'Date macro-economice'!H$9)*(1+H517)</f>
        <v>#DIV/0!</v>
      </c>
      <c r="I516" s="170" t="e">
        <f>H516*(1+'Date macro-economice'!I$9)*(1+I517)</f>
        <v>#DIV/0!</v>
      </c>
      <c r="J516" s="170" t="e">
        <f>I516*(1+'Date macro-economice'!J$9)*(1+J517)</f>
        <v>#DIV/0!</v>
      </c>
      <c r="K516" s="170" t="e">
        <f>J516*(1+'Date macro-economice'!K$9)*(1+K517)</f>
        <v>#DIV/0!</v>
      </c>
      <c r="L516" s="170" t="e">
        <f>K516*(1+'Date macro-economice'!L$9)*(1+L517)</f>
        <v>#DIV/0!</v>
      </c>
      <c r="M516" s="170" t="e">
        <f>L516*(1+'Date macro-economice'!M$9)*(1+M517)</f>
        <v>#DIV/0!</v>
      </c>
      <c r="N516" s="170" t="e">
        <f>M516*(1+'Date macro-economice'!N$9)*(1+N517)</f>
        <v>#DIV/0!</v>
      </c>
      <c r="O516" s="170" t="e">
        <f>N516*(1+'Date macro-economice'!O$9)*(1+O517)</f>
        <v>#DIV/0!</v>
      </c>
      <c r="Q516" s="35"/>
      <c r="S516" s="238"/>
      <c r="T516" s="238"/>
      <c r="U516" s="238"/>
      <c r="V516" s="238"/>
      <c r="W516" s="238"/>
      <c r="X516" s="238"/>
      <c r="Y516" s="238"/>
      <c r="Z516" s="238"/>
      <c r="AA516" s="238"/>
      <c r="AB516" s="238"/>
    </row>
    <row r="517" spans="2:28" s="22" customFormat="1" ht="31.5" customHeight="1" x14ac:dyDescent="0.3">
      <c r="B517" s="35"/>
      <c r="C517" s="40" t="s">
        <v>148</v>
      </c>
      <c r="D517" s="43" t="s">
        <v>47</v>
      </c>
      <c r="E517" s="158" t="s">
        <v>92</v>
      </c>
      <c r="F517" s="36" t="e">
        <f>(F516/E516)/(1+'Date macro-economice'!F$9)-1</f>
        <v>#DIV/0!</v>
      </c>
      <c r="G517" s="36" t="e">
        <f>(G516/F516)/(1+'Date macro-economice'!G$9)-1</f>
        <v>#DIV/0!</v>
      </c>
      <c r="H517" s="159">
        <v>0</v>
      </c>
      <c r="I517" s="159">
        <v>0</v>
      </c>
      <c r="J517" s="159">
        <v>0</v>
      </c>
      <c r="K517" s="159">
        <v>0</v>
      </c>
      <c r="L517" s="159">
        <v>0</v>
      </c>
      <c r="M517" s="159">
        <v>0</v>
      </c>
      <c r="N517" s="159">
        <v>0</v>
      </c>
      <c r="O517" s="159">
        <v>0</v>
      </c>
      <c r="Q517" s="35"/>
      <c r="S517" s="238"/>
      <c r="T517" s="238"/>
      <c r="U517" s="238"/>
      <c r="V517" s="238"/>
      <c r="W517" s="238"/>
      <c r="X517" s="238"/>
      <c r="Y517" s="238"/>
      <c r="Z517" s="238"/>
      <c r="AA517" s="238"/>
      <c r="AB517" s="238"/>
    </row>
    <row r="518" spans="2:28" x14ac:dyDescent="0.3">
      <c r="B518" s="35"/>
      <c r="C518" s="81" t="s">
        <v>149</v>
      </c>
      <c r="D518" s="82" t="s">
        <v>141</v>
      </c>
      <c r="E518" s="91">
        <f>E484</f>
        <v>0</v>
      </c>
      <c r="F518" s="91">
        <f>F484</f>
        <v>0</v>
      </c>
      <c r="G518" s="91">
        <f>G484</f>
        <v>0</v>
      </c>
      <c r="H518" s="91">
        <f>IFERROR(H515*H516,0)</f>
        <v>0</v>
      </c>
      <c r="I518" s="91">
        <f t="shared" ref="I518:O518" si="121">IFERROR(I515*I516,0)</f>
        <v>0</v>
      </c>
      <c r="J518" s="91">
        <f t="shared" si="121"/>
        <v>0</v>
      </c>
      <c r="K518" s="91">
        <f t="shared" si="121"/>
        <v>0</v>
      </c>
      <c r="L518" s="91">
        <f t="shared" si="121"/>
        <v>0</v>
      </c>
      <c r="M518" s="91">
        <f t="shared" si="121"/>
        <v>0</v>
      </c>
      <c r="N518" s="91">
        <f t="shared" si="121"/>
        <v>0</v>
      </c>
      <c r="O518" s="91">
        <f t="shared" si="121"/>
        <v>0</v>
      </c>
      <c r="Q518" s="35"/>
      <c r="S518" s="238"/>
      <c r="T518" s="238"/>
      <c r="U518" s="238"/>
      <c r="V518" s="238"/>
      <c r="W518" s="238"/>
      <c r="X518" s="238"/>
      <c r="Y518" s="238"/>
      <c r="Z518" s="238"/>
      <c r="AA518" s="238"/>
      <c r="AB518" s="238"/>
    </row>
    <row r="519" spans="2:28" x14ac:dyDescent="0.3">
      <c r="B519" s="35"/>
      <c r="Q519" s="35"/>
      <c r="S519" s="238"/>
      <c r="T519" s="238"/>
      <c r="U519" s="238"/>
      <c r="V519" s="238"/>
      <c r="W519" s="238"/>
      <c r="X519" s="238"/>
      <c r="Y519" s="238"/>
      <c r="Z519" s="238"/>
      <c r="AA519" s="238"/>
      <c r="AB519" s="238"/>
    </row>
    <row r="520" spans="2:28" ht="28.8" x14ac:dyDescent="0.3">
      <c r="B520" s="35"/>
      <c r="C520" s="40" t="s">
        <v>175</v>
      </c>
      <c r="D520" s="43" t="s">
        <v>47</v>
      </c>
      <c r="E520" s="92" t="s">
        <v>92</v>
      </c>
      <c r="F520" s="162" t="e">
        <f>F481/E481-1</f>
        <v>#DIV/0!</v>
      </c>
      <c r="G520" s="162" t="e">
        <f>G481/F481-1</f>
        <v>#DIV/0!</v>
      </c>
      <c r="H520" s="166">
        <f>IFERROR('Amortizare si redeventa'!H302,0)</f>
        <v>0</v>
      </c>
      <c r="I520" s="166">
        <f>IFERROR('Amortizare si redeventa'!I302,0)</f>
        <v>0</v>
      </c>
      <c r="J520" s="166">
        <f>IFERROR('Amortizare si redeventa'!J302,0)</f>
        <v>0</v>
      </c>
      <c r="K520" s="166">
        <f>IFERROR('Amortizare si redeventa'!K302,0)</f>
        <v>0</v>
      </c>
      <c r="L520" s="166">
        <f>IFERROR('Amortizare si redeventa'!L302,0)</f>
        <v>0</v>
      </c>
      <c r="M520" s="166">
        <f>IFERROR('Amortizare si redeventa'!M302,0)</f>
        <v>0</v>
      </c>
      <c r="N520" s="166">
        <f>IFERROR('Amortizare si redeventa'!N302,0)</f>
        <v>0</v>
      </c>
      <c r="O520" s="166">
        <f>IFERROR('Amortizare si redeventa'!O302,0)</f>
        <v>0</v>
      </c>
      <c r="Q520" s="35"/>
      <c r="S520" s="238"/>
      <c r="T520" s="238"/>
      <c r="U520" s="238"/>
      <c r="V520" s="238"/>
      <c r="W520" s="238"/>
      <c r="X520" s="238"/>
      <c r="Y520" s="238"/>
      <c r="Z520" s="238"/>
      <c r="AA520" s="238"/>
      <c r="AB520" s="238"/>
    </row>
    <row r="521" spans="2:28" ht="28.8" x14ac:dyDescent="0.3">
      <c r="B521" s="35"/>
      <c r="C521" s="40" t="s">
        <v>176</v>
      </c>
      <c r="D521" s="43" t="s">
        <v>47</v>
      </c>
      <c r="E521" s="92" t="s">
        <v>92</v>
      </c>
      <c r="F521" s="162" t="e">
        <f>F482/E482-1</f>
        <v>#DIV/0!</v>
      </c>
      <c r="G521" s="162" t="e">
        <f>G482/F482-1</f>
        <v>#DIV/0!</v>
      </c>
      <c r="H521" s="166">
        <f>IFERROR('Amortizare si redeventa'!H308,0)</f>
        <v>0</v>
      </c>
      <c r="I521" s="166">
        <f>IFERROR('Amortizare si redeventa'!I308,0)</f>
        <v>0</v>
      </c>
      <c r="J521" s="166">
        <f>IFERROR('Amortizare si redeventa'!J308,0)</f>
        <v>0</v>
      </c>
      <c r="K521" s="166">
        <f>IFERROR('Amortizare si redeventa'!K308,0)</f>
        <v>0</v>
      </c>
      <c r="L521" s="166">
        <f>IFERROR('Amortizare si redeventa'!L308,0)</f>
        <v>0</v>
      </c>
      <c r="M521" s="166">
        <f>IFERROR('Amortizare si redeventa'!M308,0)</f>
        <v>0</v>
      </c>
      <c r="N521" s="166">
        <f>IFERROR('Amortizare si redeventa'!N308,0)</f>
        <v>0</v>
      </c>
      <c r="O521" s="166">
        <f>IFERROR('Amortizare si redeventa'!O308,0)</f>
        <v>0</v>
      </c>
      <c r="Q521" s="35"/>
      <c r="S521" s="238"/>
      <c r="T521" s="238"/>
      <c r="U521" s="238"/>
      <c r="V521" s="238"/>
      <c r="W521" s="238"/>
      <c r="X521" s="238"/>
      <c r="Y521" s="238"/>
      <c r="Z521" s="238"/>
      <c r="AA521" s="238"/>
      <c r="AB521" s="238"/>
    </row>
    <row r="522" spans="2:28" x14ac:dyDescent="0.3">
      <c r="B522" s="35"/>
      <c r="Q522" s="35"/>
      <c r="S522" s="238"/>
      <c r="T522" s="238"/>
      <c r="U522" s="238"/>
      <c r="V522" s="238"/>
      <c r="W522" s="238"/>
      <c r="X522" s="238"/>
      <c r="Y522" s="238"/>
      <c r="Z522" s="238"/>
      <c r="AA522" s="238"/>
      <c r="AB522" s="238"/>
    </row>
    <row r="523" spans="2:28" ht="6.6" customHeight="1" x14ac:dyDescent="0.3">
      <c r="B523" s="35"/>
      <c r="C523" s="35"/>
      <c r="D523" s="35"/>
      <c r="E523" s="35"/>
      <c r="F523" s="35"/>
      <c r="G523" s="35"/>
      <c r="H523" s="35"/>
      <c r="I523" s="35"/>
      <c r="J523" s="35"/>
      <c r="K523" s="35"/>
      <c r="L523" s="35"/>
      <c r="M523" s="35"/>
      <c r="N523" s="35"/>
      <c r="O523" s="35"/>
      <c r="P523" s="35"/>
      <c r="Q523" s="35"/>
    </row>
    <row r="527" spans="2:28" x14ac:dyDescent="0.3">
      <c r="C527" s="172" t="s">
        <v>203</v>
      </c>
      <c r="D527" s="173"/>
      <c r="E527" s="173"/>
      <c r="F527" s="173"/>
      <c r="G527" s="173"/>
    </row>
    <row r="529" spans="3:7" x14ac:dyDescent="0.3">
      <c r="C529" s="81" t="s">
        <v>204</v>
      </c>
      <c r="D529" s="14"/>
      <c r="E529" s="51">
        <f>F529-1</f>
        <v>2022</v>
      </c>
      <c r="F529" s="51">
        <f>G529-1</f>
        <v>2023</v>
      </c>
      <c r="G529" s="46">
        <f>'Date generale'!$D$8</f>
        <v>2024</v>
      </c>
    </row>
    <row r="530" spans="3:7" x14ac:dyDescent="0.3">
      <c r="C530" s="50" t="s">
        <v>205</v>
      </c>
      <c r="D530" s="43" t="s">
        <v>141</v>
      </c>
      <c r="E530" s="87">
        <v>50233</v>
      </c>
      <c r="F530" s="87">
        <v>59330</v>
      </c>
      <c r="G530" s="87">
        <v>68322</v>
      </c>
    </row>
    <row r="531" spans="3:7" x14ac:dyDescent="0.3">
      <c r="C531" s="40" t="s">
        <v>132</v>
      </c>
      <c r="D531" s="43" t="s">
        <v>141</v>
      </c>
      <c r="E531" s="87">
        <v>313654</v>
      </c>
      <c r="F531" s="87">
        <v>322142</v>
      </c>
      <c r="G531" s="87">
        <v>245399</v>
      </c>
    </row>
    <row r="532" spans="3:7" x14ac:dyDescent="0.3">
      <c r="C532" s="40" t="s">
        <v>133</v>
      </c>
      <c r="D532" s="43" t="s">
        <v>141</v>
      </c>
      <c r="E532" s="87">
        <v>731216</v>
      </c>
      <c r="F532" s="87">
        <v>780305</v>
      </c>
      <c r="G532" s="87">
        <v>634854</v>
      </c>
    </row>
    <row r="533" spans="3:7" x14ac:dyDescent="0.3">
      <c r="C533" s="40" t="s">
        <v>134</v>
      </c>
      <c r="D533" s="43" t="s">
        <v>141</v>
      </c>
      <c r="E533" s="87">
        <v>2242345</v>
      </c>
      <c r="F533" s="87">
        <v>2635178</v>
      </c>
      <c r="G533" s="87">
        <v>3068882</v>
      </c>
    </row>
    <row r="534" spans="3:7" x14ac:dyDescent="0.3">
      <c r="C534" s="40" t="s">
        <v>135</v>
      </c>
      <c r="D534" s="43" t="s">
        <v>141</v>
      </c>
      <c r="E534" s="87">
        <v>0</v>
      </c>
      <c r="F534" s="87">
        <v>0</v>
      </c>
      <c r="G534" s="87">
        <v>0</v>
      </c>
    </row>
    <row r="535" spans="3:7" x14ac:dyDescent="0.3">
      <c r="C535" s="40" t="s">
        <v>136</v>
      </c>
      <c r="D535" s="43" t="s">
        <v>141</v>
      </c>
      <c r="E535" s="87">
        <v>161675</v>
      </c>
      <c r="F535" s="87">
        <v>184840</v>
      </c>
      <c r="G535" s="87">
        <v>210333</v>
      </c>
    </row>
    <row r="536" spans="3:7" x14ac:dyDescent="0.3">
      <c r="C536" s="40" t="s">
        <v>137</v>
      </c>
      <c r="D536" s="43" t="s">
        <v>141</v>
      </c>
      <c r="E536" s="87">
        <v>49094</v>
      </c>
      <c r="F536" s="87">
        <v>84023</v>
      </c>
      <c r="G536" s="87">
        <v>126162</v>
      </c>
    </row>
    <row r="537" spans="3:7" x14ac:dyDescent="0.3">
      <c r="C537" s="40" t="s">
        <v>138</v>
      </c>
      <c r="D537" s="43" t="s">
        <v>141</v>
      </c>
      <c r="E537" s="87"/>
      <c r="F537" s="87"/>
      <c r="G537" s="87">
        <v>2</v>
      </c>
    </row>
    <row r="538" spans="3:7" ht="28.8" x14ac:dyDescent="0.3">
      <c r="C538" s="40" t="s">
        <v>142</v>
      </c>
      <c r="D538" s="43" t="s">
        <v>141</v>
      </c>
      <c r="E538" s="87"/>
      <c r="F538" s="87"/>
      <c r="G538" s="87"/>
    </row>
    <row r="539" spans="3:7" ht="28.35" customHeight="1" x14ac:dyDescent="0.3">
      <c r="C539" s="155" t="s">
        <v>181</v>
      </c>
      <c r="D539" s="43" t="s">
        <v>141</v>
      </c>
      <c r="E539" s="87"/>
      <c r="F539" s="87"/>
      <c r="G539" s="87"/>
    </row>
    <row r="540" spans="3:7" x14ac:dyDescent="0.3">
      <c r="C540" s="40" t="s">
        <v>139</v>
      </c>
      <c r="D540" s="43" t="s">
        <v>141</v>
      </c>
      <c r="E540" s="87">
        <v>161578</v>
      </c>
      <c r="F540" s="87">
        <v>135998</v>
      </c>
      <c r="G540" s="87">
        <v>91674</v>
      </c>
    </row>
    <row r="541" spans="3:7" x14ac:dyDescent="0.3">
      <c r="C541" s="40" t="s">
        <v>206</v>
      </c>
      <c r="D541" s="43" t="s">
        <v>141</v>
      </c>
      <c r="E541" s="87"/>
      <c r="F541" s="87"/>
      <c r="G541" s="87"/>
    </row>
    <row r="542" spans="3:7" x14ac:dyDescent="0.3">
      <c r="C542" s="42" t="s">
        <v>207</v>
      </c>
      <c r="D542" s="51" t="s">
        <v>141</v>
      </c>
      <c r="E542" s="91">
        <f>SUM(E530:E541)</f>
        <v>3709795</v>
      </c>
      <c r="F542" s="91">
        <f>SUM(F530:F541)</f>
        <v>4201816</v>
      </c>
      <c r="G542" s="174">
        <f>SUM(G530:G541)</f>
        <v>4445628</v>
      </c>
    </row>
    <row r="544" spans="3:7" x14ac:dyDescent="0.3">
      <c r="C544" s="81" t="s">
        <v>208</v>
      </c>
      <c r="D544" s="14"/>
      <c r="E544" s="51">
        <f>F544-1</f>
        <v>2022</v>
      </c>
      <c r="F544" s="51">
        <f>G544-1</f>
        <v>2023</v>
      </c>
      <c r="G544" s="51">
        <f>'Date generale'!$D$8</f>
        <v>2024</v>
      </c>
    </row>
    <row r="545" spans="3:7" x14ac:dyDescent="0.3">
      <c r="C545" s="50" t="s">
        <v>205</v>
      </c>
      <c r="D545" s="43" t="s">
        <v>141</v>
      </c>
      <c r="E545" s="88">
        <f>E12+E13+E128+E129+E190+E191+E252+E253</f>
        <v>50233</v>
      </c>
      <c r="F545" s="88">
        <f>F12+F13+F128+F129+F190+F191+F252+F253</f>
        <v>59330</v>
      </c>
      <c r="G545" s="88">
        <f>G12+G13+G128+G129+G190+G191+G252+G253</f>
        <v>68322</v>
      </c>
    </row>
    <row r="546" spans="3:7" x14ac:dyDescent="0.3">
      <c r="C546" s="40" t="s">
        <v>132</v>
      </c>
      <c r="D546" s="43" t="s">
        <v>141</v>
      </c>
      <c r="E546" s="88">
        <f t="shared" ref="E546:G553" si="122">E14+E74+E130+E192+E254+E314+E368+E422+E476</f>
        <v>313654</v>
      </c>
      <c r="F546" s="88">
        <f t="shared" si="122"/>
        <v>322142</v>
      </c>
      <c r="G546" s="88">
        <f t="shared" si="122"/>
        <v>245399</v>
      </c>
    </row>
    <row r="547" spans="3:7" x14ac:dyDescent="0.3">
      <c r="C547" s="40" t="s">
        <v>133</v>
      </c>
      <c r="D547" s="43" t="s">
        <v>141</v>
      </c>
      <c r="E547" s="88">
        <f t="shared" si="122"/>
        <v>731216</v>
      </c>
      <c r="F547" s="88">
        <f t="shared" si="122"/>
        <v>780305</v>
      </c>
      <c r="G547" s="88">
        <f t="shared" si="122"/>
        <v>634854</v>
      </c>
    </row>
    <row r="548" spans="3:7" x14ac:dyDescent="0.3">
      <c r="C548" s="40" t="s">
        <v>134</v>
      </c>
      <c r="D548" s="43" t="s">
        <v>141</v>
      </c>
      <c r="E548" s="88">
        <f t="shared" si="122"/>
        <v>2242345</v>
      </c>
      <c r="F548" s="88">
        <f t="shared" si="122"/>
        <v>2635178</v>
      </c>
      <c r="G548" s="88">
        <f t="shared" si="122"/>
        <v>3068882</v>
      </c>
    </row>
    <row r="549" spans="3:7" x14ac:dyDescent="0.3">
      <c r="C549" s="40" t="s">
        <v>135</v>
      </c>
      <c r="D549" s="43" t="s">
        <v>141</v>
      </c>
      <c r="E549" s="88">
        <f t="shared" si="122"/>
        <v>0</v>
      </c>
      <c r="F549" s="88">
        <f t="shared" si="122"/>
        <v>0</v>
      </c>
      <c r="G549" s="88">
        <f t="shared" si="122"/>
        <v>0</v>
      </c>
    </row>
    <row r="550" spans="3:7" x14ac:dyDescent="0.3">
      <c r="C550" s="40" t="s">
        <v>136</v>
      </c>
      <c r="D550" s="43" t="s">
        <v>141</v>
      </c>
      <c r="E550" s="88">
        <f t="shared" si="122"/>
        <v>161675</v>
      </c>
      <c r="F550" s="88">
        <f t="shared" si="122"/>
        <v>184840</v>
      </c>
      <c r="G550" s="88">
        <f t="shared" si="122"/>
        <v>210333</v>
      </c>
    </row>
    <row r="551" spans="3:7" x14ac:dyDescent="0.3">
      <c r="C551" s="40" t="s">
        <v>137</v>
      </c>
      <c r="D551" s="43" t="s">
        <v>141</v>
      </c>
      <c r="E551" s="88">
        <f t="shared" si="122"/>
        <v>49094</v>
      </c>
      <c r="F551" s="88">
        <f t="shared" si="122"/>
        <v>84023</v>
      </c>
      <c r="G551" s="88">
        <f t="shared" si="122"/>
        <v>126162</v>
      </c>
    </row>
    <row r="552" spans="3:7" x14ac:dyDescent="0.3">
      <c r="C552" s="40" t="s">
        <v>138</v>
      </c>
      <c r="D552" s="43" t="s">
        <v>141</v>
      </c>
      <c r="E552" s="88">
        <f t="shared" si="122"/>
        <v>0</v>
      </c>
      <c r="F552" s="88">
        <f t="shared" si="122"/>
        <v>0</v>
      </c>
      <c r="G552" s="88">
        <f t="shared" si="122"/>
        <v>1.1000000000000001</v>
      </c>
    </row>
    <row r="553" spans="3:7" ht="28.8" x14ac:dyDescent="0.3">
      <c r="C553" s="40" t="s">
        <v>142</v>
      </c>
      <c r="D553" s="43" t="s">
        <v>141</v>
      </c>
      <c r="E553" s="88">
        <f t="shared" si="122"/>
        <v>0</v>
      </c>
      <c r="F553" s="88">
        <f t="shared" si="122"/>
        <v>0</v>
      </c>
      <c r="G553" s="88">
        <f t="shared" si="122"/>
        <v>0</v>
      </c>
    </row>
    <row r="554" spans="3:7" ht="28.35" customHeight="1" x14ac:dyDescent="0.3">
      <c r="C554" s="155" t="s">
        <v>181</v>
      </c>
      <c r="D554" s="43" t="s">
        <v>141</v>
      </c>
      <c r="E554" s="88">
        <f>E82+E322+E376+E430+E484</f>
        <v>0</v>
      </c>
      <c r="F554" s="88">
        <f>F82+F322+F376+F430+F484</f>
        <v>0</v>
      </c>
      <c r="G554" s="88">
        <f>G82+G322+G376+G430+G484</f>
        <v>0</v>
      </c>
    </row>
    <row r="555" spans="3:7" x14ac:dyDescent="0.3">
      <c r="C555" s="40" t="s">
        <v>139</v>
      </c>
      <c r="D555" s="43" t="s">
        <v>141</v>
      </c>
      <c r="E555" s="88">
        <f>E22+E83+E138+E200+E262+E323+E377+E431+E485</f>
        <v>161578</v>
      </c>
      <c r="F555" s="88">
        <f>F22+F83+F138+F200+F262+F323+F377+F431+F485</f>
        <v>135998</v>
      </c>
      <c r="G555" s="88">
        <f>G22+G83+G138+G200+G262+G323+G377+G431+G485</f>
        <v>91674</v>
      </c>
    </row>
    <row r="556" spans="3:7" x14ac:dyDescent="0.3">
      <c r="C556" s="42" t="s">
        <v>207</v>
      </c>
      <c r="D556" s="51" t="s">
        <v>141</v>
      </c>
      <c r="E556" s="91">
        <f>SUM(E545:E555)</f>
        <v>3709795</v>
      </c>
      <c r="F556" s="91">
        <f>SUM(F545:F555)</f>
        <v>4201816</v>
      </c>
      <c r="G556" s="91">
        <f>SUM(G545:G555)</f>
        <v>4445627.0999999996</v>
      </c>
    </row>
    <row r="558" spans="3:7" x14ac:dyDescent="0.3">
      <c r="C558" s="53" t="s">
        <v>209</v>
      </c>
    </row>
    <row r="559" spans="3:7" x14ac:dyDescent="0.3">
      <c r="C559" s="50" t="s">
        <v>205</v>
      </c>
      <c r="D559" s="43"/>
      <c r="E559" s="175" t="str">
        <f t="shared" ref="E559:G569" si="123">IF(ROUND(E530-E545,0)=0,"OK",E530-E545)</f>
        <v>OK</v>
      </c>
      <c r="F559" s="175" t="str">
        <f t="shared" si="123"/>
        <v>OK</v>
      </c>
      <c r="G559" s="175" t="str">
        <f t="shared" si="123"/>
        <v>OK</v>
      </c>
    </row>
    <row r="560" spans="3:7" x14ac:dyDescent="0.3">
      <c r="C560" s="40" t="s">
        <v>132</v>
      </c>
      <c r="D560" s="43"/>
      <c r="E560" s="175" t="str">
        <f t="shared" si="123"/>
        <v>OK</v>
      </c>
      <c r="F560" s="175" t="str">
        <f t="shared" si="123"/>
        <v>OK</v>
      </c>
      <c r="G560" s="175" t="str">
        <f t="shared" si="123"/>
        <v>OK</v>
      </c>
    </row>
    <row r="561" spans="3:7" x14ac:dyDescent="0.3">
      <c r="C561" s="40" t="s">
        <v>133</v>
      </c>
      <c r="D561" s="43"/>
      <c r="E561" s="175" t="str">
        <f t="shared" si="123"/>
        <v>OK</v>
      </c>
      <c r="F561" s="175" t="str">
        <f t="shared" si="123"/>
        <v>OK</v>
      </c>
      <c r="G561" s="175" t="str">
        <f t="shared" si="123"/>
        <v>OK</v>
      </c>
    </row>
    <row r="562" spans="3:7" ht="16.5" customHeight="1" x14ac:dyDescent="0.3">
      <c r="C562" s="40" t="s">
        <v>134</v>
      </c>
      <c r="D562" s="43"/>
      <c r="E562" s="175" t="str">
        <f t="shared" si="123"/>
        <v>OK</v>
      </c>
      <c r="F562" s="175" t="str">
        <f t="shared" si="123"/>
        <v>OK</v>
      </c>
      <c r="G562" s="175" t="str">
        <f t="shared" si="123"/>
        <v>OK</v>
      </c>
    </row>
    <row r="563" spans="3:7" ht="30.75" customHeight="1" x14ac:dyDescent="0.3">
      <c r="C563" s="40" t="s">
        <v>135</v>
      </c>
      <c r="D563" s="43"/>
      <c r="E563" s="175" t="str">
        <f t="shared" si="123"/>
        <v>OK</v>
      </c>
      <c r="F563" s="175" t="str">
        <f t="shared" si="123"/>
        <v>OK</v>
      </c>
      <c r="G563" s="175" t="str">
        <f t="shared" si="123"/>
        <v>OK</v>
      </c>
    </row>
    <row r="564" spans="3:7" x14ac:dyDescent="0.3">
      <c r="C564" s="40" t="s">
        <v>136</v>
      </c>
      <c r="D564" s="43"/>
      <c r="E564" s="175" t="str">
        <f t="shared" si="123"/>
        <v>OK</v>
      </c>
      <c r="F564" s="175" t="str">
        <f t="shared" si="123"/>
        <v>OK</v>
      </c>
      <c r="G564" s="175" t="str">
        <f t="shared" si="123"/>
        <v>OK</v>
      </c>
    </row>
    <row r="565" spans="3:7" x14ac:dyDescent="0.3">
      <c r="C565" s="40" t="s">
        <v>137</v>
      </c>
      <c r="D565" s="43"/>
      <c r="E565" s="175" t="str">
        <f t="shared" si="123"/>
        <v>OK</v>
      </c>
      <c r="F565" s="175" t="str">
        <f t="shared" si="123"/>
        <v>OK</v>
      </c>
      <c r="G565" s="175" t="str">
        <f t="shared" si="123"/>
        <v>OK</v>
      </c>
    </row>
    <row r="566" spans="3:7" x14ac:dyDescent="0.3">
      <c r="C566" s="40" t="s">
        <v>138</v>
      </c>
      <c r="D566" s="43"/>
      <c r="E566" s="175" t="str">
        <f t="shared" si="123"/>
        <v>OK</v>
      </c>
      <c r="F566" s="175" t="str">
        <f t="shared" si="123"/>
        <v>OK</v>
      </c>
      <c r="G566" s="175">
        <f t="shared" si="123"/>
        <v>0.89999999999999991</v>
      </c>
    </row>
    <row r="567" spans="3:7" ht="28.8" x14ac:dyDescent="0.3">
      <c r="C567" s="40" t="s">
        <v>142</v>
      </c>
      <c r="D567" s="43"/>
      <c r="E567" s="175" t="str">
        <f t="shared" si="123"/>
        <v>OK</v>
      </c>
      <c r="F567" s="175" t="str">
        <f t="shared" si="123"/>
        <v>OK</v>
      </c>
      <c r="G567" s="175" t="str">
        <f t="shared" si="123"/>
        <v>OK</v>
      </c>
    </row>
    <row r="568" spans="3:7" ht="32.4" customHeight="1" x14ac:dyDescent="0.3">
      <c r="C568" s="155" t="s">
        <v>181</v>
      </c>
      <c r="D568" s="43"/>
      <c r="E568" s="175" t="str">
        <f t="shared" si="123"/>
        <v>OK</v>
      </c>
      <c r="F568" s="175" t="str">
        <f t="shared" si="123"/>
        <v>OK</v>
      </c>
      <c r="G568" s="175" t="str">
        <f t="shared" si="123"/>
        <v>OK</v>
      </c>
    </row>
    <row r="569" spans="3:7" x14ac:dyDescent="0.3">
      <c r="C569" s="40" t="s">
        <v>139</v>
      </c>
      <c r="D569" s="43"/>
      <c r="E569" s="175" t="str">
        <f t="shared" si="123"/>
        <v>OK</v>
      </c>
      <c r="F569" s="175" t="str">
        <f t="shared" si="123"/>
        <v>OK</v>
      </c>
      <c r="G569" s="175" t="str">
        <f t="shared" si="123"/>
        <v>OK</v>
      </c>
    </row>
    <row r="570" spans="3:7" x14ac:dyDescent="0.3">
      <c r="C570" s="42" t="s">
        <v>207</v>
      </c>
      <c r="D570" s="51"/>
      <c r="E570" s="176" t="str">
        <f>IF(ROUND(E542-E541-E556,0)=0,"OK",E542-E541-E556)</f>
        <v>OK</v>
      </c>
      <c r="F570" s="176" t="str">
        <f>IF(ROUND(F542-F541-F556,0)=0,"OK",F542-F541-F556)</f>
        <v>OK</v>
      </c>
      <c r="G570" s="176">
        <f>IF(ROUND(G542-G541-G556,0)=0,"OK",G542-G541-G556)</f>
        <v>0.90000000037252903</v>
      </c>
    </row>
  </sheetData>
  <sheetProtection sheet="1" objects="1" scenarios="1"/>
  <mergeCells count="100">
    <mergeCell ref="AB367:AB414"/>
    <mergeCell ref="AB421:AB468"/>
    <mergeCell ref="AB475:AB522"/>
    <mergeCell ref="C3:D4"/>
    <mergeCell ref="AB11:AB66"/>
    <mergeCell ref="AB73:AB120"/>
    <mergeCell ref="AB127:AB182"/>
    <mergeCell ref="AB189:AB244"/>
    <mergeCell ref="AB251:AB306"/>
    <mergeCell ref="AB313:AB360"/>
    <mergeCell ref="Z475:Z522"/>
    <mergeCell ref="AA11:AA66"/>
    <mergeCell ref="AA73:AA120"/>
    <mergeCell ref="AA127:AA182"/>
    <mergeCell ref="AA189:AA244"/>
    <mergeCell ref="AA251:AA306"/>
    <mergeCell ref="AA313:AA360"/>
    <mergeCell ref="AA367:AA414"/>
    <mergeCell ref="AA421:AA468"/>
    <mergeCell ref="AA475:AA522"/>
    <mergeCell ref="Y421:Y468"/>
    <mergeCell ref="Y475:Y522"/>
    <mergeCell ref="Z11:Z66"/>
    <mergeCell ref="Z73:Z120"/>
    <mergeCell ref="Z127:Z182"/>
    <mergeCell ref="Z189:Z244"/>
    <mergeCell ref="Z251:Z306"/>
    <mergeCell ref="Z313:Z360"/>
    <mergeCell ref="Z367:Z414"/>
    <mergeCell ref="Z421:Z468"/>
    <mergeCell ref="X367:X414"/>
    <mergeCell ref="X421:X468"/>
    <mergeCell ref="X475:X522"/>
    <mergeCell ref="Y11:Y66"/>
    <mergeCell ref="Y73:Y120"/>
    <mergeCell ref="Y127:Y182"/>
    <mergeCell ref="Y189:Y244"/>
    <mergeCell ref="Y251:Y306"/>
    <mergeCell ref="Y313:Y360"/>
    <mergeCell ref="Y367:Y414"/>
    <mergeCell ref="W313:W360"/>
    <mergeCell ref="W367:W414"/>
    <mergeCell ref="W421:W468"/>
    <mergeCell ref="W475:W522"/>
    <mergeCell ref="X11:X66"/>
    <mergeCell ref="X73:X120"/>
    <mergeCell ref="X127:X182"/>
    <mergeCell ref="X189:X244"/>
    <mergeCell ref="X251:X306"/>
    <mergeCell ref="X313:X360"/>
    <mergeCell ref="V251:V306"/>
    <mergeCell ref="V313:V360"/>
    <mergeCell ref="V367:V414"/>
    <mergeCell ref="V421:V468"/>
    <mergeCell ref="V475:V522"/>
    <mergeCell ref="W11:W66"/>
    <mergeCell ref="W73:W120"/>
    <mergeCell ref="W127:W182"/>
    <mergeCell ref="W189:W244"/>
    <mergeCell ref="W251:W306"/>
    <mergeCell ref="T475:T522"/>
    <mergeCell ref="U11:U66"/>
    <mergeCell ref="U73:U120"/>
    <mergeCell ref="U127:U182"/>
    <mergeCell ref="U189:U244"/>
    <mergeCell ref="U251:U306"/>
    <mergeCell ref="U313:U360"/>
    <mergeCell ref="U367:U414"/>
    <mergeCell ref="U421:U468"/>
    <mergeCell ref="U475:U522"/>
    <mergeCell ref="S421:S468"/>
    <mergeCell ref="S475:S522"/>
    <mergeCell ref="T11:T66"/>
    <mergeCell ref="T73:T120"/>
    <mergeCell ref="T127:T182"/>
    <mergeCell ref="T189:T244"/>
    <mergeCell ref="T251:T306"/>
    <mergeCell ref="T313:T360"/>
    <mergeCell ref="T367:T414"/>
    <mergeCell ref="T421:T468"/>
    <mergeCell ref="S365:AB365"/>
    <mergeCell ref="S419:AB419"/>
    <mergeCell ref="S473:AB473"/>
    <mergeCell ref="S11:S66"/>
    <mergeCell ref="S73:S120"/>
    <mergeCell ref="S127:S182"/>
    <mergeCell ref="S189:S244"/>
    <mergeCell ref="S251:S306"/>
    <mergeCell ref="S313:S360"/>
    <mergeCell ref="S367:S414"/>
    <mergeCell ref="S9:AB9"/>
    <mergeCell ref="S71:AB71"/>
    <mergeCell ref="S125:AB125"/>
    <mergeCell ref="S187:AB187"/>
    <mergeCell ref="S249:AB249"/>
    <mergeCell ref="S311:AB311"/>
    <mergeCell ref="V11:V66"/>
    <mergeCell ref="V73:V120"/>
    <mergeCell ref="V127:V182"/>
    <mergeCell ref="V189:V244"/>
  </mergeCells>
  <pageMargins left="0.27" right="0.2" top="0.41" bottom="0.38" header="0.3" footer="0.3"/>
  <pageSetup paperSize="9" scale="39" fitToHeight="12" pageOrder="overThenDown" orientation="landscape"/>
  <headerFooter>
    <oddFooter>&amp;L&amp;F
Sheet: &amp;A&amp;R&amp;P din  &amp; [Pages]</oddFooter>
  </headerFooter>
  <rowBreaks count="9" manualBreakCount="9">
    <brk id="67" min="1" max="27" man="1"/>
    <brk id="122" min="1" max="27" man="1"/>
    <brk id="184" min="1" max="27" man="1"/>
    <brk id="246" min="1" max="27" man="1"/>
    <brk id="308" min="1" max="27" man="1"/>
    <brk id="361" min="1" max="27" man="1"/>
    <brk id="416" min="1" max="27" man="1"/>
    <brk id="470" min="1" max="27" man="1"/>
    <brk id="524" min="1" max="27" man="1"/>
  </rowBreaks>
  <colBreaks count="1" manualBreakCount="1">
    <brk id="18" min="1" max="569" man="1"/>
  </colBreaks>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S108"/>
  <sheetViews>
    <sheetView topLeftCell="A7" zoomScale="90" workbookViewId="0">
      <selection activeCell="H47" sqref="H47"/>
    </sheetView>
  </sheetViews>
  <sheetFormatPr defaultColWidth="9.109375" defaultRowHeight="14.4" x14ac:dyDescent="0.3"/>
  <cols>
    <col min="1" max="1" width="2.5546875" customWidth="1"/>
    <col min="2" max="2" width="1.44140625" customWidth="1"/>
    <col min="3" max="3" width="43.44140625" customWidth="1"/>
    <col min="4" max="4" width="15.5546875" customWidth="1"/>
    <col min="5" max="5" width="11.88671875" customWidth="1"/>
    <col min="6" max="15" width="15.5546875" customWidth="1"/>
    <col min="16" max="16" width="3.5546875" customWidth="1"/>
    <col min="17" max="17" width="1.5546875" customWidth="1"/>
    <col min="18" max="18" width="3" customWidth="1"/>
    <col min="19" max="19" width="146.44140625" customWidth="1"/>
    <col min="20" max="21" width="30.5546875" customWidth="1"/>
  </cols>
  <sheetData>
    <row r="2" spans="2:19" ht="8.1" customHeight="1" x14ac:dyDescent="0.3">
      <c r="B2" s="23"/>
      <c r="C2" s="23"/>
      <c r="D2" s="23"/>
      <c r="E2" s="23"/>
      <c r="F2" s="23"/>
      <c r="G2" s="23"/>
      <c r="H2" s="23"/>
      <c r="I2" s="23"/>
      <c r="J2" s="23"/>
      <c r="K2" s="23"/>
      <c r="L2" s="23"/>
      <c r="M2" s="23"/>
      <c r="N2" s="23"/>
      <c r="O2" s="23"/>
      <c r="P2" s="23"/>
      <c r="Q2" s="23"/>
    </row>
    <row r="3" spans="2:19" ht="14.4" customHeight="1" x14ac:dyDescent="0.3">
      <c r="B3" s="23"/>
      <c r="C3" s="227" t="str">
        <f>CONCATENATE("MASURI DE OPTIMIZARE A EFICIENTEI PENTRU OPERATORUL"," ",'Date generale'!D4)</f>
        <v>MASURI DE OPTIMIZARE A EFICIENTEI PENTRU OPERATORUL SEVICIUL PUBLIC DE ALIMENTARE CU APA, CANALIZARE SI SALUBRIZARE</v>
      </c>
      <c r="D3" s="227"/>
      <c r="E3" s="51">
        <f>F3-1</f>
        <v>2022</v>
      </c>
      <c r="F3" s="51">
        <f>G3-1</f>
        <v>2023</v>
      </c>
      <c r="G3" s="46">
        <f>'Date generale'!$D$8</f>
        <v>2024</v>
      </c>
      <c r="H3" s="54">
        <f t="shared" ref="H3:O4" si="0">G3+1</f>
        <v>2025</v>
      </c>
      <c r="I3" s="54">
        <f t="shared" si="0"/>
        <v>2026</v>
      </c>
      <c r="J3" s="54">
        <f t="shared" si="0"/>
        <v>2027</v>
      </c>
      <c r="K3" s="54">
        <f t="shared" si="0"/>
        <v>2028</v>
      </c>
      <c r="L3" s="54">
        <f t="shared" si="0"/>
        <v>2029</v>
      </c>
      <c r="M3" s="54">
        <f t="shared" si="0"/>
        <v>2030</v>
      </c>
      <c r="N3" s="54">
        <f t="shared" si="0"/>
        <v>2031</v>
      </c>
      <c r="O3" s="54">
        <f t="shared" si="0"/>
        <v>2032</v>
      </c>
      <c r="Q3" s="23"/>
    </row>
    <row r="4" spans="2:19" x14ac:dyDescent="0.3">
      <c r="B4" s="23"/>
      <c r="C4" s="227"/>
      <c r="D4" s="227"/>
      <c r="E4" s="18">
        <f>F4-1</f>
        <v>-3</v>
      </c>
      <c r="F4" s="18">
        <f>G4-1</f>
        <v>-2</v>
      </c>
      <c r="G4" s="55">
        <v>-1</v>
      </c>
      <c r="H4" s="55">
        <v>0</v>
      </c>
      <c r="I4" s="55">
        <f t="shared" si="0"/>
        <v>1</v>
      </c>
      <c r="J4" s="55">
        <f t="shared" si="0"/>
        <v>2</v>
      </c>
      <c r="K4" s="55">
        <f t="shared" si="0"/>
        <v>3</v>
      </c>
      <c r="L4" s="55">
        <f t="shared" si="0"/>
        <v>4</v>
      </c>
      <c r="M4" s="55">
        <f t="shared" si="0"/>
        <v>5</v>
      </c>
      <c r="N4" s="55">
        <f t="shared" si="0"/>
        <v>6</v>
      </c>
      <c r="O4" s="55">
        <f t="shared" si="0"/>
        <v>7</v>
      </c>
      <c r="Q4" s="23"/>
    </row>
    <row r="5" spans="2:19" ht="8.1" customHeight="1" x14ac:dyDescent="0.3">
      <c r="B5" s="23"/>
      <c r="C5" s="23"/>
      <c r="D5" s="23"/>
      <c r="E5" s="23"/>
      <c r="F5" s="23"/>
      <c r="G5" s="23"/>
      <c r="H5" s="23"/>
      <c r="I5" s="23"/>
      <c r="J5" s="23"/>
      <c r="K5" s="23"/>
      <c r="L5" s="23"/>
      <c r="M5" s="23"/>
      <c r="N5" s="23"/>
      <c r="O5" s="23"/>
      <c r="P5" s="23"/>
      <c r="Q5" s="23"/>
    </row>
    <row r="7" spans="2:19" ht="8.1" customHeight="1" x14ac:dyDescent="0.3">
      <c r="B7" s="23"/>
      <c r="C7" s="23"/>
      <c r="D7" s="23"/>
      <c r="E7" s="23"/>
      <c r="F7" s="23"/>
      <c r="G7" s="23"/>
      <c r="H7" s="23"/>
      <c r="I7" s="23"/>
      <c r="J7" s="23"/>
      <c r="K7" s="23"/>
      <c r="L7" s="23"/>
      <c r="M7" s="23"/>
      <c r="N7" s="23"/>
      <c r="O7" s="23"/>
      <c r="P7" s="23"/>
      <c r="Q7" s="23"/>
    </row>
    <row r="8" spans="2:19" x14ac:dyDescent="0.3">
      <c r="B8" s="23"/>
      <c r="C8" s="24" t="s">
        <v>210</v>
      </c>
      <c r="Q8" s="23"/>
    </row>
    <row r="9" spans="2:19" ht="8.1" customHeight="1" x14ac:dyDescent="0.3">
      <c r="B9" s="23"/>
      <c r="C9" s="23"/>
      <c r="D9" s="23"/>
      <c r="E9" s="23"/>
      <c r="F9" s="23"/>
      <c r="G9" s="23"/>
      <c r="H9" s="23"/>
      <c r="I9" s="23"/>
      <c r="J9" s="23"/>
      <c r="K9" s="23"/>
      <c r="L9" s="23"/>
      <c r="M9" s="23"/>
      <c r="N9" s="23"/>
      <c r="O9" s="23"/>
      <c r="P9" s="23"/>
      <c r="Q9" s="23"/>
    </row>
    <row r="10" spans="2:19" x14ac:dyDescent="0.3">
      <c r="B10" s="23"/>
      <c r="Q10" s="23"/>
    </row>
    <row r="11" spans="2:19" s="22" customFormat="1" ht="47.25" customHeight="1" x14ac:dyDescent="0.3">
      <c r="B11" s="35"/>
      <c r="C11" s="56" t="s">
        <v>211</v>
      </c>
      <c r="D11" s="56"/>
      <c r="E11" s="37">
        <f>F11-1</f>
        <v>2022</v>
      </c>
      <c r="F11" s="37">
        <f>G11-1</f>
        <v>2023</v>
      </c>
      <c r="G11" s="57">
        <f>'Date generale'!$D$8</f>
        <v>2024</v>
      </c>
      <c r="H11" s="58">
        <f t="shared" ref="H11:O11" si="1">G11+1</f>
        <v>2025</v>
      </c>
      <c r="I11" s="58">
        <f t="shared" si="1"/>
        <v>2026</v>
      </c>
      <c r="J11" s="58">
        <f t="shared" si="1"/>
        <v>2027</v>
      </c>
      <c r="K11" s="58">
        <f t="shared" si="1"/>
        <v>2028</v>
      </c>
      <c r="L11" s="58">
        <f t="shared" si="1"/>
        <v>2029</v>
      </c>
      <c r="M11" s="58">
        <f t="shared" si="1"/>
        <v>2030</v>
      </c>
      <c r="N11" s="58">
        <f t="shared" si="1"/>
        <v>2031</v>
      </c>
      <c r="O11" s="58">
        <f t="shared" si="1"/>
        <v>2032</v>
      </c>
      <c r="Q11" s="35"/>
      <c r="S11" s="239" t="s">
        <v>212</v>
      </c>
    </row>
    <row r="12" spans="2:19" x14ac:dyDescent="0.3">
      <c r="B12" s="23"/>
      <c r="C12" s="59"/>
      <c r="D12" s="59"/>
      <c r="E12" s="27">
        <f>F12-1</f>
        <v>-3</v>
      </c>
      <c r="F12" s="27">
        <f>G12-1</f>
        <v>-2</v>
      </c>
      <c r="G12" s="60">
        <v>-1</v>
      </c>
      <c r="H12" s="60">
        <v>0</v>
      </c>
      <c r="I12" s="60">
        <f t="shared" ref="I12:O12" si="2">H12+1</f>
        <v>1</v>
      </c>
      <c r="J12" s="60">
        <f t="shared" si="2"/>
        <v>2</v>
      </c>
      <c r="K12" s="60">
        <f t="shared" si="2"/>
        <v>3</v>
      </c>
      <c r="L12" s="60">
        <f t="shared" si="2"/>
        <v>4</v>
      </c>
      <c r="M12" s="60">
        <f t="shared" si="2"/>
        <v>5</v>
      </c>
      <c r="N12" s="60">
        <f t="shared" si="2"/>
        <v>6</v>
      </c>
      <c r="O12" s="60">
        <f t="shared" si="2"/>
        <v>7</v>
      </c>
      <c r="Q12" s="35"/>
      <c r="S12" s="240"/>
    </row>
    <row r="13" spans="2:19" s="24" customFormat="1" x14ac:dyDescent="0.3">
      <c r="B13" s="61"/>
      <c r="C13" s="42"/>
      <c r="D13" s="51"/>
      <c r="E13" s="62"/>
      <c r="F13" s="62"/>
      <c r="G13" s="62"/>
      <c r="H13" s="62"/>
      <c r="I13" s="62"/>
      <c r="J13" s="62"/>
      <c r="K13" s="62"/>
      <c r="L13" s="62"/>
      <c r="M13" s="62"/>
      <c r="N13" s="62"/>
      <c r="O13" s="62"/>
      <c r="Q13" s="35"/>
      <c r="S13" s="241"/>
    </row>
    <row r="14" spans="2:19" s="24" customFormat="1" ht="28.8" x14ac:dyDescent="0.3">
      <c r="B14" s="61"/>
      <c r="C14" s="40" t="s">
        <v>213</v>
      </c>
      <c r="D14" s="147" t="s">
        <v>214</v>
      </c>
      <c r="E14" s="62"/>
      <c r="F14" s="62"/>
      <c r="G14" s="62"/>
      <c r="H14" s="62"/>
      <c r="I14" s="62"/>
      <c r="J14" s="62"/>
      <c r="K14" s="62"/>
      <c r="L14" s="62"/>
      <c r="M14" s="62"/>
      <c r="N14" s="62"/>
      <c r="O14" s="62"/>
      <c r="Q14" s="35"/>
      <c r="S14" s="241"/>
    </row>
    <row r="15" spans="2:19" s="24" customFormat="1" x14ac:dyDescent="0.3">
      <c r="B15" s="61"/>
      <c r="C15" s="42"/>
      <c r="D15" s="51"/>
      <c r="E15" s="62"/>
      <c r="F15" s="62"/>
      <c r="G15" s="62"/>
      <c r="H15" s="62"/>
      <c r="I15" s="62"/>
      <c r="J15" s="62"/>
      <c r="K15" s="62"/>
      <c r="L15" s="62"/>
      <c r="M15" s="62"/>
      <c r="N15" s="62"/>
      <c r="O15" s="62"/>
      <c r="Q15" s="35"/>
      <c r="S15" s="241"/>
    </row>
    <row r="16" spans="2:19" s="24" customFormat="1" ht="43.2" x14ac:dyDescent="0.3">
      <c r="B16" s="61"/>
      <c r="C16" s="40" t="s">
        <v>215</v>
      </c>
      <c r="D16" s="148">
        <v>2027</v>
      </c>
      <c r="E16" s="62"/>
      <c r="F16" s="62"/>
      <c r="G16" s="62"/>
      <c r="H16" s="62"/>
      <c r="I16" s="62"/>
      <c r="J16" s="62"/>
      <c r="K16" s="62"/>
      <c r="L16" s="62"/>
      <c r="M16" s="62"/>
      <c r="N16" s="62"/>
      <c r="O16" s="62"/>
      <c r="Q16" s="35"/>
      <c r="S16" s="241"/>
    </row>
    <row r="17" spans="2:19" s="24" customFormat="1" ht="28.8" x14ac:dyDescent="0.3">
      <c r="B17" s="61"/>
      <c r="C17" s="40" t="s">
        <v>216</v>
      </c>
      <c r="D17" s="148">
        <v>2027</v>
      </c>
      <c r="E17" s="62"/>
      <c r="F17" s="62"/>
      <c r="G17" s="62"/>
      <c r="H17" s="62"/>
      <c r="I17" s="62"/>
      <c r="J17" s="62"/>
      <c r="K17" s="62"/>
      <c r="L17" s="62"/>
      <c r="M17" s="62"/>
      <c r="N17" s="62"/>
      <c r="O17" s="62"/>
      <c r="Q17" s="35"/>
      <c r="S17" s="241"/>
    </row>
    <row r="18" spans="2:19" s="24" customFormat="1" x14ac:dyDescent="0.3">
      <c r="B18" s="61"/>
      <c r="C18" s="42"/>
      <c r="D18" s="51"/>
      <c r="E18" s="62"/>
      <c r="F18" s="62"/>
      <c r="G18" s="62"/>
      <c r="H18" s="62"/>
      <c r="I18" s="62"/>
      <c r="J18" s="62"/>
      <c r="K18" s="62"/>
      <c r="L18" s="62"/>
      <c r="M18" s="62"/>
      <c r="N18" s="62"/>
      <c r="O18" s="62"/>
      <c r="Q18" s="35"/>
      <c r="S18" s="241"/>
    </row>
    <row r="19" spans="2:19" s="24" customFormat="1" ht="57.75" customHeight="1" x14ac:dyDescent="0.3">
      <c r="B19" s="61"/>
      <c r="C19" s="42" t="s">
        <v>217</v>
      </c>
      <c r="D19" s="51"/>
      <c r="E19" s="62"/>
      <c r="F19" s="62"/>
      <c r="G19" s="62"/>
      <c r="H19" s="62"/>
      <c r="I19" s="62"/>
      <c r="J19" s="62"/>
      <c r="K19" s="62"/>
      <c r="L19" s="62"/>
      <c r="M19" s="62"/>
      <c r="N19" s="62"/>
      <c r="O19" s="62"/>
      <c r="Q19" s="35"/>
      <c r="S19" s="241"/>
    </row>
    <row r="20" spans="2:19" s="24" customFormat="1" x14ac:dyDescent="0.3">
      <c r="B20" s="61"/>
      <c r="C20" s="69" t="s">
        <v>218</v>
      </c>
      <c r="D20" s="43" t="s">
        <v>47</v>
      </c>
      <c r="E20" s="149">
        <v>0</v>
      </c>
      <c r="F20" s="149">
        <v>0</v>
      </c>
      <c r="G20" s="149">
        <v>0</v>
      </c>
      <c r="H20" s="149">
        <v>0</v>
      </c>
      <c r="I20" s="149">
        <v>0</v>
      </c>
      <c r="J20" s="149">
        <v>0.25</v>
      </c>
      <c r="K20" s="149">
        <v>0.6</v>
      </c>
      <c r="L20" s="149">
        <v>1</v>
      </c>
      <c r="M20" s="149">
        <v>0</v>
      </c>
      <c r="N20" s="149">
        <v>0</v>
      </c>
      <c r="O20" s="149">
        <v>0</v>
      </c>
      <c r="Q20" s="35"/>
      <c r="S20" s="241"/>
    </row>
    <row r="21" spans="2:19" s="24" customFormat="1" x14ac:dyDescent="0.3">
      <c r="B21" s="61"/>
      <c r="C21" s="69" t="s">
        <v>219</v>
      </c>
      <c r="D21" s="43" t="s">
        <v>47</v>
      </c>
      <c r="E21" s="149">
        <v>0</v>
      </c>
      <c r="F21" s="149">
        <v>0</v>
      </c>
      <c r="G21" s="149">
        <v>0</v>
      </c>
      <c r="H21" s="149">
        <v>0</v>
      </c>
      <c r="I21" s="149">
        <v>0</v>
      </c>
      <c r="J21" s="149">
        <v>0.25</v>
      </c>
      <c r="K21" s="149">
        <v>0.6</v>
      </c>
      <c r="L21" s="149">
        <v>1</v>
      </c>
      <c r="M21" s="149">
        <v>0</v>
      </c>
      <c r="N21" s="149">
        <v>0</v>
      </c>
      <c r="O21" s="149">
        <v>0</v>
      </c>
      <c r="Q21" s="35"/>
      <c r="S21" s="241"/>
    </row>
    <row r="22" spans="2:19" s="24" customFormat="1" x14ac:dyDescent="0.3">
      <c r="B22" s="61"/>
      <c r="C22" s="69" t="s">
        <v>220</v>
      </c>
      <c r="D22" s="43" t="s">
        <v>47</v>
      </c>
      <c r="E22" s="149">
        <v>0</v>
      </c>
      <c r="F22" s="149">
        <v>0</v>
      </c>
      <c r="G22" s="149">
        <v>0</v>
      </c>
      <c r="H22" s="149">
        <v>0</v>
      </c>
      <c r="I22" s="149">
        <v>0</v>
      </c>
      <c r="J22" s="149">
        <v>0.25</v>
      </c>
      <c r="K22" s="149">
        <v>0.6</v>
      </c>
      <c r="L22" s="149">
        <v>1</v>
      </c>
      <c r="M22" s="149">
        <v>0</v>
      </c>
      <c r="N22" s="149">
        <v>0</v>
      </c>
      <c r="O22" s="149">
        <v>0</v>
      </c>
      <c r="Q22" s="35"/>
      <c r="S22" s="241"/>
    </row>
    <row r="23" spans="2:19" s="24" customFormat="1" x14ac:dyDescent="0.3">
      <c r="B23" s="61"/>
      <c r="C23" s="69" t="s">
        <v>221</v>
      </c>
      <c r="D23" s="43" t="s">
        <v>47</v>
      </c>
      <c r="E23" s="149">
        <v>0</v>
      </c>
      <c r="F23" s="149">
        <v>0</v>
      </c>
      <c r="G23" s="149">
        <v>0</v>
      </c>
      <c r="H23" s="149">
        <v>0</v>
      </c>
      <c r="I23" s="149">
        <v>0</v>
      </c>
      <c r="J23" s="149">
        <v>0.25</v>
      </c>
      <c r="K23" s="149">
        <v>0.6</v>
      </c>
      <c r="L23" s="149">
        <v>1</v>
      </c>
      <c r="M23" s="149">
        <v>0</v>
      </c>
      <c r="N23" s="149">
        <v>0</v>
      </c>
      <c r="O23" s="149">
        <v>0</v>
      </c>
      <c r="Q23" s="35"/>
      <c r="S23" s="241"/>
    </row>
    <row r="24" spans="2:19" s="24" customFormat="1" x14ac:dyDescent="0.3">
      <c r="B24" s="61"/>
      <c r="C24" s="69" t="s">
        <v>222</v>
      </c>
      <c r="D24" s="43" t="s">
        <v>47</v>
      </c>
      <c r="E24" s="149">
        <v>0</v>
      </c>
      <c r="F24" s="149">
        <v>0</v>
      </c>
      <c r="G24" s="149">
        <v>0</v>
      </c>
      <c r="H24" s="149">
        <v>0</v>
      </c>
      <c r="I24" s="149">
        <v>0</v>
      </c>
      <c r="J24" s="149">
        <v>0.25</v>
      </c>
      <c r="K24" s="149">
        <v>0.6</v>
      </c>
      <c r="L24" s="149">
        <v>1</v>
      </c>
      <c r="M24" s="149">
        <v>0</v>
      </c>
      <c r="N24" s="149">
        <v>0</v>
      </c>
      <c r="O24" s="149">
        <v>0</v>
      </c>
      <c r="Q24" s="35"/>
      <c r="S24" s="241"/>
    </row>
    <row r="25" spans="2:19" s="24" customFormat="1" x14ac:dyDescent="0.3">
      <c r="B25" s="61"/>
      <c r="C25" s="69" t="s">
        <v>223</v>
      </c>
      <c r="D25" s="43" t="s">
        <v>47</v>
      </c>
      <c r="E25" s="149">
        <v>0</v>
      </c>
      <c r="F25" s="149">
        <v>0</v>
      </c>
      <c r="G25" s="149">
        <v>0</v>
      </c>
      <c r="H25" s="149">
        <v>0</v>
      </c>
      <c r="I25" s="149">
        <v>0</v>
      </c>
      <c r="J25" s="149">
        <v>0.25</v>
      </c>
      <c r="K25" s="149">
        <v>0.6</v>
      </c>
      <c r="L25" s="149">
        <v>1</v>
      </c>
      <c r="M25" s="149">
        <v>0</v>
      </c>
      <c r="N25" s="149">
        <v>0</v>
      </c>
      <c r="O25" s="149">
        <v>0</v>
      </c>
      <c r="Q25" s="35"/>
      <c r="S25" s="241"/>
    </row>
    <row r="26" spans="2:19" s="24" customFormat="1" x14ac:dyDescent="0.3">
      <c r="B26" s="61"/>
      <c r="C26" s="69" t="s">
        <v>224</v>
      </c>
      <c r="D26" s="43" t="s">
        <v>47</v>
      </c>
      <c r="E26" s="149">
        <v>0</v>
      </c>
      <c r="F26" s="149">
        <v>0</v>
      </c>
      <c r="G26" s="149">
        <v>0</v>
      </c>
      <c r="H26" s="149">
        <v>0</v>
      </c>
      <c r="I26" s="149">
        <v>0</v>
      </c>
      <c r="J26" s="149">
        <v>0.25</v>
      </c>
      <c r="K26" s="149">
        <v>0.6</v>
      </c>
      <c r="L26" s="149">
        <v>1</v>
      </c>
      <c r="M26" s="149">
        <v>0</v>
      </c>
      <c r="N26" s="149">
        <v>0</v>
      </c>
      <c r="O26" s="149">
        <v>0</v>
      </c>
      <c r="Q26" s="35"/>
      <c r="S26" s="241"/>
    </row>
    <row r="27" spans="2:19" s="24" customFormat="1" x14ac:dyDescent="0.3">
      <c r="B27" s="61"/>
      <c r="C27" s="69" t="s">
        <v>225</v>
      </c>
      <c r="D27" s="43" t="s">
        <v>47</v>
      </c>
      <c r="E27" s="149">
        <v>0</v>
      </c>
      <c r="F27" s="149">
        <v>0</v>
      </c>
      <c r="G27" s="149">
        <v>0</v>
      </c>
      <c r="H27" s="149">
        <v>0</v>
      </c>
      <c r="I27" s="149">
        <v>0</v>
      </c>
      <c r="J27" s="149">
        <v>0.25</v>
      </c>
      <c r="K27" s="149">
        <v>0.6</v>
      </c>
      <c r="L27" s="149">
        <v>1</v>
      </c>
      <c r="M27" s="149">
        <v>0</v>
      </c>
      <c r="N27" s="149">
        <v>0</v>
      </c>
      <c r="O27" s="149">
        <v>0</v>
      </c>
      <c r="Q27" s="35"/>
      <c r="S27" s="241"/>
    </row>
    <row r="28" spans="2:19" s="24" customFormat="1" x14ac:dyDescent="0.3">
      <c r="B28" s="61"/>
      <c r="C28" s="69"/>
      <c r="D28" s="51"/>
      <c r="E28" s="62"/>
      <c r="F28" s="62"/>
      <c r="G28" s="62"/>
      <c r="H28" s="62"/>
      <c r="I28" s="62"/>
      <c r="J28" s="62"/>
      <c r="K28" s="62"/>
      <c r="L28" s="62"/>
      <c r="M28" s="62"/>
      <c r="N28" s="62"/>
      <c r="O28" s="62"/>
      <c r="Q28" s="35"/>
      <c r="S28" s="241"/>
    </row>
    <row r="29" spans="2:19" s="24" customFormat="1" ht="47.1" customHeight="1" x14ac:dyDescent="0.3">
      <c r="B29" s="61"/>
      <c r="C29" s="50" t="s">
        <v>226</v>
      </c>
      <c r="D29" s="43" t="s">
        <v>47</v>
      </c>
      <c r="E29" s="149">
        <v>0</v>
      </c>
      <c r="F29" s="149">
        <v>0</v>
      </c>
      <c r="G29" s="149">
        <v>0</v>
      </c>
      <c r="H29" s="149">
        <v>0</v>
      </c>
      <c r="I29" s="149">
        <v>0</v>
      </c>
      <c r="J29" s="149">
        <v>0.25</v>
      </c>
      <c r="K29" s="149">
        <v>0.6</v>
      </c>
      <c r="L29" s="149">
        <v>1</v>
      </c>
      <c r="M29" s="149">
        <v>0</v>
      </c>
      <c r="N29" s="149">
        <v>0</v>
      </c>
      <c r="O29" s="149">
        <v>0</v>
      </c>
      <c r="Q29" s="35"/>
      <c r="S29" s="241"/>
    </row>
    <row r="30" spans="2:19" s="24" customFormat="1" ht="28.8" x14ac:dyDescent="0.3">
      <c r="B30" s="61"/>
      <c r="C30" s="50" t="s">
        <v>227</v>
      </c>
      <c r="D30" s="43" t="s">
        <v>47</v>
      </c>
      <c r="E30" s="149">
        <v>0</v>
      </c>
      <c r="F30" s="149">
        <v>0</v>
      </c>
      <c r="G30" s="149">
        <v>0</v>
      </c>
      <c r="H30" s="149">
        <v>0</v>
      </c>
      <c r="I30" s="149">
        <v>0</v>
      </c>
      <c r="J30" s="149">
        <v>0.25</v>
      </c>
      <c r="K30" s="149">
        <v>0.6</v>
      </c>
      <c r="L30" s="149">
        <v>1</v>
      </c>
      <c r="M30" s="149">
        <v>0</v>
      </c>
      <c r="N30" s="149">
        <v>0</v>
      </c>
      <c r="O30" s="149">
        <v>0</v>
      </c>
      <c r="Q30" s="35"/>
      <c r="S30" s="241"/>
    </row>
    <row r="31" spans="2:19" s="24" customFormat="1" ht="43.2" x14ac:dyDescent="0.3">
      <c r="B31" s="61"/>
      <c r="C31" s="40" t="s">
        <v>228</v>
      </c>
      <c r="D31" s="43" t="s">
        <v>47</v>
      </c>
      <c r="E31" s="149">
        <v>0</v>
      </c>
      <c r="F31" s="149">
        <v>0</v>
      </c>
      <c r="G31" s="149">
        <v>0</v>
      </c>
      <c r="H31" s="149">
        <v>0</v>
      </c>
      <c r="I31" s="149">
        <v>0</v>
      </c>
      <c r="J31" s="149">
        <v>0.25</v>
      </c>
      <c r="K31" s="149">
        <v>0.6</v>
      </c>
      <c r="L31" s="149">
        <v>1</v>
      </c>
      <c r="M31" s="149">
        <v>0</v>
      </c>
      <c r="N31" s="149">
        <v>0</v>
      </c>
      <c r="O31" s="149">
        <v>0</v>
      </c>
      <c r="Q31" s="35"/>
      <c r="S31" s="241"/>
    </row>
    <row r="32" spans="2:19" ht="8.1" customHeight="1" x14ac:dyDescent="0.3">
      <c r="B32" s="23"/>
      <c r="C32" s="23"/>
      <c r="D32" s="23"/>
      <c r="E32" s="23"/>
      <c r="F32" s="23"/>
      <c r="G32" s="23"/>
      <c r="H32" s="23"/>
      <c r="I32" s="23"/>
      <c r="J32" s="23"/>
      <c r="K32" s="23"/>
      <c r="L32" s="23"/>
      <c r="M32" s="23"/>
      <c r="N32" s="23"/>
      <c r="O32" s="23"/>
      <c r="P32" s="23"/>
      <c r="Q32" s="23"/>
    </row>
    <row r="34" spans="2:19" ht="8.1" customHeight="1" x14ac:dyDescent="0.3">
      <c r="B34" s="23"/>
      <c r="C34" s="23"/>
      <c r="D34" s="23"/>
      <c r="E34" s="23"/>
      <c r="F34" s="23"/>
      <c r="G34" s="23"/>
      <c r="H34" s="23"/>
      <c r="I34" s="23"/>
      <c r="J34" s="23"/>
      <c r="K34" s="23"/>
      <c r="L34" s="23"/>
      <c r="M34" s="23"/>
      <c r="N34" s="23"/>
      <c r="O34" s="23"/>
      <c r="P34" s="23"/>
      <c r="Q34" s="23"/>
    </row>
    <row r="35" spans="2:19" x14ac:dyDescent="0.3">
      <c r="B35" s="23"/>
      <c r="C35" s="24" t="s">
        <v>229</v>
      </c>
      <c r="Q35" s="23"/>
    </row>
    <row r="36" spans="2:19" ht="8.1" customHeight="1" x14ac:dyDescent="0.3">
      <c r="B36" s="23"/>
      <c r="C36" s="23"/>
      <c r="D36" s="23"/>
      <c r="E36" s="23"/>
      <c r="F36" s="23"/>
      <c r="G36" s="23"/>
      <c r="H36" s="23"/>
      <c r="I36" s="23"/>
      <c r="J36" s="23"/>
      <c r="K36" s="23"/>
      <c r="L36" s="23"/>
      <c r="M36" s="23"/>
      <c r="N36" s="23"/>
      <c r="O36" s="23"/>
      <c r="P36" s="23"/>
      <c r="Q36" s="23"/>
    </row>
    <row r="37" spans="2:19" x14ac:dyDescent="0.3">
      <c r="B37" s="23"/>
      <c r="Q37" s="23"/>
    </row>
    <row r="38" spans="2:19" s="22" customFormat="1" ht="29.1" customHeight="1" x14ac:dyDescent="0.3">
      <c r="B38" s="35"/>
      <c r="C38" s="86" t="s">
        <v>230</v>
      </c>
      <c r="D38" s="86"/>
      <c r="E38" s="94">
        <f>F38-1</f>
        <v>2022</v>
      </c>
      <c r="F38" s="94">
        <f>G38-1</f>
        <v>2023</v>
      </c>
      <c r="G38" s="95">
        <f>'Date generale'!$D$8</f>
        <v>2024</v>
      </c>
      <c r="H38" s="96">
        <f t="shared" ref="H38:O39" si="3">G38+1</f>
        <v>2025</v>
      </c>
      <c r="I38" s="96">
        <f t="shared" si="3"/>
        <v>2026</v>
      </c>
      <c r="J38" s="96">
        <f t="shared" si="3"/>
        <v>2027</v>
      </c>
      <c r="K38" s="96">
        <f t="shared" si="3"/>
        <v>2028</v>
      </c>
      <c r="L38" s="96">
        <f t="shared" si="3"/>
        <v>2029</v>
      </c>
      <c r="M38" s="96">
        <f t="shared" si="3"/>
        <v>2030</v>
      </c>
      <c r="N38" s="96">
        <f t="shared" si="3"/>
        <v>2031</v>
      </c>
      <c r="O38" s="96">
        <f t="shared" si="3"/>
        <v>2032</v>
      </c>
      <c r="Q38" s="35"/>
      <c r="S38" s="242" t="s">
        <v>231</v>
      </c>
    </row>
    <row r="39" spans="2:19" x14ac:dyDescent="0.3">
      <c r="B39" s="23"/>
      <c r="C39" s="97"/>
      <c r="D39" s="97"/>
      <c r="E39" s="98">
        <f>F39-1</f>
        <v>-3</v>
      </c>
      <c r="F39" s="98">
        <f>G39-1</f>
        <v>-2</v>
      </c>
      <c r="G39" s="99">
        <v>-1</v>
      </c>
      <c r="H39" s="99">
        <v>0</v>
      </c>
      <c r="I39" s="99">
        <f t="shared" si="3"/>
        <v>1</v>
      </c>
      <c r="J39" s="99">
        <f t="shared" si="3"/>
        <v>2</v>
      </c>
      <c r="K39" s="99">
        <f t="shared" si="3"/>
        <v>3</v>
      </c>
      <c r="L39" s="99">
        <f t="shared" si="3"/>
        <v>4</v>
      </c>
      <c r="M39" s="99">
        <f t="shared" si="3"/>
        <v>5</v>
      </c>
      <c r="N39" s="99">
        <f t="shared" si="3"/>
        <v>6</v>
      </c>
      <c r="O39" s="99">
        <f t="shared" si="3"/>
        <v>7</v>
      </c>
      <c r="Q39" s="35"/>
      <c r="S39" s="243"/>
    </row>
    <row r="40" spans="2:19" s="24" customFormat="1" x14ac:dyDescent="0.3">
      <c r="B40" s="61"/>
      <c r="C40" s="42"/>
      <c r="D40" s="51"/>
      <c r="E40" s="62"/>
      <c r="F40" s="62"/>
      <c r="G40" s="62"/>
      <c r="H40" s="62"/>
      <c r="I40" s="62"/>
      <c r="J40" s="62"/>
      <c r="K40" s="62"/>
      <c r="L40" s="62"/>
      <c r="M40" s="62"/>
      <c r="N40" s="62"/>
      <c r="O40" s="62"/>
      <c r="Q40" s="35"/>
      <c r="S40" s="244"/>
    </row>
    <row r="41" spans="2:19" s="22" customFormat="1" x14ac:dyDescent="0.3">
      <c r="B41" s="35"/>
      <c r="C41" s="40" t="s">
        <v>116</v>
      </c>
      <c r="D41" s="43" t="s">
        <v>83</v>
      </c>
      <c r="E41" s="88">
        <f>Cererea!E86</f>
        <v>478567</v>
      </c>
      <c r="F41" s="88">
        <f>Cererea!F86</f>
        <v>467191</v>
      </c>
      <c r="G41" s="88">
        <f>Cererea!G86</f>
        <v>463810</v>
      </c>
      <c r="H41" s="88">
        <f>Cererea!H86</f>
        <v>469898.20760016696</v>
      </c>
      <c r="I41" s="88">
        <f>Cererea!I86</f>
        <v>477400.21260016697</v>
      </c>
      <c r="J41" s="88">
        <f>Cererea!J86</f>
        <v>479384.52494991652</v>
      </c>
      <c r="K41" s="88">
        <f>Cererea!K86</f>
        <v>479384.52494991652</v>
      </c>
      <c r="L41" s="88">
        <f>Cererea!L86</f>
        <v>479384.52494991652</v>
      </c>
      <c r="M41" s="88">
        <f>Cererea!M86</f>
        <v>479384.52494991652</v>
      </c>
      <c r="N41" s="88">
        <f>Cererea!N86</f>
        <v>479384.52494991652</v>
      </c>
      <c r="O41" s="88">
        <f>Cererea!O86</f>
        <v>479384.52494991652</v>
      </c>
      <c r="Q41" s="35"/>
      <c r="S41" s="244"/>
    </row>
    <row r="42" spans="2:19" s="22" customFormat="1" ht="28.8" x14ac:dyDescent="0.3">
      <c r="B42" s="35"/>
      <c r="C42" s="40" t="s">
        <v>232</v>
      </c>
      <c r="D42" s="43" t="s">
        <v>83</v>
      </c>
      <c r="E42" s="88">
        <f>Cererea!E87</f>
        <v>725626</v>
      </c>
      <c r="F42" s="88">
        <f>Cererea!F87</f>
        <v>695839</v>
      </c>
      <c r="G42" s="88">
        <f>Cererea!G87</f>
        <v>645507</v>
      </c>
      <c r="H42" s="88">
        <f t="shared" ref="H42:O42" si="4">H41/(1-H47)</f>
        <v>634997.57783806347</v>
      </c>
      <c r="I42" s="88">
        <f t="shared" si="4"/>
        <v>628158.17447390384</v>
      </c>
      <c r="J42" s="88">
        <f t="shared" si="4"/>
        <v>606815.85436698294</v>
      </c>
      <c r="K42" s="88">
        <f t="shared" si="4"/>
        <v>599230.65618739557</v>
      </c>
      <c r="L42" s="88">
        <f t="shared" si="4"/>
        <v>591832.74685174879</v>
      </c>
      <c r="M42" s="88">
        <f t="shared" si="4"/>
        <v>591832.74685174879</v>
      </c>
      <c r="N42" s="88">
        <f t="shared" si="4"/>
        <v>591832.74685174879</v>
      </c>
      <c r="O42" s="88">
        <f t="shared" si="4"/>
        <v>591832.74685174879</v>
      </c>
      <c r="Q42" s="35"/>
      <c r="S42" s="244"/>
    </row>
    <row r="43" spans="2:19" s="22" customFormat="1" x14ac:dyDescent="0.3">
      <c r="B43" s="35"/>
      <c r="C43" s="40" t="s">
        <v>233</v>
      </c>
      <c r="D43" s="43" t="s">
        <v>83</v>
      </c>
      <c r="E43" s="73">
        <f>E42-E41</f>
        <v>247059</v>
      </c>
      <c r="F43" s="73">
        <f>F42-F41</f>
        <v>228648</v>
      </c>
      <c r="G43" s="73">
        <f>G42-G41</f>
        <v>181697</v>
      </c>
      <c r="H43" s="62">
        <f>H42-H41</f>
        <v>165099.37023789651</v>
      </c>
      <c r="I43" s="62">
        <f t="shared" ref="I43:O43" si="5">I42-I41</f>
        <v>150757.96187373687</v>
      </c>
      <c r="J43" s="62">
        <f t="shared" si="5"/>
        <v>127431.32941706642</v>
      </c>
      <c r="K43" s="62">
        <f t="shared" si="5"/>
        <v>119846.13123747904</v>
      </c>
      <c r="L43" s="62">
        <f t="shared" si="5"/>
        <v>112448.22190183226</v>
      </c>
      <c r="M43" s="62">
        <f t="shared" si="5"/>
        <v>112448.22190183226</v>
      </c>
      <c r="N43" s="62">
        <f t="shared" si="5"/>
        <v>112448.22190183226</v>
      </c>
      <c r="O43" s="62">
        <f t="shared" si="5"/>
        <v>112448.22190183226</v>
      </c>
      <c r="Q43" s="35"/>
      <c r="S43" s="244"/>
    </row>
    <row r="44" spans="2:19" s="22" customFormat="1" x14ac:dyDescent="0.3">
      <c r="B44" s="35"/>
      <c r="C44" s="40" t="s">
        <v>119</v>
      </c>
      <c r="D44" s="43" t="s">
        <v>83</v>
      </c>
      <c r="E44" s="88">
        <f>Cererea!E89</f>
        <v>36281</v>
      </c>
      <c r="F44" s="88">
        <f>Cererea!F89</f>
        <v>34792</v>
      </c>
      <c r="G44" s="88">
        <f>Cererea!G89</f>
        <v>53887</v>
      </c>
      <c r="H44" s="88">
        <f t="shared" ref="H44:O44" si="6">H42*H48</f>
        <v>44449.830448664448</v>
      </c>
      <c r="I44" s="88">
        <f t="shared" si="6"/>
        <v>43971.072213173276</v>
      </c>
      <c r="J44" s="88">
        <f t="shared" si="6"/>
        <v>42477.109805688808</v>
      </c>
      <c r="K44" s="88">
        <f t="shared" si="6"/>
        <v>41946.145933117696</v>
      </c>
      <c r="L44" s="88">
        <f t="shared" si="6"/>
        <v>41428.292279622416</v>
      </c>
      <c r="M44" s="88">
        <f t="shared" si="6"/>
        <v>41428.292279622416</v>
      </c>
      <c r="N44" s="88">
        <f t="shared" si="6"/>
        <v>41428.292279622416</v>
      </c>
      <c r="O44" s="88">
        <f t="shared" si="6"/>
        <v>41428.292279622416</v>
      </c>
      <c r="Q44" s="35"/>
      <c r="S44" s="244"/>
    </row>
    <row r="45" spans="2:19" s="22" customFormat="1" ht="29.1" customHeight="1" x14ac:dyDescent="0.3">
      <c r="B45" s="35"/>
      <c r="C45" s="40" t="s">
        <v>120</v>
      </c>
      <c r="D45" s="43" t="s">
        <v>83</v>
      </c>
      <c r="E45" s="88">
        <f>Cererea!E90</f>
        <v>210778</v>
      </c>
      <c r="F45" s="88">
        <f>Cererea!F90</f>
        <v>193856</v>
      </c>
      <c r="G45" s="88">
        <f>Cererea!G90</f>
        <v>127810</v>
      </c>
      <c r="H45" s="88">
        <f t="shared" ref="H45:O45" si="7">H43-H44</f>
        <v>120649.53978923206</v>
      </c>
      <c r="I45" s="88">
        <f t="shared" si="7"/>
        <v>106786.8896605636</v>
      </c>
      <c r="J45" s="88">
        <f t="shared" si="7"/>
        <v>84954.219611377601</v>
      </c>
      <c r="K45" s="88">
        <f t="shared" si="7"/>
        <v>77899.985304361355</v>
      </c>
      <c r="L45" s="88">
        <f t="shared" si="7"/>
        <v>71019.929622209849</v>
      </c>
      <c r="M45" s="88">
        <f t="shared" si="7"/>
        <v>71019.929622209849</v>
      </c>
      <c r="N45" s="88">
        <f t="shared" si="7"/>
        <v>71019.929622209849</v>
      </c>
      <c r="O45" s="88">
        <f t="shared" si="7"/>
        <v>71019.929622209849</v>
      </c>
      <c r="Q45" s="35"/>
      <c r="S45" s="244"/>
    </row>
    <row r="46" spans="2:19" s="22" customFormat="1" x14ac:dyDescent="0.3">
      <c r="B46" s="35"/>
      <c r="C46" s="40" t="s">
        <v>234</v>
      </c>
      <c r="D46" s="43" t="s">
        <v>21</v>
      </c>
      <c r="E46" s="88">
        <f>Cererea!E91</f>
        <v>38</v>
      </c>
      <c r="F46" s="88">
        <f>Cererea!F91</f>
        <v>38</v>
      </c>
      <c r="G46" s="88">
        <f>Cererea!G91</f>
        <v>38</v>
      </c>
      <c r="H46" s="88">
        <f>Cererea!H91</f>
        <v>38</v>
      </c>
      <c r="I46" s="88">
        <f>Cererea!I91</f>
        <v>42.3</v>
      </c>
      <c r="J46" s="88">
        <f>Cererea!J91</f>
        <v>42.3</v>
      </c>
      <c r="K46" s="88">
        <f>Cererea!K91</f>
        <v>42.3</v>
      </c>
      <c r="L46" s="88">
        <f>Cererea!L91</f>
        <v>42.3</v>
      </c>
      <c r="M46" s="88">
        <f>Cererea!M91</f>
        <v>42.3</v>
      </c>
      <c r="N46" s="88">
        <f>Cererea!N91</f>
        <v>42.3</v>
      </c>
      <c r="O46" s="88">
        <f>Cererea!O91</f>
        <v>42.3</v>
      </c>
      <c r="Q46" s="35"/>
      <c r="S46" s="244"/>
    </row>
    <row r="47" spans="2:19" s="22" customFormat="1" x14ac:dyDescent="0.3">
      <c r="B47" s="35"/>
      <c r="C47" s="40" t="s">
        <v>233</v>
      </c>
      <c r="D47" s="43" t="s">
        <v>47</v>
      </c>
      <c r="E47" s="36">
        <f>E43/E42</f>
        <v>0.34047705016082663</v>
      </c>
      <c r="F47" s="36">
        <f>F43/F42</f>
        <v>0.3285932521747128</v>
      </c>
      <c r="G47" s="36">
        <f>G43/G42</f>
        <v>0.28147951919963687</v>
      </c>
      <c r="H47" s="149">
        <v>0.26</v>
      </c>
      <c r="I47" s="149">
        <v>0.24</v>
      </c>
      <c r="J47" s="149">
        <v>0.21</v>
      </c>
      <c r="K47" s="149">
        <v>0.2</v>
      </c>
      <c r="L47" s="149">
        <v>0.19</v>
      </c>
      <c r="M47" s="149">
        <v>0.19</v>
      </c>
      <c r="N47" s="149">
        <v>0.19</v>
      </c>
      <c r="O47" s="149">
        <f t="shared" ref="J47:O48" si="8">N47</f>
        <v>0.19</v>
      </c>
      <c r="Q47" s="35"/>
      <c r="S47" s="244"/>
    </row>
    <row r="48" spans="2:19" s="22" customFormat="1" x14ac:dyDescent="0.3">
      <c r="B48" s="35"/>
      <c r="C48" s="40" t="s">
        <v>119</v>
      </c>
      <c r="D48" s="43" t="s">
        <v>47</v>
      </c>
      <c r="E48" s="36">
        <f>E44/E42</f>
        <v>4.9999586563877256E-2</v>
      </c>
      <c r="F48" s="36">
        <f>F44/F42</f>
        <v>5.0000071855702252E-2</v>
      </c>
      <c r="G48" s="36">
        <f>G44/G42</f>
        <v>8.3480117179209515E-2</v>
      </c>
      <c r="H48" s="149">
        <v>7.0000000000000007E-2</v>
      </c>
      <c r="I48" s="149">
        <v>7.0000000000000007E-2</v>
      </c>
      <c r="J48" s="149">
        <f t="shared" si="8"/>
        <v>7.0000000000000007E-2</v>
      </c>
      <c r="K48" s="149">
        <f t="shared" si="8"/>
        <v>7.0000000000000007E-2</v>
      </c>
      <c r="L48" s="149">
        <f t="shared" si="8"/>
        <v>7.0000000000000007E-2</v>
      </c>
      <c r="M48" s="149">
        <f t="shared" si="8"/>
        <v>7.0000000000000007E-2</v>
      </c>
      <c r="N48" s="149">
        <f t="shared" si="8"/>
        <v>7.0000000000000007E-2</v>
      </c>
      <c r="O48" s="149">
        <f t="shared" si="8"/>
        <v>7.0000000000000007E-2</v>
      </c>
      <c r="Q48" s="35"/>
      <c r="S48" s="244"/>
    </row>
    <row r="49" spans="2:19" s="22" customFormat="1" ht="32.1" customHeight="1" x14ac:dyDescent="0.3">
      <c r="B49" s="35"/>
      <c r="C49" s="40" t="s">
        <v>235</v>
      </c>
      <c r="D49" s="43" t="s">
        <v>47</v>
      </c>
      <c r="E49" s="36">
        <f t="shared" ref="E49:O49" si="9">E45/E42</f>
        <v>0.29047746359694937</v>
      </c>
      <c r="F49" s="36">
        <f t="shared" si="9"/>
        <v>0.27859318031901059</v>
      </c>
      <c r="G49" s="36">
        <f t="shared" si="9"/>
        <v>0.19799940202042735</v>
      </c>
      <c r="H49" s="36">
        <f t="shared" si="9"/>
        <v>0.19</v>
      </c>
      <c r="I49" s="36">
        <f t="shared" si="9"/>
        <v>0.1699999999999999</v>
      </c>
      <c r="J49" s="36">
        <f t="shared" si="9"/>
        <v>0.13999999999999999</v>
      </c>
      <c r="K49" s="36">
        <f t="shared" si="9"/>
        <v>0.12999999999999989</v>
      </c>
      <c r="L49" s="36">
        <f t="shared" si="9"/>
        <v>0.12</v>
      </c>
      <c r="M49" s="36">
        <f t="shared" si="9"/>
        <v>0.12</v>
      </c>
      <c r="N49" s="36">
        <f t="shared" si="9"/>
        <v>0.12</v>
      </c>
      <c r="O49" s="36">
        <f t="shared" si="9"/>
        <v>0.12</v>
      </c>
      <c r="Q49" s="35"/>
      <c r="S49" s="244"/>
    </row>
    <row r="50" spans="2:19" s="22" customFormat="1" ht="26.4" customHeight="1" x14ac:dyDescent="0.3">
      <c r="B50" s="35"/>
      <c r="C50" s="40" t="s">
        <v>235</v>
      </c>
      <c r="D50" s="43" t="s">
        <v>121</v>
      </c>
      <c r="E50" s="150">
        <f t="shared" ref="E50:O50" si="10">E45/E46/365</f>
        <v>15.196683489545784</v>
      </c>
      <c r="F50" s="150">
        <f t="shared" si="10"/>
        <v>13.976640230713771</v>
      </c>
      <c r="G50" s="150">
        <f t="shared" si="10"/>
        <v>9.2148521989906271</v>
      </c>
      <c r="H50" s="150">
        <f t="shared" si="10"/>
        <v>8.698596956685801</v>
      </c>
      <c r="I50" s="150">
        <f t="shared" si="10"/>
        <v>6.9164733094053306</v>
      </c>
      <c r="J50" s="150">
        <f t="shared" si="10"/>
        <v>5.5023944824234983</v>
      </c>
      <c r="K50" s="150">
        <f t="shared" si="10"/>
        <v>5.0454992262936855</v>
      </c>
      <c r="L50" s="150">
        <f t="shared" si="10"/>
        <v>4.5998853345127664</v>
      </c>
      <c r="M50" s="150">
        <f t="shared" si="10"/>
        <v>4.5998853345127664</v>
      </c>
      <c r="N50" s="150">
        <f t="shared" si="10"/>
        <v>4.5998853345127664</v>
      </c>
      <c r="O50" s="150">
        <f t="shared" si="10"/>
        <v>4.5998853345127664</v>
      </c>
      <c r="Q50" s="35"/>
      <c r="S50" s="244"/>
    </row>
    <row r="51" spans="2:19" s="22" customFormat="1" x14ac:dyDescent="0.3">
      <c r="B51" s="35"/>
      <c r="C51" s="122"/>
      <c r="D51" s="123"/>
      <c r="E51" s="127"/>
      <c r="F51" s="128"/>
      <c r="G51" s="128"/>
      <c r="H51" s="128"/>
      <c r="I51" s="128"/>
      <c r="J51" s="128"/>
      <c r="K51" s="128"/>
      <c r="L51" s="128"/>
      <c r="M51" s="128"/>
      <c r="N51" s="128"/>
      <c r="O51" s="128"/>
      <c r="Q51" s="35"/>
      <c r="S51" s="244"/>
    </row>
    <row r="52" spans="2:19" ht="6.6" customHeight="1" x14ac:dyDescent="0.3">
      <c r="B52" s="35"/>
      <c r="C52" s="35"/>
      <c r="D52" s="35"/>
      <c r="E52" s="35"/>
      <c r="F52" s="35"/>
      <c r="G52" s="35"/>
      <c r="H52" s="35"/>
      <c r="I52" s="35"/>
      <c r="J52" s="35"/>
      <c r="K52" s="35"/>
      <c r="L52" s="35"/>
      <c r="M52" s="35"/>
      <c r="N52" s="35"/>
      <c r="O52" s="35"/>
      <c r="P52" s="35"/>
      <c r="Q52" s="35"/>
    </row>
    <row r="54" spans="2:19" ht="8.1" customHeight="1" x14ac:dyDescent="0.3">
      <c r="B54" s="23"/>
      <c r="C54" s="23"/>
      <c r="D54" s="23"/>
      <c r="E54" s="23"/>
      <c r="F54" s="23"/>
      <c r="G54" s="23"/>
      <c r="H54" s="23"/>
      <c r="I54" s="23"/>
      <c r="J54" s="23"/>
      <c r="K54" s="23"/>
      <c r="L54" s="23"/>
      <c r="M54" s="23"/>
      <c r="N54" s="23"/>
      <c r="O54" s="23"/>
      <c r="P54" s="23"/>
      <c r="Q54" s="23"/>
    </row>
    <row r="55" spans="2:19" x14ac:dyDescent="0.3">
      <c r="B55" s="23"/>
      <c r="C55" s="24" t="s">
        <v>236</v>
      </c>
      <c r="Q55" s="23"/>
    </row>
    <row r="56" spans="2:19" ht="8.1" customHeight="1" x14ac:dyDescent="0.3">
      <c r="B56" s="23"/>
      <c r="C56" s="23"/>
      <c r="D56" s="23"/>
      <c r="E56" s="23"/>
      <c r="F56" s="23"/>
      <c r="G56" s="23"/>
      <c r="H56" s="23"/>
      <c r="I56" s="23"/>
      <c r="J56" s="23"/>
      <c r="K56" s="23"/>
      <c r="L56" s="23"/>
      <c r="M56" s="23"/>
      <c r="N56" s="23"/>
      <c r="O56" s="23"/>
      <c r="P56" s="23"/>
      <c r="Q56" s="23"/>
    </row>
    <row r="57" spans="2:19" x14ac:dyDescent="0.3">
      <c r="B57" s="23"/>
      <c r="Q57" s="23"/>
    </row>
    <row r="58" spans="2:19" s="22" customFormat="1" ht="29.1" customHeight="1" x14ac:dyDescent="0.3">
      <c r="B58" s="35"/>
      <c r="C58" s="56" t="s">
        <v>237</v>
      </c>
      <c r="D58" s="56"/>
      <c r="E58" s="37">
        <f>F58-1</f>
        <v>2022</v>
      </c>
      <c r="F58" s="37">
        <f>G58-1</f>
        <v>2023</v>
      </c>
      <c r="G58" s="57">
        <f>'Date generale'!$D$8</f>
        <v>2024</v>
      </c>
      <c r="H58" s="58">
        <f t="shared" ref="H58:O58" si="11">G58+1</f>
        <v>2025</v>
      </c>
      <c r="I58" s="58">
        <f t="shared" si="11"/>
        <v>2026</v>
      </c>
      <c r="J58" s="58">
        <f t="shared" si="11"/>
        <v>2027</v>
      </c>
      <c r="K58" s="58">
        <f t="shared" si="11"/>
        <v>2028</v>
      </c>
      <c r="L58" s="58">
        <f t="shared" si="11"/>
        <v>2029</v>
      </c>
      <c r="M58" s="58">
        <f t="shared" si="11"/>
        <v>2030</v>
      </c>
      <c r="N58" s="58">
        <f t="shared" si="11"/>
        <v>2031</v>
      </c>
      <c r="O58" s="58">
        <f t="shared" si="11"/>
        <v>2032</v>
      </c>
      <c r="Q58" s="35"/>
      <c r="S58" s="245" t="s">
        <v>238</v>
      </c>
    </row>
    <row r="59" spans="2:19" x14ac:dyDescent="0.3">
      <c r="B59" s="23"/>
      <c r="C59" s="59"/>
      <c r="D59" s="59"/>
      <c r="E59" s="27">
        <f>F59-1</f>
        <v>-3</v>
      </c>
      <c r="F59" s="27">
        <f>G59-1</f>
        <v>-2</v>
      </c>
      <c r="G59" s="60">
        <v>-1</v>
      </c>
      <c r="H59" s="60">
        <v>0</v>
      </c>
      <c r="I59" s="60">
        <f t="shared" ref="I59:O59" si="12">H59+1</f>
        <v>1</v>
      </c>
      <c r="J59" s="60">
        <f t="shared" si="12"/>
        <v>2</v>
      </c>
      <c r="K59" s="60">
        <f t="shared" si="12"/>
        <v>3</v>
      </c>
      <c r="L59" s="60">
        <f t="shared" si="12"/>
        <v>4</v>
      </c>
      <c r="M59" s="60">
        <f t="shared" si="12"/>
        <v>5</v>
      </c>
      <c r="N59" s="60">
        <f t="shared" si="12"/>
        <v>6</v>
      </c>
      <c r="O59" s="60">
        <f t="shared" si="12"/>
        <v>7</v>
      </c>
      <c r="Q59" s="35"/>
      <c r="S59" s="245"/>
    </row>
    <row r="60" spans="2:19" s="24" customFormat="1" x14ac:dyDescent="0.3">
      <c r="B60" s="61"/>
      <c r="C60" s="42"/>
      <c r="D60" s="51"/>
      <c r="E60" s="62"/>
      <c r="F60" s="62"/>
      <c r="G60" s="62"/>
      <c r="H60" s="62"/>
      <c r="I60" s="62"/>
      <c r="J60" s="62"/>
      <c r="K60" s="62"/>
      <c r="L60" s="62"/>
      <c r="M60" s="62"/>
      <c r="N60" s="62"/>
      <c r="O60" s="62"/>
      <c r="Q60" s="35"/>
      <c r="S60" s="241"/>
    </row>
    <row r="61" spans="2:19" s="22" customFormat="1" x14ac:dyDescent="0.3">
      <c r="B61" s="35"/>
      <c r="C61" s="86" t="s">
        <v>239</v>
      </c>
      <c r="D61" s="43"/>
      <c r="E61" s="88"/>
      <c r="F61" s="88"/>
      <c r="G61" s="88"/>
      <c r="H61" s="88"/>
      <c r="I61" s="88"/>
      <c r="J61" s="88"/>
      <c r="K61" s="88"/>
      <c r="L61" s="88"/>
      <c r="M61" s="88"/>
      <c r="N61" s="88"/>
      <c r="O61" s="88"/>
      <c r="Q61" s="35"/>
      <c r="S61" s="241"/>
    </row>
    <row r="62" spans="2:19" s="22" customFormat="1" x14ac:dyDescent="0.3">
      <c r="B62" s="35"/>
      <c r="C62" s="40" t="s">
        <v>154</v>
      </c>
      <c r="D62" s="43" t="s">
        <v>155</v>
      </c>
      <c r="E62" s="88">
        <f>('Costuri operare'!E41+'Costuri operare'!E157+'Costuri operare'!E219+'Costuri operare'!E281)</f>
        <v>448926</v>
      </c>
      <c r="F62" s="88">
        <f>('Costuri operare'!F41+'Costuri operare'!F157+'Costuri operare'!F219+'Costuri operare'!F281)</f>
        <v>437275</v>
      </c>
      <c r="G62" s="88">
        <f>('Costuri operare'!G41+'Costuri operare'!G157+'Costuri operare'!G219+'Costuri operare'!G281)</f>
        <v>417419</v>
      </c>
      <c r="H62" s="88">
        <f>('Costuri operare'!H41+'Costuri operare'!H157+'Costuri operare'!H219+'Costuri operare'!H281)</f>
        <v>410623.32424280449</v>
      </c>
      <c r="I62" s="88">
        <f>('Costuri operare'!I41+'Costuri operare'!I157+'Costuri operare'!I219+'Costuri operare'!I281)</f>
        <v>406200.21812621708</v>
      </c>
      <c r="J62" s="88">
        <f>('Costuri operare'!J41+'Costuri operare'!J157+'Costuri operare'!J219+'Costuri operare'!J281)</f>
        <v>392399.35105893505</v>
      </c>
      <c r="K62" s="88">
        <f>('Costuri operare'!K41+'Costuri operare'!K157+'Costuri operare'!K219+'Costuri operare'!K281)</f>
        <v>387494.48850128654</v>
      </c>
      <c r="L62" s="88">
        <f>('Costuri operare'!L41+'Costuri operare'!L157+'Costuri operare'!L219+'Costuri operare'!L281)</f>
        <v>382710.55004360911</v>
      </c>
      <c r="M62" s="88">
        <f>('Costuri operare'!M41+'Costuri operare'!M157+'Costuri operare'!M219+'Costuri operare'!M281)</f>
        <v>382710.55004360911</v>
      </c>
      <c r="N62" s="88">
        <f>('Costuri operare'!N41+'Costuri operare'!N157+'Costuri operare'!N219+'Costuri operare'!N281)</f>
        <v>382710.55004360911</v>
      </c>
      <c r="O62" s="88">
        <f>('Costuri operare'!O41+'Costuri operare'!O157+'Costuri operare'!O219+'Costuri operare'!O281)</f>
        <v>382710.55004360911</v>
      </c>
      <c r="Q62" s="35"/>
      <c r="S62" s="241"/>
    </row>
    <row r="63" spans="2:19" s="22" customFormat="1" ht="39.75" customHeight="1" x14ac:dyDescent="0.3">
      <c r="B63" s="35"/>
      <c r="C63" s="40" t="s">
        <v>240</v>
      </c>
      <c r="D63" s="43" t="s">
        <v>157</v>
      </c>
      <c r="E63" s="105">
        <f>E62/Cererea!E86</f>
        <v>0.93806300894127681</v>
      </c>
      <c r="F63" s="105">
        <f>F62/Cererea!F86</f>
        <v>0.93596623222622011</v>
      </c>
      <c r="G63" s="105">
        <f>G62/Cererea!G86</f>
        <v>0.89997843944718747</v>
      </c>
      <c r="H63" s="105">
        <f>H62/Cererea!H86</f>
        <v>0.87385590666521751</v>
      </c>
      <c r="I63" s="105">
        <f>I62/Cererea!I86</f>
        <v>0.85085889659294844</v>
      </c>
      <c r="J63" s="105">
        <f>J62/Cererea!J86</f>
        <v>0.81854822305732711</v>
      </c>
      <c r="K63" s="105">
        <f>K62/Cererea!K86</f>
        <v>0.80831664005376447</v>
      </c>
      <c r="L63" s="105">
        <f>L62/Cererea!L86</f>
        <v>0.79833730570170702</v>
      </c>
      <c r="M63" s="105">
        <f>M62/Cererea!M86</f>
        <v>0.79833730570170702</v>
      </c>
      <c r="N63" s="105">
        <f>N62/Cererea!N86</f>
        <v>0.79833730570170702</v>
      </c>
      <c r="O63" s="105">
        <f>O62/Cererea!O86</f>
        <v>0.79833730570170702</v>
      </c>
      <c r="Q63" s="35"/>
      <c r="S63" s="241"/>
    </row>
    <row r="64" spans="2:19" s="22" customFormat="1" ht="52.5" customHeight="1" x14ac:dyDescent="0.3">
      <c r="B64" s="35"/>
      <c r="C64" s="40" t="s">
        <v>241</v>
      </c>
      <c r="D64" s="43" t="s">
        <v>157</v>
      </c>
      <c r="E64" s="105">
        <f>E62/Cererea!E87</f>
        <v>0.61867408279196168</v>
      </c>
      <c r="F64" s="105">
        <f>F62/Cererea!F87</f>
        <v>0.62841404405329393</v>
      </c>
      <c r="G64" s="105">
        <f>G62/Cererea!G87</f>
        <v>0.64665294102155357</v>
      </c>
      <c r="H64" s="105">
        <f>H62/Cererea!H87</f>
        <v>0.64665294102155357</v>
      </c>
      <c r="I64" s="105">
        <f>I62/Cererea!I87</f>
        <v>0.64665294102155357</v>
      </c>
      <c r="J64" s="105">
        <f>J62/Cererea!J87</f>
        <v>0.64665294102155357</v>
      </c>
      <c r="K64" s="105">
        <f>K62/Cererea!K87</f>
        <v>0.64665294102155357</v>
      </c>
      <c r="L64" s="105">
        <f>L62/Cererea!L87</f>
        <v>0.64665294102155357</v>
      </c>
      <c r="M64" s="105">
        <f>M62/Cererea!M87</f>
        <v>0.64665294102155357</v>
      </c>
      <c r="N64" s="105">
        <f>N62/Cererea!N87</f>
        <v>0.64665294102155357</v>
      </c>
      <c r="O64" s="105">
        <f>O62/Cererea!O87</f>
        <v>0.64665294102155357</v>
      </c>
      <c r="Q64" s="35"/>
      <c r="S64" s="241"/>
    </row>
    <row r="65" spans="2:19" s="22" customFormat="1" x14ac:dyDescent="0.3">
      <c r="B65" s="35"/>
      <c r="Q65" s="35"/>
      <c r="S65" s="241"/>
    </row>
    <row r="66" spans="2:19" s="22" customFormat="1" x14ac:dyDescent="0.3">
      <c r="B66" s="35"/>
      <c r="C66" s="89" t="s">
        <v>242</v>
      </c>
      <c r="D66" s="43"/>
      <c r="E66" s="88"/>
      <c r="F66" s="88"/>
      <c r="G66" s="88"/>
      <c r="H66" s="88"/>
      <c r="I66" s="88"/>
      <c r="J66" s="88"/>
      <c r="K66" s="88"/>
      <c r="L66" s="88"/>
      <c r="M66" s="88"/>
      <c r="N66" s="88"/>
      <c r="O66" s="88"/>
      <c r="Q66" s="35"/>
      <c r="S66" s="241"/>
    </row>
    <row r="67" spans="2:19" s="22" customFormat="1" x14ac:dyDescent="0.3">
      <c r="B67" s="35"/>
      <c r="C67" s="40" t="s">
        <v>154</v>
      </c>
      <c r="D67" s="43" t="s">
        <v>155</v>
      </c>
      <c r="E67" s="88">
        <f>'Costuri operare'!E89+'Costuri operare'!E329+'Costuri operare'!E383+'Costuri operare'!E437+'Costuri operare'!E491</f>
        <v>296851</v>
      </c>
      <c r="F67" s="88">
        <f>'Costuri operare'!F89+'Costuri operare'!F329+'Costuri operare'!F383+'Costuri operare'!F437+'Costuri operare'!F491</f>
        <v>337948</v>
      </c>
      <c r="G67" s="88">
        <f>'Costuri operare'!G89+'Costuri operare'!G329+'Costuri operare'!G383+'Costuri operare'!G437+'Costuri operare'!G491</f>
        <v>264403</v>
      </c>
      <c r="H67" s="88">
        <f>'Costuri operare'!H89+'Costuri operare'!H329+'Costuri operare'!H383+'Costuri operare'!H437+'Costuri operare'!H491</f>
        <v>266442.66782016109</v>
      </c>
      <c r="I67" s="88">
        <f>'Costuri operare'!I89+'Costuri operare'!I329+'Costuri operare'!I383+'Costuri operare'!I437+'Costuri operare'!I491</f>
        <v>270678.40843241056</v>
      </c>
      <c r="J67" s="88">
        <f>'Costuri operare'!J89+'Costuri operare'!J329+'Costuri operare'!J383+'Costuri operare'!J437+'Costuri operare'!J491</f>
        <v>274628.87760286103</v>
      </c>
      <c r="K67" s="88">
        <f>'Costuri operare'!K89+'Costuri operare'!K329+'Costuri operare'!K383+'Costuri operare'!K437+'Costuri operare'!K491</f>
        <v>271797.6520605635</v>
      </c>
      <c r="L67" s="88">
        <f>'Costuri operare'!L89+'Costuri operare'!L329+'Costuri operare'!L383+'Costuri operare'!L437+'Costuri operare'!L491</f>
        <v>269024.20663137408</v>
      </c>
      <c r="M67" s="88">
        <f>'Costuri operare'!M89+'Costuri operare'!M329+'Costuri operare'!M383+'Costuri operare'!M437+'Costuri operare'!M491</f>
        <v>267658.60152157018</v>
      </c>
      <c r="N67" s="88">
        <f>'Costuri operare'!N89+'Costuri operare'!N329+'Costuri operare'!N383+'Costuri operare'!N437+'Costuri operare'!N491</f>
        <v>266306.79040277435</v>
      </c>
      <c r="O67" s="88">
        <f>'Costuri operare'!O89+'Costuri operare'!O329+'Costuri operare'!O383+'Costuri operare'!O437+'Costuri operare'!O491</f>
        <v>281819.83552740817</v>
      </c>
      <c r="Q67" s="35"/>
      <c r="S67" s="241"/>
    </row>
    <row r="68" spans="2:19" s="22" customFormat="1" ht="33.75" customHeight="1" x14ac:dyDescent="0.3">
      <c r="B68" s="35"/>
      <c r="C68" s="40" t="s">
        <v>243</v>
      </c>
      <c r="D68" s="43" t="s">
        <v>157</v>
      </c>
      <c r="E68" s="105">
        <f>E67/Cererea!E98</f>
        <v>0.80062086003409061</v>
      </c>
      <c r="F68" s="105">
        <f>F67/Cererea!F98</f>
        <v>0.78826287247069804</v>
      </c>
      <c r="G68" s="105">
        <f>G67/Cererea!G98</f>
        <v>0.60517690466054175</v>
      </c>
      <c r="H68" s="105">
        <f>H67/Cererea!H98</f>
        <v>0.60272621096386203</v>
      </c>
      <c r="I68" s="105">
        <f>I67/Cererea!I98</f>
        <v>0.59955396774826275</v>
      </c>
      <c r="J68" s="105">
        <f>J67/Cererea!J98</f>
        <v>0.59330861391755163</v>
      </c>
      <c r="K68" s="105">
        <f>K67/Cererea!K98</f>
        <v>0.58719203026891709</v>
      </c>
      <c r="L68" s="105">
        <f>L67/Cererea!L98</f>
        <v>0.58120027485800974</v>
      </c>
      <c r="M68" s="105">
        <f>M67/Cererea!M98</f>
        <v>0.5782500196556849</v>
      </c>
      <c r="N68" s="105">
        <f>N67/Cererea!N98</f>
        <v>0.57532956501095922</v>
      </c>
      <c r="O68" s="105">
        <f>O67/Cererea!O98</f>
        <v>0.60593220144771243</v>
      </c>
      <c r="Q68" s="35"/>
      <c r="S68" s="241"/>
    </row>
    <row r="69" spans="2:19" s="22" customFormat="1" ht="36" customHeight="1" x14ac:dyDescent="0.3">
      <c r="B69" s="35"/>
      <c r="C69" s="40" t="s">
        <v>244</v>
      </c>
      <c r="D69" s="43" t="s">
        <v>157</v>
      </c>
      <c r="E69" s="105">
        <f>E67/Cererea!E100</f>
        <v>0.74029896156493458</v>
      </c>
      <c r="F69" s="105">
        <f>F67/Cererea!F100</f>
        <v>0.73721134171294944</v>
      </c>
      <c r="G69" s="105">
        <f>G67/Cererea!G100</f>
        <v>0.5695762693608496</v>
      </c>
      <c r="H69" s="105">
        <f>H67/Cererea!H100</f>
        <v>0.5695762693608496</v>
      </c>
      <c r="I69" s="105">
        <f>I67/Cererea!I100</f>
        <v>0.5695762693608496</v>
      </c>
      <c r="J69" s="105">
        <f>J67/Cererea!J100</f>
        <v>0.5695762693608496</v>
      </c>
      <c r="K69" s="105">
        <f>K67/Cererea!K100</f>
        <v>0.5695762693608496</v>
      </c>
      <c r="L69" s="105">
        <f>L67/Cererea!L100</f>
        <v>0.5695762693608496</v>
      </c>
      <c r="M69" s="105">
        <f>M67/Cererea!M100</f>
        <v>0.5695762693608496</v>
      </c>
      <c r="N69" s="105">
        <f>N67/Cererea!N100</f>
        <v>0.5695762693608496</v>
      </c>
      <c r="O69" s="105">
        <f>O67/Cererea!O100</f>
        <v>0.5695762693608496</v>
      </c>
      <c r="Q69" s="35"/>
      <c r="S69" s="241"/>
    </row>
    <row r="70" spans="2:19" s="22" customFormat="1" x14ac:dyDescent="0.3">
      <c r="B70" s="35"/>
      <c r="Q70" s="35"/>
      <c r="S70" s="241"/>
    </row>
    <row r="71" spans="2:19" ht="6.6" customHeight="1" x14ac:dyDescent="0.3">
      <c r="B71" s="35"/>
      <c r="C71" s="35"/>
      <c r="D71" s="35"/>
      <c r="E71" s="35"/>
      <c r="F71" s="35"/>
      <c r="G71" s="35"/>
      <c r="H71" s="35"/>
      <c r="I71" s="35"/>
      <c r="J71" s="35"/>
      <c r="K71" s="35"/>
      <c r="L71" s="35"/>
      <c r="M71" s="35"/>
      <c r="N71" s="35"/>
      <c r="O71" s="35"/>
      <c r="P71" s="35"/>
      <c r="Q71" s="35"/>
    </row>
    <row r="72" spans="2:19" s="22" customFormat="1" x14ac:dyDescent="0.3"/>
    <row r="73" spans="2:19" ht="8.1" customHeight="1" x14ac:dyDescent="0.3">
      <c r="B73" s="23"/>
      <c r="C73" s="23"/>
      <c r="D73" s="23"/>
      <c r="E73" s="23"/>
      <c r="F73" s="23"/>
      <c r="G73" s="23"/>
      <c r="H73" s="23"/>
      <c r="I73" s="23"/>
      <c r="J73" s="23"/>
      <c r="K73" s="23"/>
      <c r="L73" s="23"/>
      <c r="M73" s="23"/>
      <c r="N73" s="23"/>
      <c r="O73" s="23"/>
      <c r="P73" s="23"/>
      <c r="Q73" s="23"/>
    </row>
    <row r="74" spans="2:19" x14ac:dyDescent="0.3">
      <c r="B74" s="23"/>
      <c r="C74" s="24" t="s">
        <v>245</v>
      </c>
      <c r="Q74" s="23"/>
    </row>
    <row r="75" spans="2:19" ht="8.1" customHeight="1" x14ac:dyDescent="0.3">
      <c r="B75" s="23"/>
      <c r="C75" s="23"/>
      <c r="D75" s="23"/>
      <c r="E75" s="23"/>
      <c r="F75" s="23"/>
      <c r="G75" s="23"/>
      <c r="H75" s="23"/>
      <c r="I75" s="23"/>
      <c r="J75" s="23"/>
      <c r="K75" s="23"/>
      <c r="L75" s="23"/>
      <c r="M75" s="23"/>
      <c r="N75" s="23"/>
      <c r="O75" s="23"/>
      <c r="P75" s="23"/>
      <c r="Q75" s="23"/>
    </row>
    <row r="76" spans="2:19" x14ac:dyDescent="0.3">
      <c r="B76" s="23"/>
      <c r="Q76" s="23"/>
    </row>
    <row r="77" spans="2:19" s="22" customFormat="1" ht="29.1" customHeight="1" x14ac:dyDescent="0.3">
      <c r="B77" s="35"/>
      <c r="C77" s="56" t="s">
        <v>246</v>
      </c>
      <c r="D77" s="56"/>
      <c r="E77" s="37">
        <f>F77-1</f>
        <v>2022</v>
      </c>
      <c r="F77" s="37">
        <f>G77-1</f>
        <v>2023</v>
      </c>
      <c r="G77" s="57">
        <f>'Date generale'!$D$8</f>
        <v>2024</v>
      </c>
      <c r="H77" s="58">
        <f t="shared" ref="H77:O77" si="13">G77+1</f>
        <v>2025</v>
      </c>
      <c r="I77" s="58">
        <f t="shared" si="13"/>
        <v>2026</v>
      </c>
      <c r="J77" s="58">
        <f t="shared" si="13"/>
        <v>2027</v>
      </c>
      <c r="K77" s="58">
        <f t="shared" si="13"/>
        <v>2028</v>
      </c>
      <c r="L77" s="58">
        <f t="shared" si="13"/>
        <v>2029</v>
      </c>
      <c r="M77" s="58">
        <f t="shared" si="13"/>
        <v>2030</v>
      </c>
      <c r="N77" s="58">
        <f t="shared" si="13"/>
        <v>2031</v>
      </c>
      <c r="O77" s="58">
        <f t="shared" si="13"/>
        <v>2032</v>
      </c>
      <c r="Q77" s="35"/>
      <c r="S77" s="245" t="s">
        <v>247</v>
      </c>
    </row>
    <row r="78" spans="2:19" x14ac:dyDescent="0.3">
      <c r="B78" s="23"/>
      <c r="C78" s="59"/>
      <c r="D78" s="59"/>
      <c r="E78" s="27">
        <f>F78-1</f>
        <v>-3</v>
      </c>
      <c r="F78" s="27">
        <f>G78-1</f>
        <v>-2</v>
      </c>
      <c r="G78" s="60">
        <v>-1</v>
      </c>
      <c r="H78" s="60">
        <v>0</v>
      </c>
      <c r="I78" s="60">
        <f t="shared" ref="I78:O78" si="14">H78+1</f>
        <v>1</v>
      </c>
      <c r="J78" s="60">
        <f t="shared" si="14"/>
        <v>2</v>
      </c>
      <c r="K78" s="60">
        <f t="shared" si="14"/>
        <v>3</v>
      </c>
      <c r="L78" s="60">
        <f t="shared" si="14"/>
        <v>4</v>
      </c>
      <c r="M78" s="60">
        <f t="shared" si="14"/>
        <v>5</v>
      </c>
      <c r="N78" s="60">
        <f t="shared" si="14"/>
        <v>6</v>
      </c>
      <c r="O78" s="60">
        <f t="shared" si="14"/>
        <v>7</v>
      </c>
      <c r="Q78" s="35"/>
      <c r="S78" s="245"/>
    </row>
    <row r="79" spans="2:19" s="24" customFormat="1" x14ac:dyDescent="0.3">
      <c r="B79" s="61"/>
      <c r="C79" s="42"/>
      <c r="D79" s="51"/>
      <c r="E79" s="62"/>
      <c r="F79" s="62"/>
      <c r="G79" s="62"/>
      <c r="H79" s="62"/>
      <c r="I79" s="62"/>
      <c r="J79" s="62"/>
      <c r="K79" s="62"/>
      <c r="L79" s="62"/>
      <c r="M79" s="62"/>
      <c r="N79" s="62"/>
      <c r="O79" s="62"/>
      <c r="Q79" s="35"/>
      <c r="S79" s="241"/>
    </row>
    <row r="80" spans="2:19" s="24" customFormat="1" x14ac:dyDescent="0.3">
      <c r="B80" s="61"/>
      <c r="C80" s="86" t="s">
        <v>248</v>
      </c>
      <c r="D80" s="51" t="s">
        <v>14</v>
      </c>
      <c r="E80" s="62">
        <f t="shared" ref="E80:O80" si="15">SUM(E81:E84)</f>
        <v>22</v>
      </c>
      <c r="F80" s="62">
        <f t="shared" si="15"/>
        <v>22</v>
      </c>
      <c r="G80" s="62">
        <f t="shared" si="15"/>
        <v>22</v>
      </c>
      <c r="H80" s="62">
        <f t="shared" si="15"/>
        <v>22</v>
      </c>
      <c r="I80" s="62">
        <f t="shared" si="15"/>
        <v>22</v>
      </c>
      <c r="J80" s="62">
        <f t="shared" si="15"/>
        <v>22</v>
      </c>
      <c r="K80" s="62">
        <f t="shared" si="15"/>
        <v>22</v>
      </c>
      <c r="L80" s="62">
        <f t="shared" si="15"/>
        <v>22</v>
      </c>
      <c r="M80" s="62">
        <f t="shared" si="15"/>
        <v>22</v>
      </c>
      <c r="N80" s="62">
        <f t="shared" si="15"/>
        <v>22</v>
      </c>
      <c r="O80" s="62">
        <f t="shared" si="15"/>
        <v>22</v>
      </c>
      <c r="Q80" s="35"/>
      <c r="S80" s="241"/>
    </row>
    <row r="81" spans="2:19" s="24" customFormat="1" x14ac:dyDescent="0.3">
      <c r="B81" s="61"/>
      <c r="C81" s="40" t="str">
        <f>'Date de context'!C26</f>
        <v>Apa potabilă produsă, transportată și distribuită</v>
      </c>
      <c r="D81" s="43" t="s">
        <v>14</v>
      </c>
      <c r="E81" s="88">
        <f>'Costuri operare'!E51</f>
        <v>22</v>
      </c>
      <c r="F81" s="88">
        <f>'Costuri operare'!F51</f>
        <v>22</v>
      </c>
      <c r="G81" s="88">
        <f>'Costuri operare'!G51</f>
        <v>22</v>
      </c>
      <c r="H81" s="88">
        <f>'Costuri operare'!H51</f>
        <v>22</v>
      </c>
      <c r="I81" s="88">
        <f>'Costuri operare'!I51</f>
        <v>22</v>
      </c>
      <c r="J81" s="88">
        <f>'Costuri operare'!J51</f>
        <v>22</v>
      </c>
      <c r="K81" s="88">
        <f>'Costuri operare'!K51</f>
        <v>22</v>
      </c>
      <c r="L81" s="88">
        <f>'Costuri operare'!L51</f>
        <v>22</v>
      </c>
      <c r="M81" s="88">
        <f>'Costuri operare'!M51</f>
        <v>22</v>
      </c>
      <c r="N81" s="88">
        <f>'Costuri operare'!N51</f>
        <v>22</v>
      </c>
      <c r="O81" s="88">
        <f>'Costuri operare'!O51</f>
        <v>22</v>
      </c>
      <c r="Q81" s="35"/>
      <c r="S81" s="241"/>
    </row>
    <row r="82" spans="2:19" s="24" customFormat="1" ht="28.8" x14ac:dyDescent="0.3">
      <c r="B82" s="61"/>
      <c r="C82" s="40" t="str">
        <f>'Date de context'!C28</f>
        <v>Apa potabilă produsă și transportată în vederea redistribuirii în alte sisteme de operare</v>
      </c>
      <c r="D82" s="43" t="s">
        <v>14</v>
      </c>
      <c r="E82" s="88">
        <f>'Costuri operare'!E167</f>
        <v>0</v>
      </c>
      <c r="F82" s="88">
        <f>'Costuri operare'!F167</f>
        <v>0</v>
      </c>
      <c r="G82" s="88">
        <f>'Costuri operare'!G167</f>
        <v>0</v>
      </c>
      <c r="H82" s="88">
        <f>'Costuri operare'!H167</f>
        <v>0</v>
      </c>
      <c r="I82" s="88">
        <f>'Costuri operare'!I167</f>
        <v>0</v>
      </c>
      <c r="J82" s="88">
        <f>'Costuri operare'!J167</f>
        <v>0</v>
      </c>
      <c r="K82" s="88">
        <f>'Costuri operare'!K167</f>
        <v>0</v>
      </c>
      <c r="L82" s="88">
        <f>'Costuri operare'!L167</f>
        <v>0</v>
      </c>
      <c r="M82" s="88">
        <f>'Costuri operare'!M167</f>
        <v>0</v>
      </c>
      <c r="N82" s="88">
        <f>'Costuri operare'!N167</f>
        <v>0</v>
      </c>
      <c r="O82" s="88">
        <f>'Costuri operare'!O167</f>
        <v>0</v>
      </c>
      <c r="Q82" s="35"/>
      <c r="S82" s="241"/>
    </row>
    <row r="83" spans="2:19" s="53" customFormat="1" x14ac:dyDescent="0.3">
      <c r="B83" s="63"/>
      <c r="C83" s="40" t="str">
        <f>'Date de context'!C29</f>
        <v>Distribuția apei potabile</v>
      </c>
      <c r="D83" s="43" t="s">
        <v>14</v>
      </c>
      <c r="E83" s="88">
        <f>'Costuri operare'!E229</f>
        <v>0</v>
      </c>
      <c r="F83" s="88">
        <f>'Costuri operare'!F229</f>
        <v>0</v>
      </c>
      <c r="G83" s="88">
        <f>'Costuri operare'!G229</f>
        <v>0</v>
      </c>
      <c r="H83" s="88">
        <f>'Costuri operare'!H229</f>
        <v>0</v>
      </c>
      <c r="I83" s="88">
        <f>'Costuri operare'!I229</f>
        <v>0</v>
      </c>
      <c r="J83" s="88">
        <f>'Costuri operare'!J229</f>
        <v>0</v>
      </c>
      <c r="K83" s="88">
        <f>'Costuri operare'!K229</f>
        <v>0</v>
      </c>
      <c r="L83" s="88">
        <f>'Costuri operare'!L229</f>
        <v>0</v>
      </c>
      <c r="M83" s="88">
        <f>'Costuri operare'!M229</f>
        <v>0</v>
      </c>
      <c r="N83" s="88">
        <f>'Costuri operare'!N229</f>
        <v>0</v>
      </c>
      <c r="O83" s="88">
        <f>'Costuri operare'!O229</f>
        <v>0</v>
      </c>
      <c r="Q83" s="35"/>
      <c r="S83" s="241"/>
    </row>
    <row r="84" spans="2:19" s="53" customFormat="1" x14ac:dyDescent="0.3">
      <c r="B84" s="63"/>
      <c r="C84" s="40" t="str">
        <f>'Date de context'!C30</f>
        <v>Apa industriala</v>
      </c>
      <c r="D84" s="43" t="s">
        <v>14</v>
      </c>
      <c r="E84" s="88">
        <f>'Costuri operare'!E291</f>
        <v>0</v>
      </c>
      <c r="F84" s="88">
        <f>'Costuri operare'!F291</f>
        <v>0</v>
      </c>
      <c r="G84" s="88">
        <f>'Costuri operare'!G291</f>
        <v>0</v>
      </c>
      <c r="H84" s="88">
        <f>'Costuri operare'!H291</f>
        <v>0</v>
      </c>
      <c r="I84" s="88">
        <f>'Costuri operare'!I291</f>
        <v>0</v>
      </c>
      <c r="J84" s="88">
        <f>'Costuri operare'!J291</f>
        <v>0</v>
      </c>
      <c r="K84" s="88">
        <f>'Costuri operare'!K291</f>
        <v>0</v>
      </c>
      <c r="L84" s="88">
        <f>'Costuri operare'!L291</f>
        <v>0</v>
      </c>
      <c r="M84" s="88">
        <f>'Costuri operare'!M291</f>
        <v>0</v>
      </c>
      <c r="N84" s="88">
        <f>'Costuri operare'!N291</f>
        <v>0</v>
      </c>
      <c r="O84" s="88">
        <f>'Costuri operare'!O291</f>
        <v>0</v>
      </c>
      <c r="Q84" s="35"/>
      <c r="S84" s="241"/>
    </row>
    <row r="85" spans="2:19" s="53" customFormat="1" x14ac:dyDescent="0.3">
      <c r="B85" s="63"/>
      <c r="C85" s="40"/>
      <c r="D85" s="43"/>
      <c r="E85" s="88"/>
      <c r="F85" s="62"/>
      <c r="G85" s="62"/>
      <c r="H85" s="62"/>
      <c r="I85" s="62"/>
      <c r="J85" s="62"/>
      <c r="K85" s="62"/>
      <c r="L85" s="62"/>
      <c r="M85" s="62"/>
      <c r="N85" s="62"/>
      <c r="O85" s="62"/>
      <c r="Q85" s="35"/>
      <c r="S85" s="241"/>
    </row>
    <row r="86" spans="2:19" s="22" customFormat="1" ht="28.8" x14ac:dyDescent="0.3">
      <c r="B86" s="35"/>
      <c r="C86" s="89" t="s">
        <v>249</v>
      </c>
      <c r="D86" s="43" t="s">
        <v>14</v>
      </c>
      <c r="E86" s="62">
        <f t="shared" ref="E86:O86" si="16">SUM(E87:E91)</f>
        <v>12</v>
      </c>
      <c r="F86" s="62">
        <f t="shared" si="16"/>
        <v>12</v>
      </c>
      <c r="G86" s="62">
        <f t="shared" si="16"/>
        <v>12</v>
      </c>
      <c r="H86" s="62">
        <f t="shared" si="16"/>
        <v>12</v>
      </c>
      <c r="I86" s="62">
        <f t="shared" si="16"/>
        <v>12</v>
      </c>
      <c r="J86" s="62">
        <f t="shared" si="16"/>
        <v>12</v>
      </c>
      <c r="K86" s="62">
        <f t="shared" si="16"/>
        <v>12</v>
      </c>
      <c r="L86" s="62">
        <f t="shared" si="16"/>
        <v>12</v>
      </c>
      <c r="M86" s="62">
        <f t="shared" si="16"/>
        <v>12</v>
      </c>
      <c r="N86" s="62">
        <f t="shared" si="16"/>
        <v>12</v>
      </c>
      <c r="O86" s="62">
        <f t="shared" si="16"/>
        <v>12</v>
      </c>
      <c r="Q86" s="35"/>
      <c r="S86" s="241"/>
    </row>
    <row r="87" spans="2:19" s="22" customFormat="1" ht="30" customHeight="1" x14ac:dyDescent="0.3">
      <c r="B87" s="35"/>
      <c r="C87" s="40" t="str">
        <f>'Date de context'!C27</f>
        <v>Canalizare – epurare ape uzate și meteorice procesate</v>
      </c>
      <c r="D87" s="43" t="s">
        <v>14</v>
      </c>
      <c r="E87" s="88">
        <f>'Costuri operare'!E99</f>
        <v>12</v>
      </c>
      <c r="F87" s="88">
        <f>'Costuri operare'!F99</f>
        <v>12</v>
      </c>
      <c r="G87" s="88">
        <f>'Costuri operare'!G99</f>
        <v>12</v>
      </c>
      <c r="H87" s="88">
        <f>'Costuri operare'!H99</f>
        <v>12</v>
      </c>
      <c r="I87" s="88">
        <f>'Costuri operare'!I99</f>
        <v>12</v>
      </c>
      <c r="J87" s="88">
        <f>'Costuri operare'!J99</f>
        <v>12</v>
      </c>
      <c r="K87" s="88">
        <f>'Costuri operare'!K99</f>
        <v>12</v>
      </c>
      <c r="L87" s="88">
        <f>'Costuri operare'!L99</f>
        <v>12</v>
      </c>
      <c r="M87" s="88">
        <f>'Costuri operare'!M99</f>
        <v>12</v>
      </c>
      <c r="N87" s="88">
        <f>'Costuri operare'!N99</f>
        <v>12</v>
      </c>
      <c r="O87" s="88">
        <f>'Costuri operare'!O99</f>
        <v>12</v>
      </c>
      <c r="Q87" s="35"/>
      <c r="S87" s="241"/>
    </row>
    <row r="88" spans="2:19" s="22" customFormat="1" ht="31.35" customHeight="1" x14ac:dyDescent="0.3">
      <c r="B88" s="35"/>
      <c r="C88" s="40" t="str">
        <f>'Date de context'!C31</f>
        <v>Transportul și epurarea apelor uzate preluate din alte sisteme de operare</v>
      </c>
      <c r="D88" s="43" t="s">
        <v>14</v>
      </c>
      <c r="E88" s="88">
        <f>'Costuri operare'!E339</f>
        <v>0</v>
      </c>
      <c r="F88" s="88">
        <f>'Costuri operare'!F339</f>
        <v>0</v>
      </c>
      <c r="G88" s="88">
        <f>'Costuri operare'!G339</f>
        <v>0</v>
      </c>
      <c r="H88" s="88">
        <f>'Costuri operare'!H339</f>
        <v>0</v>
      </c>
      <c r="I88" s="88">
        <f>'Costuri operare'!I339</f>
        <v>0</v>
      </c>
      <c r="J88" s="88">
        <f>'Costuri operare'!J339</f>
        <v>0</v>
      </c>
      <c r="K88" s="88">
        <f>'Costuri operare'!K339</f>
        <v>0</v>
      </c>
      <c r="L88" s="88">
        <f>'Costuri operare'!L339</f>
        <v>0</v>
      </c>
      <c r="M88" s="88">
        <f>'Costuri operare'!M339</f>
        <v>0</v>
      </c>
      <c r="N88" s="88">
        <f>'Costuri operare'!N339</f>
        <v>0</v>
      </c>
      <c r="O88" s="88">
        <f>'Costuri operare'!O339</f>
        <v>0</v>
      </c>
      <c r="Q88" s="35"/>
      <c r="S88" s="241"/>
    </row>
    <row r="89" spans="2:19" s="22" customFormat="1" x14ac:dyDescent="0.3">
      <c r="B89" s="35"/>
      <c r="C89" s="40" t="str">
        <f>'Date de context'!C32</f>
        <v>Canalizare ape uzate menajere</v>
      </c>
      <c r="D89" s="43" t="s">
        <v>14</v>
      </c>
      <c r="E89" s="88">
        <f>'Costuri operare'!E393</f>
        <v>0</v>
      </c>
      <c r="F89" s="88">
        <f>'Costuri operare'!F393</f>
        <v>0</v>
      </c>
      <c r="G89" s="88">
        <f>'Costuri operare'!G393</f>
        <v>0</v>
      </c>
      <c r="H89" s="88">
        <f>'Costuri operare'!H393</f>
        <v>0</v>
      </c>
      <c r="I89" s="88">
        <f>'Costuri operare'!I393</f>
        <v>0</v>
      </c>
      <c r="J89" s="88">
        <f>'Costuri operare'!J393</f>
        <v>0</v>
      </c>
      <c r="K89" s="88">
        <f>'Costuri operare'!K393</f>
        <v>0</v>
      </c>
      <c r="L89" s="88">
        <f>'Costuri operare'!L393</f>
        <v>0</v>
      </c>
      <c r="M89" s="88">
        <f>'Costuri operare'!M393</f>
        <v>0</v>
      </c>
      <c r="N89" s="88">
        <f>'Costuri operare'!N393</f>
        <v>0</v>
      </c>
      <c r="O89" s="88">
        <f>'Costuri operare'!O393</f>
        <v>0</v>
      </c>
      <c r="Q89" s="35"/>
      <c r="S89" s="241"/>
    </row>
    <row r="90" spans="2:19" s="22" customFormat="1" ht="28.8" x14ac:dyDescent="0.3">
      <c r="B90" s="35"/>
      <c r="C90" s="40" t="str">
        <f>'Date de context'!C33</f>
        <v xml:space="preserve">Serviciul public inteligent alternativ pentru procesarea apelor uzate </v>
      </c>
      <c r="D90" s="43" t="s">
        <v>14</v>
      </c>
      <c r="E90" s="88">
        <f>'Costuri operare'!E447</f>
        <v>0</v>
      </c>
      <c r="F90" s="88">
        <f>'Costuri operare'!F447</f>
        <v>0</v>
      </c>
      <c r="G90" s="88">
        <f>'Costuri operare'!G447</f>
        <v>0</v>
      </c>
      <c r="H90" s="88">
        <f>'Costuri operare'!H447</f>
        <v>0</v>
      </c>
      <c r="I90" s="88">
        <f>'Costuri operare'!I447</f>
        <v>0</v>
      </c>
      <c r="J90" s="88">
        <f>'Costuri operare'!J447</f>
        <v>0</v>
      </c>
      <c r="K90" s="88">
        <f>'Costuri operare'!K447</f>
        <v>0</v>
      </c>
      <c r="L90" s="88">
        <f>'Costuri operare'!L447</f>
        <v>0</v>
      </c>
      <c r="M90" s="88">
        <f>'Costuri operare'!M447</f>
        <v>0</v>
      </c>
      <c r="N90" s="88">
        <f>'Costuri operare'!N447</f>
        <v>0</v>
      </c>
      <c r="O90" s="88">
        <f>'Costuri operare'!O447</f>
        <v>0</v>
      </c>
      <c r="Q90" s="35"/>
      <c r="S90" s="241"/>
    </row>
    <row r="91" spans="2:19" s="22" customFormat="1" x14ac:dyDescent="0.3">
      <c r="B91" s="35"/>
      <c r="C91" s="40" t="str">
        <f>'Date de context'!C34</f>
        <v>Canalizare ape pluviale</v>
      </c>
      <c r="D91" s="43" t="s">
        <v>14</v>
      </c>
      <c r="E91" s="88">
        <f>'Costuri operare'!E501</f>
        <v>0</v>
      </c>
      <c r="F91" s="88">
        <f>'Costuri operare'!F501</f>
        <v>0</v>
      </c>
      <c r="G91" s="88">
        <f>'Costuri operare'!G501</f>
        <v>0</v>
      </c>
      <c r="H91" s="88">
        <f>'Costuri operare'!H501</f>
        <v>0</v>
      </c>
      <c r="I91" s="88">
        <f>'Costuri operare'!I501</f>
        <v>0</v>
      </c>
      <c r="J91" s="88">
        <f>'Costuri operare'!J501</f>
        <v>0</v>
      </c>
      <c r="K91" s="88">
        <f>'Costuri operare'!K501</f>
        <v>0</v>
      </c>
      <c r="L91" s="88">
        <f>'Costuri operare'!L501</f>
        <v>0</v>
      </c>
      <c r="M91" s="88">
        <f>'Costuri operare'!M501</f>
        <v>0</v>
      </c>
      <c r="N91" s="88">
        <f>'Costuri operare'!N501</f>
        <v>0</v>
      </c>
      <c r="O91" s="88">
        <f>'Costuri operare'!O501</f>
        <v>0</v>
      </c>
      <c r="Q91" s="35"/>
      <c r="S91" s="241"/>
    </row>
    <row r="92" spans="2:19" s="22" customFormat="1" x14ac:dyDescent="0.3">
      <c r="B92" s="35"/>
      <c r="C92" s="40"/>
      <c r="D92" s="43"/>
      <c r="E92" s="88"/>
      <c r="F92" s="88"/>
      <c r="G92" s="88"/>
      <c r="H92" s="88"/>
      <c r="I92" s="88"/>
      <c r="J92" s="88"/>
      <c r="K92" s="88"/>
      <c r="L92" s="88"/>
      <c r="M92" s="88"/>
      <c r="N92" s="88"/>
      <c r="O92" s="88"/>
      <c r="Q92" s="35"/>
      <c r="S92" s="241"/>
    </row>
    <row r="93" spans="2:19" s="22" customFormat="1" x14ac:dyDescent="0.3">
      <c r="B93" s="35"/>
      <c r="C93" s="42" t="s">
        <v>250</v>
      </c>
      <c r="D93" s="43" t="s">
        <v>14</v>
      </c>
      <c r="E93" s="62">
        <f t="shared" ref="E93:O93" si="17">E80+E86</f>
        <v>34</v>
      </c>
      <c r="F93" s="62">
        <f t="shared" si="17"/>
        <v>34</v>
      </c>
      <c r="G93" s="62">
        <f t="shared" si="17"/>
        <v>34</v>
      </c>
      <c r="H93" s="62">
        <f t="shared" si="17"/>
        <v>34</v>
      </c>
      <c r="I93" s="62">
        <f t="shared" si="17"/>
        <v>34</v>
      </c>
      <c r="J93" s="62">
        <f t="shared" si="17"/>
        <v>34</v>
      </c>
      <c r="K93" s="62">
        <f t="shared" si="17"/>
        <v>34</v>
      </c>
      <c r="L93" s="62">
        <f t="shared" si="17"/>
        <v>34</v>
      </c>
      <c r="M93" s="62">
        <f t="shared" si="17"/>
        <v>34</v>
      </c>
      <c r="N93" s="62">
        <f t="shared" si="17"/>
        <v>34</v>
      </c>
      <c r="O93" s="62">
        <f t="shared" si="17"/>
        <v>34</v>
      </c>
      <c r="Q93" s="35"/>
      <c r="S93" s="241"/>
    </row>
    <row r="94" spans="2:19" s="22" customFormat="1" ht="28.8" x14ac:dyDescent="0.3">
      <c r="B94" s="35"/>
      <c r="C94" s="40" t="s">
        <v>251</v>
      </c>
      <c r="D94" s="43" t="s">
        <v>14</v>
      </c>
      <c r="E94" s="87">
        <v>15</v>
      </c>
      <c r="F94" s="87">
        <v>15</v>
      </c>
      <c r="G94" s="87">
        <v>15</v>
      </c>
      <c r="H94" s="87">
        <v>15</v>
      </c>
      <c r="I94" s="87">
        <v>15</v>
      </c>
      <c r="J94" s="87">
        <v>15</v>
      </c>
      <c r="K94" s="87">
        <v>15</v>
      </c>
      <c r="L94" s="87">
        <v>15</v>
      </c>
      <c r="M94" s="87">
        <v>15</v>
      </c>
      <c r="N94" s="87">
        <v>15</v>
      </c>
      <c r="O94" s="87">
        <v>15</v>
      </c>
      <c r="Q94" s="35"/>
      <c r="S94" s="241"/>
    </row>
    <row r="95" spans="2:19" ht="28.8" x14ac:dyDescent="0.3">
      <c r="B95" s="35"/>
      <c r="C95" s="40" t="s">
        <v>252</v>
      </c>
      <c r="D95" s="43" t="s">
        <v>14</v>
      </c>
      <c r="E95" s="87">
        <v>8</v>
      </c>
      <c r="F95" s="87">
        <v>8</v>
      </c>
      <c r="G95" s="87">
        <v>8</v>
      </c>
      <c r="H95" s="87">
        <v>8</v>
      </c>
      <c r="I95" s="87">
        <v>8</v>
      </c>
      <c r="J95" s="87">
        <v>8</v>
      </c>
      <c r="K95" s="87">
        <v>8</v>
      </c>
      <c r="L95" s="87">
        <v>8</v>
      </c>
      <c r="M95" s="87">
        <v>8</v>
      </c>
      <c r="N95" s="87">
        <v>8</v>
      </c>
      <c r="O95" s="87">
        <v>8</v>
      </c>
      <c r="Q95" s="35"/>
      <c r="S95" s="241"/>
    </row>
    <row r="96" spans="2:19" x14ac:dyDescent="0.3">
      <c r="B96" s="35"/>
      <c r="C96" s="40" t="s">
        <v>253</v>
      </c>
      <c r="D96" s="43" t="s">
        <v>14</v>
      </c>
      <c r="E96" s="87">
        <v>2</v>
      </c>
      <c r="F96" s="87">
        <v>2</v>
      </c>
      <c r="G96" s="87">
        <v>2</v>
      </c>
      <c r="H96" s="87">
        <v>2</v>
      </c>
      <c r="I96" s="87">
        <v>2</v>
      </c>
      <c r="J96" s="87">
        <v>2</v>
      </c>
      <c r="K96" s="87">
        <v>2</v>
      </c>
      <c r="L96" s="87">
        <v>2</v>
      </c>
      <c r="M96" s="87">
        <v>2</v>
      </c>
      <c r="N96" s="87">
        <v>2</v>
      </c>
      <c r="O96" s="87">
        <v>2</v>
      </c>
      <c r="Q96" s="35"/>
      <c r="S96" s="241"/>
    </row>
    <row r="97" spans="2:19" x14ac:dyDescent="0.3">
      <c r="B97" s="35"/>
      <c r="C97" s="40" t="s">
        <v>254</v>
      </c>
      <c r="D97" s="43" t="s">
        <v>14</v>
      </c>
      <c r="E97" s="17">
        <f t="shared" ref="E97:O97" si="18">E93-SUM(E94:E96)</f>
        <v>9</v>
      </c>
      <c r="F97" s="17">
        <f t="shared" si="18"/>
        <v>9</v>
      </c>
      <c r="G97" s="17">
        <f t="shared" si="18"/>
        <v>9</v>
      </c>
      <c r="H97" s="17">
        <f t="shared" si="18"/>
        <v>9</v>
      </c>
      <c r="I97" s="17">
        <f t="shared" si="18"/>
        <v>9</v>
      </c>
      <c r="J97" s="17">
        <f t="shared" si="18"/>
        <v>9</v>
      </c>
      <c r="K97" s="17">
        <f t="shared" si="18"/>
        <v>9</v>
      </c>
      <c r="L97" s="17">
        <f t="shared" si="18"/>
        <v>9</v>
      </c>
      <c r="M97" s="17">
        <f t="shared" si="18"/>
        <v>9</v>
      </c>
      <c r="N97" s="17">
        <f t="shared" si="18"/>
        <v>9</v>
      </c>
      <c r="O97" s="17">
        <f t="shared" si="18"/>
        <v>9</v>
      </c>
      <c r="Q97" s="35"/>
      <c r="S97" s="241"/>
    </row>
    <row r="98" spans="2:19" x14ac:dyDescent="0.3">
      <c r="B98" s="35"/>
      <c r="C98" s="14"/>
      <c r="D98" s="14"/>
      <c r="E98" s="14"/>
      <c r="F98" s="14"/>
      <c r="G98" s="14"/>
      <c r="H98" s="14"/>
      <c r="I98" s="14"/>
      <c r="J98" s="14"/>
      <c r="K98" s="14"/>
      <c r="L98" s="14"/>
      <c r="M98" s="14"/>
      <c r="N98" s="14"/>
      <c r="O98" s="14"/>
      <c r="Q98" s="35"/>
      <c r="S98" s="241"/>
    </row>
    <row r="99" spans="2:19" x14ac:dyDescent="0.3">
      <c r="B99" s="35"/>
      <c r="C99" s="42" t="s">
        <v>255</v>
      </c>
      <c r="D99" s="14"/>
      <c r="E99" s="14"/>
      <c r="F99" s="14"/>
      <c r="G99" s="14"/>
      <c r="H99" s="14"/>
      <c r="I99" s="14"/>
      <c r="J99" s="14"/>
      <c r="K99" s="14"/>
      <c r="L99" s="14"/>
      <c r="M99" s="14"/>
      <c r="N99" s="14"/>
      <c r="O99" s="14"/>
      <c r="Q99" s="35"/>
      <c r="S99" s="241"/>
    </row>
    <row r="100" spans="2:19" ht="28.8" x14ac:dyDescent="0.3">
      <c r="B100" s="35"/>
      <c r="C100" s="40" t="s">
        <v>251</v>
      </c>
      <c r="D100" s="43" t="s">
        <v>47</v>
      </c>
      <c r="E100" s="151">
        <f>IF(E$93&lt;&gt;0,E94/E$93,0)</f>
        <v>0.44117647058823528</v>
      </c>
      <c r="F100" s="151">
        <f t="shared" ref="F100:O100" si="19">IF(F$93&lt;&gt;0,F94/F$93,0)</f>
        <v>0.44117647058823528</v>
      </c>
      <c r="G100" s="151">
        <f t="shared" si="19"/>
        <v>0.44117647058823528</v>
      </c>
      <c r="H100" s="151">
        <f t="shared" si="19"/>
        <v>0.44117647058823528</v>
      </c>
      <c r="I100" s="151">
        <f t="shared" si="19"/>
        <v>0.44117647058823528</v>
      </c>
      <c r="J100" s="151">
        <f t="shared" si="19"/>
        <v>0.44117647058823528</v>
      </c>
      <c r="K100" s="151">
        <f t="shared" si="19"/>
        <v>0.44117647058823528</v>
      </c>
      <c r="L100" s="151">
        <f t="shared" si="19"/>
        <v>0.44117647058823528</v>
      </c>
      <c r="M100" s="151">
        <f t="shared" si="19"/>
        <v>0.44117647058823528</v>
      </c>
      <c r="N100" s="151">
        <f t="shared" si="19"/>
        <v>0.44117647058823528</v>
      </c>
      <c r="O100" s="151">
        <f t="shared" si="19"/>
        <v>0.44117647058823528</v>
      </c>
      <c r="Q100" s="35"/>
      <c r="S100" s="241"/>
    </row>
    <row r="101" spans="2:19" ht="28.8" x14ac:dyDescent="0.3">
      <c r="B101" s="35"/>
      <c r="C101" s="40" t="s">
        <v>252</v>
      </c>
      <c r="D101" s="43" t="s">
        <v>47</v>
      </c>
      <c r="E101" s="151">
        <f>IF(E$93&lt;&gt;0,E95/E$93,0)</f>
        <v>0.23529411764705882</v>
      </c>
      <c r="F101" s="151">
        <f t="shared" ref="F101:O101" si="20">IF(F$93&lt;&gt;0,F95/F$93,0)</f>
        <v>0.23529411764705882</v>
      </c>
      <c r="G101" s="151">
        <f t="shared" si="20"/>
        <v>0.23529411764705882</v>
      </c>
      <c r="H101" s="151">
        <f t="shared" si="20"/>
        <v>0.23529411764705882</v>
      </c>
      <c r="I101" s="151">
        <f t="shared" si="20"/>
        <v>0.23529411764705882</v>
      </c>
      <c r="J101" s="151">
        <f t="shared" si="20"/>
        <v>0.23529411764705882</v>
      </c>
      <c r="K101" s="151">
        <f t="shared" si="20"/>
        <v>0.23529411764705882</v>
      </c>
      <c r="L101" s="151">
        <f t="shared" si="20"/>
        <v>0.23529411764705882</v>
      </c>
      <c r="M101" s="151">
        <f t="shared" si="20"/>
        <v>0.23529411764705882</v>
      </c>
      <c r="N101" s="151">
        <f t="shared" si="20"/>
        <v>0.23529411764705882</v>
      </c>
      <c r="O101" s="151">
        <f t="shared" si="20"/>
        <v>0.23529411764705882</v>
      </c>
      <c r="Q101" s="35"/>
      <c r="S101" s="241"/>
    </row>
    <row r="102" spans="2:19" x14ac:dyDescent="0.3">
      <c r="B102" s="35"/>
      <c r="C102" s="40" t="s">
        <v>253</v>
      </c>
      <c r="D102" s="43" t="s">
        <v>47</v>
      </c>
      <c r="E102" s="151">
        <f>IF(E$93&lt;&gt;0,E96/E$93,0)</f>
        <v>5.8823529411764705E-2</v>
      </c>
      <c r="F102" s="151">
        <f t="shared" ref="F102:O102" si="21">IF(F$93&lt;&gt;0,F96/F$93,0)</f>
        <v>5.8823529411764705E-2</v>
      </c>
      <c r="G102" s="151">
        <f t="shared" si="21"/>
        <v>5.8823529411764705E-2</v>
      </c>
      <c r="H102" s="151">
        <f t="shared" si="21"/>
        <v>5.8823529411764705E-2</v>
      </c>
      <c r="I102" s="151">
        <f t="shared" si="21"/>
        <v>5.8823529411764705E-2</v>
      </c>
      <c r="J102" s="151">
        <f t="shared" si="21"/>
        <v>5.8823529411764705E-2</v>
      </c>
      <c r="K102" s="151">
        <f t="shared" si="21"/>
        <v>5.8823529411764705E-2</v>
      </c>
      <c r="L102" s="151">
        <f t="shared" si="21"/>
        <v>5.8823529411764705E-2</v>
      </c>
      <c r="M102" s="151">
        <f t="shared" si="21"/>
        <v>5.8823529411764705E-2</v>
      </c>
      <c r="N102" s="151">
        <f t="shared" si="21"/>
        <v>5.8823529411764705E-2</v>
      </c>
      <c r="O102" s="151">
        <f t="shared" si="21"/>
        <v>5.8823529411764705E-2</v>
      </c>
      <c r="Q102" s="35"/>
      <c r="S102" s="241"/>
    </row>
    <row r="103" spans="2:19" x14ac:dyDescent="0.3">
      <c r="B103" s="35"/>
      <c r="C103" s="40" t="s">
        <v>256</v>
      </c>
      <c r="D103" s="43" t="s">
        <v>47</v>
      </c>
      <c r="E103" s="151">
        <f>IF(E$93&lt;&gt;0,E97/E$93,0)</f>
        <v>0.26470588235294118</v>
      </c>
      <c r="F103" s="151">
        <f t="shared" ref="F103:O103" si="22">IF(F$93&lt;&gt;0,F97/F$93,0)</f>
        <v>0.26470588235294118</v>
      </c>
      <c r="G103" s="151">
        <f t="shared" si="22"/>
        <v>0.26470588235294118</v>
      </c>
      <c r="H103" s="151">
        <f t="shared" si="22"/>
        <v>0.26470588235294118</v>
      </c>
      <c r="I103" s="151">
        <f t="shared" si="22"/>
        <v>0.26470588235294118</v>
      </c>
      <c r="J103" s="151">
        <f t="shared" si="22"/>
        <v>0.26470588235294118</v>
      </c>
      <c r="K103" s="151">
        <f t="shared" si="22"/>
        <v>0.26470588235294118</v>
      </c>
      <c r="L103" s="151">
        <f t="shared" si="22"/>
        <v>0.26470588235294118</v>
      </c>
      <c r="M103" s="151">
        <f t="shared" si="22"/>
        <v>0.26470588235294118</v>
      </c>
      <c r="N103" s="151">
        <f t="shared" si="22"/>
        <v>0.26470588235294118</v>
      </c>
      <c r="O103" s="151">
        <f t="shared" si="22"/>
        <v>0.26470588235294118</v>
      </c>
      <c r="Q103" s="35"/>
      <c r="S103" s="241"/>
    </row>
    <row r="104" spans="2:19" x14ac:dyDescent="0.3">
      <c r="B104" s="35"/>
      <c r="C104" s="14"/>
      <c r="D104" s="14"/>
      <c r="E104" s="14"/>
      <c r="F104" s="14"/>
      <c r="G104" s="14"/>
      <c r="H104" s="14"/>
      <c r="I104" s="14"/>
      <c r="J104" s="14"/>
      <c r="K104" s="14"/>
      <c r="L104" s="14"/>
      <c r="M104" s="14"/>
      <c r="N104" s="14"/>
      <c r="O104" s="14"/>
      <c r="Q104" s="35"/>
      <c r="S104" s="241"/>
    </row>
    <row r="105" spans="2:19" s="22" customFormat="1" ht="30.6" customHeight="1" x14ac:dyDescent="0.3">
      <c r="B105" s="35"/>
      <c r="C105" s="40" t="s">
        <v>257</v>
      </c>
      <c r="D105" s="43" t="s">
        <v>258</v>
      </c>
      <c r="E105" s="152">
        <f>E94/Cererea!E91*100</f>
        <v>39.473684210526315</v>
      </c>
      <c r="F105" s="40">
        <f>F94/Cererea!F91*100</f>
        <v>39.473684210526315</v>
      </c>
      <c r="G105" s="152">
        <f>G94/Cererea!G91*100</f>
        <v>39.473684210526315</v>
      </c>
      <c r="H105" s="152">
        <f>H94/Cererea!H91*100</f>
        <v>39.473684210526315</v>
      </c>
      <c r="I105" s="152">
        <f>I94/Cererea!I91*100</f>
        <v>35.460992907801419</v>
      </c>
      <c r="J105" s="152">
        <f>J94/Cererea!J91*100</f>
        <v>35.460992907801419</v>
      </c>
      <c r="K105" s="152">
        <f>K94/Cererea!K91*100</f>
        <v>35.460992907801419</v>
      </c>
      <c r="L105" s="152">
        <f>L94/Cererea!L91*100</f>
        <v>35.460992907801419</v>
      </c>
      <c r="M105" s="152">
        <f>M94/Cererea!M91*100</f>
        <v>35.460992907801419</v>
      </c>
      <c r="N105" s="152">
        <f>N94/Cererea!N91*100</f>
        <v>35.460992907801419</v>
      </c>
      <c r="O105" s="152">
        <f>O94/Cererea!O91*100</f>
        <v>35.460992907801419</v>
      </c>
      <c r="Q105" s="35"/>
      <c r="S105" s="241"/>
    </row>
    <row r="106" spans="2:19" s="22" customFormat="1" ht="28.8" x14ac:dyDescent="0.3">
      <c r="B106" s="35"/>
      <c r="C106" s="40" t="s">
        <v>259</v>
      </c>
      <c r="D106" s="43" t="s">
        <v>258</v>
      </c>
      <c r="E106" s="152">
        <f>E95/Cererea!E101*100</f>
        <v>27.586206896551722</v>
      </c>
      <c r="F106" s="152">
        <f>F95/Cererea!F101*100</f>
        <v>27.586206896551722</v>
      </c>
      <c r="G106" s="152">
        <f>G95/Cererea!G101*100</f>
        <v>27.586206896551722</v>
      </c>
      <c r="H106" s="152">
        <f>H95/Cererea!H101*100</f>
        <v>27.586206896551722</v>
      </c>
      <c r="I106" s="152">
        <f>I95/Cererea!I101*100</f>
        <v>20.833333333333336</v>
      </c>
      <c r="J106" s="152">
        <f>J95/Cererea!J101*100</f>
        <v>20.833333333333336</v>
      </c>
      <c r="K106" s="152">
        <f>K95/Cererea!K101*100</f>
        <v>20.833333333333336</v>
      </c>
      <c r="L106" s="152">
        <f>L95/Cererea!L101*100</f>
        <v>20.833333333333336</v>
      </c>
      <c r="M106" s="152">
        <f>M95/Cererea!M101*100</f>
        <v>20.833333333333336</v>
      </c>
      <c r="N106" s="152">
        <f>N95/Cererea!N101*100</f>
        <v>20.833333333333336</v>
      </c>
      <c r="O106" s="152">
        <f>O95/Cererea!O101*100</f>
        <v>20.833333333333336</v>
      </c>
      <c r="Q106" s="35"/>
      <c r="S106" s="241"/>
    </row>
    <row r="107" spans="2:19" s="22" customFormat="1" x14ac:dyDescent="0.3">
      <c r="B107" s="35"/>
      <c r="Q107" s="35"/>
      <c r="S107" s="241"/>
    </row>
    <row r="108" spans="2:19" ht="6.6" customHeight="1" x14ac:dyDescent="0.3">
      <c r="B108" s="35"/>
      <c r="C108" s="35"/>
      <c r="D108" s="35"/>
      <c r="E108" s="35"/>
      <c r="F108" s="35"/>
      <c r="G108" s="35"/>
      <c r="H108" s="35"/>
      <c r="I108" s="35"/>
      <c r="J108" s="35"/>
      <c r="K108" s="35"/>
      <c r="L108" s="35"/>
      <c r="M108" s="35"/>
      <c r="N108" s="35"/>
      <c r="O108" s="35"/>
      <c r="P108" s="35"/>
      <c r="Q108" s="35"/>
    </row>
  </sheetData>
  <sheetProtection sheet="1" objects="1" scenarios="1"/>
  <mergeCells count="9">
    <mergeCell ref="S77:S78"/>
    <mergeCell ref="S79:S107"/>
    <mergeCell ref="C3:D4"/>
    <mergeCell ref="S11:S12"/>
    <mergeCell ref="S13:S31"/>
    <mergeCell ref="S38:S39"/>
    <mergeCell ref="S40:S51"/>
    <mergeCell ref="S58:S59"/>
    <mergeCell ref="S60:S70"/>
  </mergeCells>
  <dataValidations count="1">
    <dataValidation type="list" allowBlank="1" showInputMessage="1" showErrorMessage="1" sqref="D14">
      <formula1>"DA, NU, -"</formula1>
    </dataValidation>
  </dataValidations>
  <pageMargins left="0.22999999999999998" right="0.22" top="0.36" bottom="0.38" header="0.3" footer="0.3"/>
  <pageSetup paperSize="9" scale="60" fitToHeight="2" pageOrder="overThenDown" orientation="landscape"/>
  <headerFooter>
    <oddFooter>&amp;L&amp;F
Sheet: &amp;A&amp;R&amp;P din  &amp;N</oddFooter>
  </headerFooter>
  <rowBreaks count="2" manualBreakCount="2">
    <brk id="33" min="1" max="18" man="1"/>
    <brk id="72" min="1" max="18" man="1"/>
  </rowBreaks>
  <colBreaks count="1" manualBreakCount="1">
    <brk id="18" min="1" max="107" man="1"/>
  </colBreaks>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159"/>
  <sheetViews>
    <sheetView topLeftCell="A37" zoomScale="90" zoomScaleSheetLayoutView="40" workbookViewId="0">
      <selection activeCell="H53" sqref="H53"/>
    </sheetView>
  </sheetViews>
  <sheetFormatPr defaultColWidth="9.109375" defaultRowHeight="14.4" x14ac:dyDescent="0.3"/>
  <cols>
    <col min="1" max="1" width="2.5546875" customWidth="1"/>
    <col min="2" max="2" width="1.44140625" customWidth="1"/>
    <col min="3" max="3" width="38.44140625" customWidth="1"/>
    <col min="4" max="4" width="15.5546875" customWidth="1"/>
    <col min="5" max="5" width="11.88671875" customWidth="1"/>
    <col min="6" max="15" width="15.5546875" customWidth="1"/>
    <col min="16" max="16" width="3.5546875" customWidth="1"/>
    <col min="17" max="17" width="1.5546875" customWidth="1"/>
    <col min="18" max="18" width="3" customWidth="1"/>
    <col min="19" max="19" width="146.44140625" customWidth="1"/>
    <col min="20" max="21" width="30.5546875" customWidth="1"/>
  </cols>
  <sheetData>
    <row r="2" spans="2:19" ht="8.1" customHeight="1" x14ac:dyDescent="0.3">
      <c r="B2" s="23"/>
      <c r="C2" s="23"/>
      <c r="D2" s="23"/>
      <c r="E2" s="23"/>
      <c r="F2" s="23"/>
      <c r="G2" s="23"/>
      <c r="H2" s="23"/>
      <c r="I2" s="23"/>
      <c r="J2" s="23"/>
      <c r="K2" s="23"/>
      <c r="L2" s="23"/>
      <c r="M2" s="23"/>
      <c r="N2" s="23"/>
      <c r="O2" s="23"/>
      <c r="P2" s="23"/>
      <c r="Q2" s="23"/>
    </row>
    <row r="3" spans="2:19" ht="14.4" customHeight="1" x14ac:dyDescent="0.3">
      <c r="B3" s="23"/>
      <c r="C3" s="227" t="str">
        <f>CONCATENATE("PLANUL DE INVESTITII PENTRU OPERATORUL"," ",'Date generale'!D4)</f>
        <v>PLANUL DE INVESTITII PENTRU OPERATORUL SEVICIUL PUBLIC DE ALIMENTARE CU APA, CANALIZARE SI SALUBRIZARE</v>
      </c>
      <c r="D3" s="227"/>
      <c r="E3" s="51">
        <f>F3-1</f>
        <v>2022</v>
      </c>
      <c r="F3" s="51">
        <f>G3-1</f>
        <v>2023</v>
      </c>
      <c r="G3" s="46">
        <f>'Date generale'!$D$8</f>
        <v>2024</v>
      </c>
      <c r="H3" s="54">
        <f t="shared" ref="H3:O4" si="0">G3+1</f>
        <v>2025</v>
      </c>
      <c r="I3" s="54">
        <f t="shared" si="0"/>
        <v>2026</v>
      </c>
      <c r="J3" s="54">
        <f t="shared" si="0"/>
        <v>2027</v>
      </c>
      <c r="K3" s="54">
        <f t="shared" si="0"/>
        <v>2028</v>
      </c>
      <c r="L3" s="54">
        <f t="shared" si="0"/>
        <v>2029</v>
      </c>
      <c r="M3" s="54">
        <f t="shared" si="0"/>
        <v>2030</v>
      </c>
      <c r="N3" s="54">
        <f t="shared" si="0"/>
        <v>2031</v>
      </c>
      <c r="O3" s="54">
        <f t="shared" si="0"/>
        <v>2032</v>
      </c>
      <c r="Q3" s="23"/>
    </row>
    <row r="4" spans="2:19" x14ac:dyDescent="0.3">
      <c r="B4" s="23"/>
      <c r="C4" s="227"/>
      <c r="D4" s="227"/>
      <c r="E4" s="18">
        <f>F4-1</f>
        <v>-3</v>
      </c>
      <c r="F4" s="18">
        <f>G4-1</f>
        <v>-2</v>
      </c>
      <c r="G4" s="55">
        <v>-1</v>
      </c>
      <c r="H4" s="55">
        <v>0</v>
      </c>
      <c r="I4" s="55">
        <f t="shared" si="0"/>
        <v>1</v>
      </c>
      <c r="J4" s="55">
        <f t="shared" si="0"/>
        <v>2</v>
      </c>
      <c r="K4" s="55">
        <f t="shared" si="0"/>
        <v>3</v>
      </c>
      <c r="L4" s="55">
        <f t="shared" si="0"/>
        <v>4</v>
      </c>
      <c r="M4" s="55">
        <f t="shared" si="0"/>
        <v>5</v>
      </c>
      <c r="N4" s="55">
        <f t="shared" si="0"/>
        <v>6</v>
      </c>
      <c r="O4" s="55">
        <f t="shared" si="0"/>
        <v>7</v>
      </c>
      <c r="Q4" s="23"/>
    </row>
    <row r="5" spans="2:19" ht="8.1" customHeight="1" x14ac:dyDescent="0.3">
      <c r="B5" s="23"/>
      <c r="C5" s="23"/>
      <c r="D5" s="23"/>
      <c r="E5" s="23"/>
      <c r="F5" s="23"/>
      <c r="G5" s="23"/>
      <c r="H5" s="23"/>
      <c r="I5" s="23"/>
      <c r="J5" s="23"/>
      <c r="K5" s="23"/>
      <c r="L5" s="23"/>
      <c r="M5" s="23"/>
      <c r="N5" s="23"/>
      <c r="O5" s="23"/>
      <c r="P5" s="23"/>
      <c r="Q5" s="23"/>
    </row>
    <row r="7" spans="2:19" ht="8.1" customHeight="1" x14ac:dyDescent="0.3">
      <c r="B7" s="23"/>
      <c r="C7" s="23"/>
      <c r="D7" s="23"/>
      <c r="E7" s="23"/>
      <c r="F7" s="23"/>
      <c r="G7" s="23"/>
      <c r="H7" s="23"/>
      <c r="I7" s="23"/>
      <c r="J7" s="23"/>
      <c r="K7" s="23"/>
      <c r="L7" s="23"/>
      <c r="M7" s="23"/>
      <c r="N7" s="23"/>
      <c r="O7" s="23"/>
      <c r="P7" s="23"/>
      <c r="Q7" s="23"/>
    </row>
    <row r="8" spans="2:19" x14ac:dyDescent="0.3">
      <c r="B8" s="23"/>
      <c r="C8" s="120" t="s">
        <v>260</v>
      </c>
      <c r="D8" s="121"/>
      <c r="E8" s="121"/>
      <c r="F8" s="121"/>
      <c r="G8" s="121"/>
      <c r="H8" s="121"/>
      <c r="I8" s="121"/>
      <c r="J8" s="121"/>
      <c r="K8" s="121"/>
      <c r="L8" s="121"/>
      <c r="M8" s="121"/>
      <c r="N8" s="121"/>
      <c r="O8" s="121"/>
      <c r="P8" s="121"/>
      <c r="Q8" s="23"/>
    </row>
    <row r="9" spans="2:19" ht="8.1" customHeight="1" x14ac:dyDescent="0.3">
      <c r="B9" s="23"/>
      <c r="C9" s="23"/>
      <c r="D9" s="23"/>
      <c r="E9" s="23"/>
      <c r="F9" s="23"/>
      <c r="G9" s="23"/>
      <c r="H9" s="23"/>
      <c r="I9" s="23"/>
      <c r="J9" s="23"/>
      <c r="K9" s="23"/>
      <c r="L9" s="23"/>
      <c r="M9" s="23"/>
      <c r="N9" s="23"/>
      <c r="O9" s="23"/>
      <c r="P9" s="23"/>
      <c r="Q9" s="23"/>
    </row>
    <row r="10" spans="2:19" x14ac:dyDescent="0.3">
      <c r="B10" s="23"/>
      <c r="Q10" s="23"/>
    </row>
    <row r="11" spans="2:19" s="22" customFormat="1" ht="29.1" customHeight="1" x14ac:dyDescent="0.3">
      <c r="B11" s="35"/>
      <c r="C11" s="86" t="s">
        <v>261</v>
      </c>
      <c r="D11" s="86"/>
      <c r="E11" s="94">
        <f>F11-1</f>
        <v>2022</v>
      </c>
      <c r="F11" s="94">
        <f>G11-1</f>
        <v>2023</v>
      </c>
      <c r="G11" s="95">
        <f>'Date generale'!$D$8</f>
        <v>2024</v>
      </c>
      <c r="H11" s="96">
        <f t="shared" ref="H11:O12" si="1">G11+1</f>
        <v>2025</v>
      </c>
      <c r="I11" s="96">
        <f t="shared" si="1"/>
        <v>2026</v>
      </c>
      <c r="J11" s="96">
        <f t="shared" si="1"/>
        <v>2027</v>
      </c>
      <c r="K11" s="96">
        <f t="shared" si="1"/>
        <v>2028</v>
      </c>
      <c r="L11" s="96">
        <f t="shared" si="1"/>
        <v>2029</v>
      </c>
      <c r="M11" s="96">
        <f t="shared" si="1"/>
        <v>2030</v>
      </c>
      <c r="N11" s="96">
        <f t="shared" si="1"/>
        <v>2031</v>
      </c>
      <c r="O11" s="96">
        <f t="shared" si="1"/>
        <v>2032</v>
      </c>
      <c r="Q11" s="35"/>
      <c r="S11" s="242" t="s">
        <v>262</v>
      </c>
    </row>
    <row r="12" spans="2:19" x14ac:dyDescent="0.3">
      <c r="B12" s="23"/>
      <c r="C12" s="97"/>
      <c r="D12" s="97"/>
      <c r="E12" s="98">
        <f>F12-1</f>
        <v>-3</v>
      </c>
      <c r="F12" s="98">
        <f>G12-1</f>
        <v>-2</v>
      </c>
      <c r="G12" s="99">
        <v>-1</v>
      </c>
      <c r="H12" s="99">
        <v>0</v>
      </c>
      <c r="I12" s="99">
        <f t="shared" si="1"/>
        <v>1</v>
      </c>
      <c r="J12" s="99">
        <f t="shared" si="1"/>
        <v>2</v>
      </c>
      <c r="K12" s="99">
        <f t="shared" si="1"/>
        <v>3</v>
      </c>
      <c r="L12" s="99">
        <f t="shared" si="1"/>
        <v>4</v>
      </c>
      <c r="M12" s="99">
        <f t="shared" si="1"/>
        <v>5</v>
      </c>
      <c r="N12" s="99">
        <f t="shared" si="1"/>
        <v>6</v>
      </c>
      <c r="O12" s="99">
        <f t="shared" si="1"/>
        <v>7</v>
      </c>
      <c r="Q12" s="35"/>
      <c r="S12" s="243"/>
    </row>
    <row r="13" spans="2:19" s="24" customFormat="1" x14ac:dyDescent="0.3">
      <c r="B13" s="61"/>
      <c r="C13" s="42"/>
      <c r="D13" s="51"/>
      <c r="E13" s="62"/>
      <c r="F13" s="62"/>
      <c r="G13" s="62"/>
      <c r="H13" s="62"/>
      <c r="I13" s="62"/>
      <c r="J13" s="62"/>
      <c r="K13" s="62"/>
      <c r="L13" s="62"/>
      <c r="M13" s="62"/>
      <c r="N13" s="62"/>
      <c r="O13" s="62"/>
      <c r="Q13" s="35"/>
      <c r="S13" s="241"/>
    </row>
    <row r="14" spans="2:19" s="24" customFormat="1" x14ac:dyDescent="0.3">
      <c r="B14" s="61"/>
      <c r="C14" s="42" t="s">
        <v>263</v>
      </c>
      <c r="D14" s="51"/>
      <c r="E14" s="62"/>
      <c r="F14" s="62"/>
      <c r="G14" s="62"/>
      <c r="H14" s="62"/>
      <c r="I14" s="62"/>
      <c r="J14" s="62"/>
      <c r="K14" s="62"/>
      <c r="L14" s="62"/>
      <c r="M14" s="62"/>
      <c r="N14" s="62"/>
      <c r="O14" s="62"/>
      <c r="Q14" s="35"/>
      <c r="S14" s="241"/>
    </row>
    <row r="15" spans="2:19" s="24" customFormat="1" x14ac:dyDescent="0.3">
      <c r="B15" s="61"/>
      <c r="C15" s="50" t="s">
        <v>264</v>
      </c>
      <c r="D15" s="43" t="s">
        <v>265</v>
      </c>
      <c r="E15" s="132"/>
      <c r="F15" s="132"/>
      <c r="G15" s="132"/>
      <c r="H15" s="87">
        <v>0</v>
      </c>
      <c r="I15" s="87">
        <v>0</v>
      </c>
      <c r="J15" s="87">
        <v>0</v>
      </c>
      <c r="K15" s="87">
        <v>0</v>
      </c>
      <c r="L15" s="87">
        <v>0</v>
      </c>
      <c r="M15" s="87">
        <v>0</v>
      </c>
      <c r="N15" s="87">
        <v>0</v>
      </c>
      <c r="O15" s="87">
        <v>0</v>
      </c>
      <c r="Q15" s="35"/>
      <c r="S15" s="241"/>
    </row>
    <row r="16" spans="2:19" s="24" customFormat="1" x14ac:dyDescent="0.3">
      <c r="B16" s="61"/>
      <c r="C16" s="50" t="s">
        <v>266</v>
      </c>
      <c r="D16" s="43" t="s">
        <v>265</v>
      </c>
      <c r="E16" s="132"/>
      <c r="F16" s="132"/>
      <c r="G16" s="132"/>
      <c r="H16" s="87"/>
      <c r="I16" s="87">
        <v>300000</v>
      </c>
      <c r="J16" s="87">
        <v>565000</v>
      </c>
      <c r="K16" s="87">
        <v>1000000</v>
      </c>
      <c r="L16" s="87">
        <v>385000</v>
      </c>
      <c r="M16" s="87">
        <v>0</v>
      </c>
      <c r="N16" s="87">
        <v>0</v>
      </c>
      <c r="O16" s="87">
        <v>0</v>
      </c>
      <c r="Q16" s="35"/>
      <c r="S16" s="241"/>
    </row>
    <row r="17" spans="2:19" s="24" customFormat="1" x14ac:dyDescent="0.3">
      <c r="B17" s="61"/>
      <c r="C17" s="50" t="s">
        <v>267</v>
      </c>
      <c r="D17" s="43" t="s">
        <v>265</v>
      </c>
      <c r="E17" s="132"/>
      <c r="F17" s="132"/>
      <c r="G17" s="132"/>
      <c r="H17" s="87">
        <v>880190</v>
      </c>
      <c r="I17" s="87">
        <v>0</v>
      </c>
      <c r="J17" s="87">
        <v>0</v>
      </c>
      <c r="K17" s="87">
        <v>0</v>
      </c>
      <c r="L17" s="87">
        <v>0</v>
      </c>
      <c r="M17" s="87">
        <v>0</v>
      </c>
      <c r="N17" s="87">
        <v>0</v>
      </c>
      <c r="O17" s="87">
        <v>0</v>
      </c>
      <c r="Q17" s="35"/>
      <c r="S17" s="241"/>
    </row>
    <row r="18" spans="2:19" s="24" customFormat="1" x14ac:dyDescent="0.3">
      <c r="B18" s="61"/>
      <c r="C18" s="42" t="s">
        <v>268</v>
      </c>
      <c r="D18" s="43" t="s">
        <v>265</v>
      </c>
      <c r="E18" s="62">
        <f>SUM(E15:E17)</f>
        <v>0</v>
      </c>
      <c r="F18" s="62">
        <f>SUM(F15:F17)</f>
        <v>0</v>
      </c>
      <c r="G18" s="62">
        <f>SUM(G15:G17)</f>
        <v>0</v>
      </c>
      <c r="H18" s="62">
        <f>SUM(H15:H17)</f>
        <v>880190</v>
      </c>
      <c r="I18" s="62">
        <f t="shared" ref="I18:O18" si="2">SUM(I15:I17)</f>
        <v>300000</v>
      </c>
      <c r="J18" s="62">
        <f t="shared" si="2"/>
        <v>565000</v>
      </c>
      <c r="K18" s="62">
        <f t="shared" si="2"/>
        <v>1000000</v>
      </c>
      <c r="L18" s="62">
        <f t="shared" si="2"/>
        <v>385000</v>
      </c>
      <c r="M18" s="62">
        <f t="shared" si="2"/>
        <v>0</v>
      </c>
      <c r="N18" s="62">
        <f t="shared" si="2"/>
        <v>0</v>
      </c>
      <c r="O18" s="62">
        <f t="shared" si="2"/>
        <v>0</v>
      </c>
      <c r="Q18" s="35"/>
      <c r="S18" s="241"/>
    </row>
    <row r="19" spans="2:19" s="24" customFormat="1" x14ac:dyDescent="0.3">
      <c r="B19" s="61"/>
      <c r="C19" s="42"/>
      <c r="D19" s="51"/>
      <c r="E19" s="62"/>
      <c r="F19" s="62"/>
      <c r="G19" s="62"/>
      <c r="H19" s="62"/>
      <c r="I19" s="62"/>
      <c r="J19" s="62"/>
      <c r="K19" s="62"/>
      <c r="L19" s="62"/>
      <c r="M19" s="62"/>
      <c r="N19" s="62"/>
      <c r="O19" s="62"/>
      <c r="Q19" s="35"/>
      <c r="S19" s="241"/>
    </row>
    <row r="20" spans="2:19" s="24" customFormat="1" x14ac:dyDescent="0.3">
      <c r="B20" s="61"/>
      <c r="C20" s="42" t="s">
        <v>269</v>
      </c>
      <c r="D20" s="51"/>
      <c r="E20" s="62"/>
      <c r="F20" s="62"/>
      <c r="G20" s="62"/>
      <c r="H20" s="62"/>
      <c r="I20" s="62"/>
      <c r="J20" s="62"/>
      <c r="K20" s="62"/>
      <c r="L20" s="62"/>
      <c r="M20" s="62"/>
      <c r="N20" s="62"/>
      <c r="O20" s="62"/>
      <c r="Q20" s="35"/>
      <c r="S20" s="241"/>
    </row>
    <row r="21" spans="2:19" s="24" customFormat="1" x14ac:dyDescent="0.3">
      <c r="B21" s="61"/>
      <c r="C21" s="40" t="s">
        <v>270</v>
      </c>
      <c r="D21" s="43" t="s">
        <v>265</v>
      </c>
      <c r="E21" s="132"/>
      <c r="F21" s="132"/>
      <c r="G21" s="132"/>
      <c r="H21" s="87">
        <v>0</v>
      </c>
      <c r="I21" s="87">
        <v>0</v>
      </c>
      <c r="J21" s="87">
        <v>0</v>
      </c>
      <c r="K21" s="87">
        <v>0</v>
      </c>
      <c r="L21" s="87">
        <v>0</v>
      </c>
      <c r="M21" s="87">
        <v>0</v>
      </c>
      <c r="N21" s="87">
        <v>0</v>
      </c>
      <c r="O21" s="87">
        <v>0</v>
      </c>
      <c r="Q21" s="35"/>
      <c r="S21" s="241"/>
    </row>
    <row r="22" spans="2:19" s="24" customFormat="1" x14ac:dyDescent="0.3">
      <c r="B22" s="61"/>
      <c r="C22" s="40" t="s">
        <v>271</v>
      </c>
      <c r="D22" s="43" t="s">
        <v>265</v>
      </c>
      <c r="E22" s="132"/>
      <c r="F22" s="132"/>
      <c r="G22" s="132"/>
      <c r="H22" s="87">
        <v>880190</v>
      </c>
      <c r="I22" s="87">
        <v>0</v>
      </c>
      <c r="J22" s="87">
        <v>0</v>
      </c>
      <c r="K22" s="87">
        <v>0</v>
      </c>
      <c r="L22" s="87">
        <v>0</v>
      </c>
      <c r="M22" s="87">
        <v>0</v>
      </c>
      <c r="N22" s="87">
        <v>0</v>
      </c>
      <c r="O22" s="87">
        <v>0</v>
      </c>
      <c r="Q22" s="35"/>
      <c r="S22" s="241"/>
    </row>
    <row r="23" spans="2:19" s="24" customFormat="1" x14ac:dyDescent="0.3">
      <c r="B23" s="61"/>
      <c r="C23" s="40" t="s">
        <v>272</v>
      </c>
      <c r="D23" s="43" t="s">
        <v>265</v>
      </c>
      <c r="E23" s="132"/>
      <c r="F23" s="132"/>
      <c r="G23" s="132"/>
      <c r="H23" s="87">
        <v>0</v>
      </c>
      <c r="I23" s="87">
        <v>0</v>
      </c>
      <c r="J23" s="87">
        <v>0</v>
      </c>
      <c r="K23" s="87">
        <v>0</v>
      </c>
      <c r="L23" s="87">
        <v>0</v>
      </c>
      <c r="M23" s="87">
        <v>0</v>
      </c>
      <c r="N23" s="87">
        <v>0</v>
      </c>
      <c r="O23" s="87">
        <v>0</v>
      </c>
      <c r="Q23" s="35"/>
      <c r="S23" s="241"/>
    </row>
    <row r="24" spans="2:19" s="24" customFormat="1" x14ac:dyDescent="0.3">
      <c r="B24" s="61"/>
      <c r="C24" s="40" t="s">
        <v>273</v>
      </c>
      <c r="D24" s="43" t="s">
        <v>265</v>
      </c>
      <c r="E24" s="132"/>
      <c r="F24" s="132"/>
      <c r="G24" s="132"/>
      <c r="H24" s="87">
        <v>0</v>
      </c>
      <c r="I24" s="87">
        <v>0</v>
      </c>
      <c r="J24" s="87">
        <v>0</v>
      </c>
      <c r="K24" s="87">
        <v>0</v>
      </c>
      <c r="L24" s="87">
        <v>0</v>
      </c>
      <c r="M24" s="87">
        <v>0</v>
      </c>
      <c r="N24" s="87">
        <v>0</v>
      </c>
      <c r="O24" s="87">
        <v>0</v>
      </c>
      <c r="Q24" s="35"/>
      <c r="S24" s="241"/>
    </row>
    <row r="25" spans="2:19" s="24" customFormat="1" x14ac:dyDescent="0.3">
      <c r="B25" s="61"/>
      <c r="C25" s="40" t="s">
        <v>274</v>
      </c>
      <c r="D25" s="43" t="s">
        <v>265</v>
      </c>
      <c r="E25" s="88">
        <f>E18-SUM(E21:E24)</f>
        <v>0</v>
      </c>
      <c r="F25" s="88">
        <f>F18-SUM(F21:F24)</f>
        <v>0</v>
      </c>
      <c r="G25" s="88">
        <f>G18-SUM(G21:G24)</f>
        <v>0</v>
      </c>
      <c r="H25" s="88">
        <f>H18-SUM(H21:H24)</f>
        <v>0</v>
      </c>
      <c r="I25" s="88">
        <f t="shared" ref="I25:O25" si="3">I18-SUM(I21:I24)</f>
        <v>300000</v>
      </c>
      <c r="J25" s="88">
        <f t="shared" si="3"/>
        <v>565000</v>
      </c>
      <c r="K25" s="88">
        <f t="shared" si="3"/>
        <v>1000000</v>
      </c>
      <c r="L25" s="88">
        <f t="shared" si="3"/>
        <v>385000</v>
      </c>
      <c r="M25" s="88">
        <f t="shared" si="3"/>
        <v>0</v>
      </c>
      <c r="N25" s="88">
        <f t="shared" si="3"/>
        <v>0</v>
      </c>
      <c r="O25" s="88">
        <f t="shared" si="3"/>
        <v>0</v>
      </c>
      <c r="Q25" s="35"/>
      <c r="S25" s="241"/>
    </row>
    <row r="26" spans="2:19" s="24" customFormat="1" x14ac:dyDescent="0.3">
      <c r="B26" s="61"/>
      <c r="C26" s="42" t="s">
        <v>275</v>
      </c>
      <c r="D26" s="43" t="s">
        <v>265</v>
      </c>
      <c r="E26" s="62">
        <f>SUM(E21:E25)</f>
        <v>0</v>
      </c>
      <c r="F26" s="62">
        <f>SUM(F21:F25)</f>
        <v>0</v>
      </c>
      <c r="G26" s="62">
        <f>SUM(G21:G25)</f>
        <v>0</v>
      </c>
      <c r="H26" s="62">
        <f t="shared" ref="H26:O26" si="4">SUM(H21:H25)</f>
        <v>880190</v>
      </c>
      <c r="I26" s="62">
        <f t="shared" si="4"/>
        <v>300000</v>
      </c>
      <c r="J26" s="62">
        <f t="shared" si="4"/>
        <v>565000</v>
      </c>
      <c r="K26" s="62">
        <f t="shared" si="4"/>
        <v>1000000</v>
      </c>
      <c r="L26" s="62">
        <f t="shared" si="4"/>
        <v>385000</v>
      </c>
      <c r="M26" s="62">
        <f t="shared" si="4"/>
        <v>0</v>
      </c>
      <c r="N26" s="62">
        <f t="shared" si="4"/>
        <v>0</v>
      </c>
      <c r="O26" s="62">
        <f t="shared" si="4"/>
        <v>0</v>
      </c>
      <c r="Q26" s="35"/>
      <c r="S26" s="241"/>
    </row>
    <row r="27" spans="2:19" s="24" customFormat="1" x14ac:dyDescent="0.3">
      <c r="B27" s="61"/>
      <c r="C27" s="53"/>
      <c r="D27" s="139"/>
      <c r="E27" s="140"/>
      <c r="F27" s="140"/>
      <c r="G27" s="140"/>
      <c r="H27" s="140"/>
      <c r="I27" s="140"/>
      <c r="J27" s="140"/>
      <c r="K27" s="140"/>
      <c r="L27" s="140"/>
      <c r="M27" s="140"/>
      <c r="N27" s="140"/>
      <c r="O27" s="140"/>
      <c r="Q27" s="35"/>
      <c r="S27" s="241"/>
    </row>
    <row r="28" spans="2:19" s="24" customFormat="1" x14ac:dyDescent="0.3">
      <c r="B28" s="61"/>
      <c r="C28" s="53"/>
      <c r="D28" s="139"/>
      <c r="E28" s="140"/>
      <c r="F28" s="140"/>
      <c r="G28" s="140"/>
      <c r="H28" s="140"/>
      <c r="I28" s="140"/>
      <c r="J28" s="140"/>
      <c r="K28" s="140"/>
      <c r="L28" s="140"/>
      <c r="M28" s="140"/>
      <c r="N28" s="140"/>
      <c r="O28" s="140"/>
      <c r="Q28" s="35"/>
      <c r="S28" s="241"/>
    </row>
    <row r="29" spans="2:19" s="24" customFormat="1" x14ac:dyDescent="0.3">
      <c r="B29" s="61"/>
      <c r="C29" s="86" t="s">
        <v>276</v>
      </c>
      <c r="D29" s="86"/>
      <c r="E29" s="94">
        <f>F29-1</f>
        <v>2022</v>
      </c>
      <c r="F29" s="94">
        <f>G29-1</f>
        <v>2023</v>
      </c>
      <c r="G29" s="95">
        <f>'Date generale'!$D$8</f>
        <v>2024</v>
      </c>
      <c r="H29" s="96">
        <f t="shared" ref="H29:O29" si="5">G29+1</f>
        <v>2025</v>
      </c>
      <c r="I29" s="96">
        <f t="shared" si="5"/>
        <v>2026</v>
      </c>
      <c r="J29" s="96">
        <f t="shared" si="5"/>
        <v>2027</v>
      </c>
      <c r="K29" s="96">
        <f t="shared" si="5"/>
        <v>2028</v>
      </c>
      <c r="L29" s="96">
        <f t="shared" si="5"/>
        <v>2029</v>
      </c>
      <c r="M29" s="96">
        <f t="shared" si="5"/>
        <v>2030</v>
      </c>
      <c r="N29" s="96">
        <f t="shared" si="5"/>
        <v>2031</v>
      </c>
      <c r="O29" s="96">
        <f t="shared" si="5"/>
        <v>2032</v>
      </c>
      <c r="Q29" s="35"/>
      <c r="S29" s="241"/>
    </row>
    <row r="30" spans="2:19" s="24" customFormat="1" x14ac:dyDescent="0.3">
      <c r="B30" s="61"/>
      <c r="C30" s="97"/>
      <c r="D30" s="97"/>
      <c r="E30" s="98">
        <f>F30-1</f>
        <v>-3</v>
      </c>
      <c r="F30" s="98">
        <f>G30-1</f>
        <v>-2</v>
      </c>
      <c r="G30" s="99">
        <v>-1</v>
      </c>
      <c r="H30" s="99">
        <v>0</v>
      </c>
      <c r="I30" s="99">
        <f t="shared" ref="I30:O30" si="6">H30+1</f>
        <v>1</v>
      </c>
      <c r="J30" s="99">
        <f t="shared" si="6"/>
        <v>2</v>
      </c>
      <c r="K30" s="99">
        <f t="shared" si="6"/>
        <v>3</v>
      </c>
      <c r="L30" s="99">
        <f t="shared" si="6"/>
        <v>4</v>
      </c>
      <c r="M30" s="99">
        <f t="shared" si="6"/>
        <v>5</v>
      </c>
      <c r="N30" s="99">
        <f t="shared" si="6"/>
        <v>6</v>
      </c>
      <c r="O30" s="99">
        <f t="shared" si="6"/>
        <v>7</v>
      </c>
      <c r="Q30" s="35"/>
      <c r="S30" s="241"/>
    </row>
    <row r="31" spans="2:19" s="24" customFormat="1" x14ac:dyDescent="0.3">
      <c r="B31" s="61"/>
      <c r="C31" s="42"/>
      <c r="D31" s="51"/>
      <c r="E31" s="62"/>
      <c r="F31" s="62"/>
      <c r="G31" s="62"/>
      <c r="H31" s="62"/>
      <c r="I31" s="62"/>
      <c r="J31" s="62"/>
      <c r="K31" s="62"/>
      <c r="L31" s="62"/>
      <c r="M31" s="62"/>
      <c r="N31" s="62"/>
      <c r="O31" s="62"/>
      <c r="Q31" s="35"/>
      <c r="S31" s="241"/>
    </row>
    <row r="32" spans="2:19" s="24" customFormat="1" x14ac:dyDescent="0.3">
      <c r="B32" s="61"/>
      <c r="C32" s="42" t="s">
        <v>263</v>
      </c>
      <c r="D32" s="51"/>
      <c r="E32" s="62"/>
      <c r="F32" s="62"/>
      <c r="G32" s="62"/>
      <c r="H32" s="62"/>
      <c r="I32" s="62"/>
      <c r="J32" s="62"/>
      <c r="K32" s="62"/>
      <c r="L32" s="62"/>
      <c r="M32" s="62"/>
      <c r="N32" s="62"/>
      <c r="O32" s="62"/>
      <c r="Q32" s="35"/>
      <c r="S32" s="241"/>
    </row>
    <row r="33" spans="2:19" s="24" customFormat="1" x14ac:dyDescent="0.3">
      <c r="B33" s="61"/>
      <c r="C33" s="50" t="s">
        <v>264</v>
      </c>
      <c r="D33" s="43" t="s">
        <v>265</v>
      </c>
      <c r="E33" s="132"/>
      <c r="F33" s="132"/>
      <c r="G33" s="132"/>
      <c r="H33" s="87">
        <v>0</v>
      </c>
      <c r="I33" s="87">
        <v>0</v>
      </c>
      <c r="J33" s="87">
        <v>0</v>
      </c>
      <c r="K33" s="87">
        <v>0</v>
      </c>
      <c r="L33" s="87">
        <v>0</v>
      </c>
      <c r="M33" s="87">
        <v>0</v>
      </c>
      <c r="N33" s="87">
        <v>0</v>
      </c>
      <c r="O33" s="87">
        <v>0</v>
      </c>
      <c r="Q33" s="35"/>
      <c r="S33" s="241"/>
    </row>
    <row r="34" spans="2:19" s="24" customFormat="1" x14ac:dyDescent="0.3">
      <c r="B34" s="61"/>
      <c r="C34" s="50" t="s">
        <v>266</v>
      </c>
      <c r="D34" s="43" t="s">
        <v>265</v>
      </c>
      <c r="E34" s="132"/>
      <c r="F34" s="132"/>
      <c r="G34" s="132"/>
      <c r="H34" s="141"/>
      <c r="I34" s="141"/>
      <c r="J34" s="141"/>
      <c r="K34" s="141"/>
      <c r="L34" s="141"/>
      <c r="M34" s="87">
        <v>0</v>
      </c>
      <c r="N34" s="87">
        <v>0</v>
      </c>
      <c r="O34" s="87">
        <v>0</v>
      </c>
      <c r="Q34" s="35"/>
      <c r="S34" s="241"/>
    </row>
    <row r="35" spans="2:19" s="24" customFormat="1" x14ac:dyDescent="0.3">
      <c r="B35" s="61"/>
      <c r="C35" s="50" t="s">
        <v>267</v>
      </c>
      <c r="D35" s="43" t="s">
        <v>265</v>
      </c>
      <c r="E35" s="132"/>
      <c r="F35" s="132"/>
      <c r="G35" s="132"/>
      <c r="H35" s="142"/>
      <c r="I35" s="142"/>
      <c r="J35" s="142"/>
      <c r="K35" s="142"/>
      <c r="L35" s="142"/>
      <c r="M35" s="87">
        <v>0</v>
      </c>
      <c r="N35" s="87">
        <v>0</v>
      </c>
      <c r="O35" s="87">
        <v>0</v>
      </c>
      <c r="Q35" s="35"/>
      <c r="S35" s="241"/>
    </row>
    <row r="36" spans="2:19" s="24" customFormat="1" x14ac:dyDescent="0.3">
      <c r="B36" s="61"/>
      <c r="C36" s="42" t="s">
        <v>268</v>
      </c>
      <c r="D36" s="43" t="s">
        <v>265</v>
      </c>
      <c r="E36" s="62">
        <f t="shared" ref="E36:O36" si="7">SUM(E33:E35)</f>
        <v>0</v>
      </c>
      <c r="F36" s="62">
        <f t="shared" si="7"/>
        <v>0</v>
      </c>
      <c r="G36" s="62">
        <f t="shared" si="7"/>
        <v>0</v>
      </c>
      <c r="H36" s="62">
        <f>SUM(H33:H34)</f>
        <v>0</v>
      </c>
      <c r="I36" s="62">
        <f>SUM(I33:I34)</f>
        <v>0</v>
      </c>
      <c r="J36" s="62">
        <f>SUM(J33:J34)</f>
        <v>0</v>
      </c>
      <c r="K36" s="62">
        <f>SUM(K33:K34)</f>
        <v>0</v>
      </c>
      <c r="L36" s="62">
        <f>SUM(L33:L34)</f>
        <v>0</v>
      </c>
      <c r="M36" s="62">
        <f t="shared" si="7"/>
        <v>0</v>
      </c>
      <c r="N36" s="62">
        <f t="shared" si="7"/>
        <v>0</v>
      </c>
      <c r="O36" s="62">
        <f t="shared" si="7"/>
        <v>0</v>
      </c>
      <c r="Q36" s="35"/>
      <c r="S36" s="241"/>
    </row>
    <row r="37" spans="2:19" s="24" customFormat="1" x14ac:dyDescent="0.3">
      <c r="B37" s="61"/>
      <c r="C37" s="42"/>
      <c r="D37" s="51"/>
      <c r="E37" s="62"/>
      <c r="F37" s="62"/>
      <c r="G37" s="62"/>
      <c r="H37" s="62"/>
      <c r="I37" s="62"/>
      <c r="J37" s="62"/>
      <c r="K37" s="62"/>
      <c r="L37" s="62"/>
      <c r="M37" s="62"/>
      <c r="N37" s="62"/>
      <c r="O37" s="62"/>
      <c r="Q37" s="35"/>
      <c r="S37" s="241"/>
    </row>
    <row r="38" spans="2:19" s="24" customFormat="1" x14ac:dyDescent="0.3">
      <c r="B38" s="61"/>
      <c r="C38" s="42" t="s">
        <v>269</v>
      </c>
      <c r="D38" s="51"/>
      <c r="E38" s="62"/>
      <c r="F38" s="62"/>
      <c r="G38" s="62"/>
      <c r="H38" s="62"/>
      <c r="I38" s="62"/>
      <c r="J38" s="62"/>
      <c r="K38" s="62"/>
      <c r="L38" s="62"/>
      <c r="M38" s="62"/>
      <c r="N38" s="62"/>
      <c r="O38" s="62"/>
      <c r="Q38" s="35"/>
      <c r="S38" s="241"/>
    </row>
    <row r="39" spans="2:19" s="24" customFormat="1" x14ac:dyDescent="0.3">
      <c r="B39" s="61"/>
      <c r="C39" s="40" t="s">
        <v>277</v>
      </c>
      <c r="D39" s="43" t="s">
        <v>265</v>
      </c>
      <c r="E39" s="132"/>
      <c r="F39" s="132"/>
      <c r="G39" s="132"/>
      <c r="H39" s="87">
        <v>0</v>
      </c>
      <c r="I39" s="87">
        <v>0</v>
      </c>
      <c r="J39" s="87">
        <v>0</v>
      </c>
      <c r="K39" s="87">
        <v>0</v>
      </c>
      <c r="L39" s="87">
        <v>0</v>
      </c>
      <c r="M39" s="87">
        <v>0</v>
      </c>
      <c r="N39" s="87">
        <v>0</v>
      </c>
      <c r="O39" s="87">
        <v>0</v>
      </c>
      <c r="Q39" s="35"/>
      <c r="S39" s="241"/>
    </row>
    <row r="40" spans="2:19" s="24" customFormat="1" x14ac:dyDescent="0.3">
      <c r="B40" s="61"/>
      <c r="C40" s="40" t="s">
        <v>274</v>
      </c>
      <c r="D40" s="43" t="s">
        <v>265</v>
      </c>
      <c r="E40" s="88">
        <f>E36-SUM(E39:E39)</f>
        <v>0</v>
      </c>
      <c r="F40" s="88">
        <f>F36-SUM(F39:F39)</f>
        <v>0</v>
      </c>
      <c r="G40" s="88">
        <f>G36-SUM(G39:G39)</f>
        <v>0</v>
      </c>
      <c r="H40" s="88">
        <f t="shared" ref="H40:O40" si="8">H36-SUM(H39:H39)</f>
        <v>0</v>
      </c>
      <c r="I40" s="88">
        <f t="shared" si="8"/>
        <v>0</v>
      </c>
      <c r="J40" s="88">
        <f t="shared" si="8"/>
        <v>0</v>
      </c>
      <c r="K40" s="88">
        <f t="shared" si="8"/>
        <v>0</v>
      </c>
      <c r="L40" s="88">
        <f t="shared" si="8"/>
        <v>0</v>
      </c>
      <c r="M40" s="88">
        <f t="shared" si="8"/>
        <v>0</v>
      </c>
      <c r="N40" s="88">
        <f t="shared" si="8"/>
        <v>0</v>
      </c>
      <c r="O40" s="88">
        <f t="shared" si="8"/>
        <v>0</v>
      </c>
      <c r="Q40" s="35"/>
      <c r="S40" s="241"/>
    </row>
    <row r="41" spans="2:19" s="24" customFormat="1" x14ac:dyDescent="0.3">
      <c r="B41" s="61"/>
      <c r="C41" s="42" t="s">
        <v>275</v>
      </c>
      <c r="D41" s="43" t="s">
        <v>265</v>
      </c>
      <c r="E41" s="62">
        <f>SUM(E39:E40)</f>
        <v>0</v>
      </c>
      <c r="F41" s="62">
        <f>SUM(F39:F40)</f>
        <v>0</v>
      </c>
      <c r="G41" s="62">
        <f>SUM(G39:G40)</f>
        <v>0</v>
      </c>
      <c r="H41" s="62">
        <f t="shared" ref="H41:O41" si="9">SUM(H39:H40)</f>
        <v>0</v>
      </c>
      <c r="I41" s="62">
        <f t="shared" si="9"/>
        <v>0</v>
      </c>
      <c r="J41" s="62">
        <f t="shared" si="9"/>
        <v>0</v>
      </c>
      <c r="K41" s="62">
        <f t="shared" si="9"/>
        <v>0</v>
      </c>
      <c r="L41" s="62">
        <f t="shared" si="9"/>
        <v>0</v>
      </c>
      <c r="M41" s="62">
        <f t="shared" si="9"/>
        <v>0</v>
      </c>
      <c r="N41" s="62">
        <f t="shared" si="9"/>
        <v>0</v>
      </c>
      <c r="O41" s="62">
        <f t="shared" si="9"/>
        <v>0</v>
      </c>
      <c r="Q41" s="35"/>
      <c r="S41" s="241"/>
    </row>
    <row r="42" spans="2:19" s="24" customFormat="1" x14ac:dyDescent="0.3">
      <c r="B42" s="61"/>
      <c r="C42" s="53"/>
      <c r="D42" s="139"/>
      <c r="E42" s="140"/>
      <c r="F42" s="140"/>
      <c r="G42" s="140"/>
      <c r="H42" s="140"/>
      <c r="I42" s="140"/>
      <c r="J42" s="140"/>
      <c r="K42" s="140"/>
      <c r="L42" s="140"/>
      <c r="M42" s="140"/>
      <c r="N42" s="140"/>
      <c r="O42" s="140"/>
      <c r="Q42" s="35"/>
      <c r="S42" s="241"/>
    </row>
    <row r="43" spans="2:19" ht="6.6" customHeight="1" x14ac:dyDescent="0.3">
      <c r="B43" s="35"/>
      <c r="C43" s="35"/>
      <c r="D43" s="35"/>
      <c r="E43" s="35"/>
      <c r="F43" s="35"/>
      <c r="G43" s="35"/>
      <c r="H43" s="35"/>
      <c r="I43" s="35"/>
      <c r="J43" s="35"/>
      <c r="K43" s="35"/>
      <c r="L43" s="35"/>
      <c r="M43" s="35"/>
      <c r="N43" s="35"/>
      <c r="O43" s="35"/>
      <c r="P43" s="35"/>
      <c r="Q43" s="35"/>
    </row>
    <row r="45" spans="2:19" ht="8.1" customHeight="1" x14ac:dyDescent="0.3">
      <c r="B45" s="23"/>
      <c r="C45" s="23"/>
      <c r="D45" s="23"/>
      <c r="E45" s="23"/>
      <c r="F45" s="23"/>
      <c r="G45" s="23"/>
      <c r="H45" s="23"/>
      <c r="I45" s="23"/>
      <c r="J45" s="23"/>
      <c r="K45" s="23"/>
      <c r="L45" s="23"/>
      <c r="M45" s="23"/>
      <c r="N45" s="23"/>
      <c r="O45" s="23"/>
      <c r="P45" s="23"/>
      <c r="Q45" s="23"/>
    </row>
    <row r="46" spans="2:19" x14ac:dyDescent="0.3">
      <c r="B46" s="23"/>
      <c r="C46" s="143" t="s">
        <v>278</v>
      </c>
      <c r="D46" s="144"/>
      <c r="E46" s="144"/>
      <c r="F46" s="144"/>
      <c r="G46" s="144"/>
      <c r="H46" s="144"/>
      <c r="I46" s="144"/>
      <c r="J46" s="144"/>
      <c r="K46" s="144"/>
      <c r="L46" s="144"/>
      <c r="M46" s="144"/>
      <c r="N46" s="144"/>
      <c r="O46" s="144"/>
      <c r="P46" s="144"/>
      <c r="Q46" s="23"/>
    </row>
    <row r="47" spans="2:19" ht="8.1" customHeight="1" x14ac:dyDescent="0.3">
      <c r="B47" s="23"/>
      <c r="C47" s="23"/>
      <c r="D47" s="23"/>
      <c r="E47" s="23"/>
      <c r="F47" s="23"/>
      <c r="G47" s="23"/>
      <c r="H47" s="23"/>
      <c r="I47" s="23"/>
      <c r="J47" s="23"/>
      <c r="K47" s="23"/>
      <c r="L47" s="23"/>
      <c r="M47" s="23"/>
      <c r="N47" s="23"/>
      <c r="O47" s="23"/>
      <c r="P47" s="23"/>
      <c r="Q47" s="23"/>
    </row>
    <row r="48" spans="2:19" x14ac:dyDescent="0.3">
      <c r="B48" s="23"/>
      <c r="Q48" s="23"/>
    </row>
    <row r="49" spans="2:19" s="22" customFormat="1" ht="29.1" customHeight="1" x14ac:dyDescent="0.3">
      <c r="B49" s="35"/>
      <c r="C49" s="89" t="s">
        <v>261</v>
      </c>
      <c r="D49" s="89"/>
      <c r="E49" s="111">
        <f>F49-1</f>
        <v>2022</v>
      </c>
      <c r="F49" s="111">
        <f>G49-1</f>
        <v>2023</v>
      </c>
      <c r="G49" s="112">
        <f>'Date generale'!$D$8</f>
        <v>2024</v>
      </c>
      <c r="H49" s="113">
        <f t="shared" ref="H49:O49" si="10">G49+1</f>
        <v>2025</v>
      </c>
      <c r="I49" s="113">
        <f t="shared" si="10"/>
        <v>2026</v>
      </c>
      <c r="J49" s="113">
        <f t="shared" si="10"/>
        <v>2027</v>
      </c>
      <c r="K49" s="113">
        <f t="shared" si="10"/>
        <v>2028</v>
      </c>
      <c r="L49" s="113">
        <f t="shared" si="10"/>
        <v>2029</v>
      </c>
      <c r="M49" s="113">
        <f t="shared" si="10"/>
        <v>2030</v>
      </c>
      <c r="N49" s="113">
        <f t="shared" si="10"/>
        <v>2031</v>
      </c>
      <c r="O49" s="113">
        <f t="shared" si="10"/>
        <v>2032</v>
      </c>
      <c r="Q49" s="35"/>
      <c r="S49" s="246" t="s">
        <v>279</v>
      </c>
    </row>
    <row r="50" spans="2:19" x14ac:dyDescent="0.3">
      <c r="B50" s="23"/>
      <c r="C50" s="114"/>
      <c r="D50" s="114"/>
      <c r="E50" s="115">
        <f>F50-1</f>
        <v>-3</v>
      </c>
      <c r="F50" s="115">
        <f>G50-1</f>
        <v>-2</v>
      </c>
      <c r="G50" s="116">
        <v>-1</v>
      </c>
      <c r="H50" s="116">
        <v>0</v>
      </c>
      <c r="I50" s="116">
        <f t="shared" ref="I50:O50" si="11">H50+1</f>
        <v>1</v>
      </c>
      <c r="J50" s="116">
        <f t="shared" si="11"/>
        <v>2</v>
      </c>
      <c r="K50" s="116">
        <f t="shared" si="11"/>
        <v>3</v>
      </c>
      <c r="L50" s="116">
        <f t="shared" si="11"/>
        <v>4</v>
      </c>
      <c r="M50" s="116">
        <f t="shared" si="11"/>
        <v>5</v>
      </c>
      <c r="N50" s="116">
        <f t="shared" si="11"/>
        <v>6</v>
      </c>
      <c r="O50" s="116">
        <f t="shared" si="11"/>
        <v>7</v>
      </c>
      <c r="Q50" s="35"/>
      <c r="S50" s="247"/>
    </row>
    <row r="51" spans="2:19" s="24" customFormat="1" x14ac:dyDescent="0.3">
      <c r="B51" s="61"/>
      <c r="C51" s="42"/>
      <c r="D51" s="51"/>
      <c r="E51" s="62"/>
      <c r="F51" s="62"/>
      <c r="G51" s="62"/>
      <c r="H51" s="62"/>
      <c r="I51" s="62"/>
      <c r="J51" s="62"/>
      <c r="K51" s="62"/>
      <c r="L51" s="62"/>
      <c r="M51" s="62"/>
      <c r="N51" s="62"/>
      <c r="O51" s="62"/>
      <c r="Q51" s="35"/>
      <c r="S51" s="241"/>
    </row>
    <row r="52" spans="2:19" s="24" customFormat="1" x14ac:dyDescent="0.3">
      <c r="B52" s="61"/>
      <c r="C52" s="42" t="s">
        <v>263</v>
      </c>
      <c r="D52" s="51"/>
      <c r="E52" s="62"/>
      <c r="F52" s="62"/>
      <c r="G52" s="62"/>
      <c r="H52" s="62"/>
      <c r="I52" s="62"/>
      <c r="J52" s="62"/>
      <c r="K52" s="62"/>
      <c r="L52" s="62"/>
      <c r="M52" s="62"/>
      <c r="N52" s="62"/>
      <c r="O52" s="62"/>
      <c r="Q52" s="35"/>
      <c r="S52" s="241"/>
    </row>
    <row r="53" spans="2:19" s="24" customFormat="1" x14ac:dyDescent="0.3">
      <c r="B53" s="61"/>
      <c r="C53" s="50" t="s">
        <v>264</v>
      </c>
      <c r="D53" s="43" t="s">
        <v>265</v>
      </c>
      <c r="E53" s="132"/>
      <c r="F53" s="132"/>
      <c r="G53" s="132"/>
      <c r="H53" s="87"/>
      <c r="I53" s="87">
        <v>330000</v>
      </c>
      <c r="J53" s="87">
        <v>0</v>
      </c>
      <c r="K53" s="87">
        <v>0</v>
      </c>
      <c r="L53" s="87">
        <v>0</v>
      </c>
      <c r="M53" s="87">
        <v>0</v>
      </c>
      <c r="N53" s="87">
        <v>0</v>
      </c>
      <c r="O53" s="87">
        <v>0</v>
      </c>
      <c r="Q53" s="35"/>
      <c r="S53" s="241"/>
    </row>
    <row r="54" spans="2:19" s="24" customFormat="1" x14ac:dyDescent="0.3">
      <c r="B54" s="61"/>
      <c r="C54" s="50" t="s">
        <v>266</v>
      </c>
      <c r="D54" s="43" t="s">
        <v>265</v>
      </c>
      <c r="E54" s="132"/>
      <c r="F54" s="132"/>
      <c r="G54" s="132"/>
      <c r="H54" s="87">
        <v>0</v>
      </c>
      <c r="I54" s="87">
        <v>0</v>
      </c>
      <c r="J54" s="87">
        <v>0</v>
      </c>
      <c r="K54" s="87">
        <v>0</v>
      </c>
      <c r="L54" s="87">
        <v>0</v>
      </c>
      <c r="M54" s="87">
        <v>0</v>
      </c>
      <c r="N54" s="87">
        <v>0</v>
      </c>
      <c r="O54" s="87">
        <v>0</v>
      </c>
      <c r="Q54" s="35"/>
      <c r="S54" s="241"/>
    </row>
    <row r="55" spans="2:19" s="24" customFormat="1" x14ac:dyDescent="0.3">
      <c r="B55" s="61"/>
      <c r="C55" s="50" t="s">
        <v>267</v>
      </c>
      <c r="D55" s="43" t="s">
        <v>265</v>
      </c>
      <c r="E55" s="132"/>
      <c r="F55" s="132"/>
      <c r="G55" s="132"/>
      <c r="H55" s="87">
        <v>1602174.8</v>
      </c>
      <c r="I55" s="142"/>
      <c r="J55" s="87">
        <v>0</v>
      </c>
      <c r="K55" s="87">
        <v>0</v>
      </c>
      <c r="L55" s="87">
        <v>1000000</v>
      </c>
      <c r="M55" s="87">
        <v>0</v>
      </c>
      <c r="N55" s="87">
        <v>0</v>
      </c>
      <c r="O55" s="87">
        <v>0</v>
      </c>
      <c r="Q55" s="35"/>
      <c r="S55" s="241"/>
    </row>
    <row r="56" spans="2:19" s="24" customFormat="1" x14ac:dyDescent="0.3">
      <c r="B56" s="61"/>
      <c r="C56" s="42" t="s">
        <v>268</v>
      </c>
      <c r="D56" s="43" t="s">
        <v>265</v>
      </c>
      <c r="E56" s="62">
        <f t="shared" ref="E56:O56" si="12">SUM(E53:E55)</f>
        <v>0</v>
      </c>
      <c r="F56" s="62">
        <f t="shared" si="12"/>
        <v>0</v>
      </c>
      <c r="G56" s="62">
        <f t="shared" si="12"/>
        <v>0</v>
      </c>
      <c r="H56" s="62">
        <f t="shared" si="12"/>
        <v>1602174.8</v>
      </c>
      <c r="I56" s="62">
        <f t="shared" si="12"/>
        <v>330000</v>
      </c>
      <c r="J56" s="62">
        <f t="shared" si="12"/>
        <v>0</v>
      </c>
      <c r="K56" s="62">
        <f t="shared" si="12"/>
        <v>0</v>
      </c>
      <c r="L56" s="62">
        <f t="shared" si="12"/>
        <v>1000000</v>
      </c>
      <c r="M56" s="62">
        <f t="shared" si="12"/>
        <v>0</v>
      </c>
      <c r="N56" s="62">
        <f t="shared" si="12"/>
        <v>0</v>
      </c>
      <c r="O56" s="62">
        <f t="shared" si="12"/>
        <v>0</v>
      </c>
      <c r="Q56" s="35"/>
      <c r="S56" s="241"/>
    </row>
    <row r="57" spans="2:19" s="24" customFormat="1" x14ac:dyDescent="0.3">
      <c r="B57" s="61"/>
      <c r="C57" s="42"/>
      <c r="D57" s="51"/>
      <c r="E57" s="62"/>
      <c r="F57" s="62"/>
      <c r="G57" s="62"/>
      <c r="H57" s="62"/>
      <c r="I57" s="62"/>
      <c r="J57" s="62"/>
      <c r="K57" s="62"/>
      <c r="L57" s="62"/>
      <c r="M57" s="62"/>
      <c r="N57" s="62"/>
      <c r="O57" s="62"/>
      <c r="Q57" s="35"/>
      <c r="S57" s="241"/>
    </row>
    <row r="58" spans="2:19" s="24" customFormat="1" x14ac:dyDescent="0.3">
      <c r="B58" s="61"/>
      <c r="C58" s="42" t="s">
        <v>269</v>
      </c>
      <c r="D58" s="51"/>
      <c r="E58" s="62"/>
      <c r="F58" s="62"/>
      <c r="G58" s="62"/>
      <c r="H58" s="62"/>
      <c r="I58" s="62"/>
      <c r="J58" s="62"/>
      <c r="K58" s="62"/>
      <c r="L58" s="62"/>
      <c r="M58" s="62"/>
      <c r="N58" s="62"/>
      <c r="O58" s="62"/>
      <c r="Q58" s="35"/>
      <c r="S58" s="241"/>
    </row>
    <row r="59" spans="2:19" s="24" customFormat="1" x14ac:dyDescent="0.3">
      <c r="B59" s="61"/>
      <c r="C59" s="40" t="s">
        <v>270</v>
      </c>
      <c r="D59" s="43" t="s">
        <v>265</v>
      </c>
      <c r="E59" s="132"/>
      <c r="F59" s="132"/>
      <c r="G59" s="132"/>
      <c r="H59" s="87">
        <v>0</v>
      </c>
      <c r="I59" s="87">
        <v>0</v>
      </c>
      <c r="J59" s="87">
        <v>0</v>
      </c>
      <c r="K59" s="87">
        <v>0</v>
      </c>
      <c r="L59" s="87">
        <v>0</v>
      </c>
      <c r="M59" s="87">
        <v>0</v>
      </c>
      <c r="N59" s="87">
        <v>0</v>
      </c>
      <c r="O59" s="87">
        <v>0</v>
      </c>
      <c r="Q59" s="35"/>
      <c r="S59" s="241"/>
    </row>
    <row r="60" spans="2:19" s="24" customFormat="1" x14ac:dyDescent="0.3">
      <c r="B60" s="61"/>
      <c r="C60" s="40" t="s">
        <v>271</v>
      </c>
      <c r="D60" s="43" t="s">
        <v>265</v>
      </c>
      <c r="E60" s="132"/>
      <c r="F60" s="132"/>
      <c r="G60" s="132"/>
      <c r="H60" s="87">
        <f>H55</f>
        <v>1602174.8</v>
      </c>
      <c r="I60" s="87"/>
      <c r="J60" s="87">
        <v>0</v>
      </c>
      <c r="K60" s="87">
        <v>0</v>
      </c>
      <c r="L60" s="87">
        <v>0</v>
      </c>
      <c r="M60" s="87">
        <v>0</v>
      </c>
      <c r="N60" s="87">
        <v>0</v>
      </c>
      <c r="O60" s="87">
        <v>0</v>
      </c>
      <c r="Q60" s="35"/>
      <c r="S60" s="241"/>
    </row>
    <row r="61" spans="2:19" s="24" customFormat="1" x14ac:dyDescent="0.3">
      <c r="B61" s="61"/>
      <c r="C61" s="40" t="s">
        <v>272</v>
      </c>
      <c r="D61" s="43" t="s">
        <v>265</v>
      </c>
      <c r="E61" s="132"/>
      <c r="F61" s="132"/>
      <c r="G61" s="132"/>
      <c r="H61" s="87">
        <v>0</v>
      </c>
      <c r="I61" s="87">
        <v>0</v>
      </c>
      <c r="J61" s="87">
        <v>0</v>
      </c>
      <c r="K61" s="87">
        <v>0</v>
      </c>
      <c r="L61" s="87"/>
      <c r="M61" s="87">
        <v>0</v>
      </c>
      <c r="N61" s="87">
        <v>0</v>
      </c>
      <c r="O61" s="87">
        <v>0</v>
      </c>
      <c r="Q61" s="35"/>
      <c r="S61" s="241"/>
    </row>
    <row r="62" spans="2:19" s="24" customFormat="1" x14ac:dyDescent="0.3">
      <c r="B62" s="61"/>
      <c r="C62" s="40" t="s">
        <v>273</v>
      </c>
      <c r="D62" s="43" t="s">
        <v>265</v>
      </c>
      <c r="E62" s="132"/>
      <c r="F62" s="132"/>
      <c r="G62" s="132"/>
      <c r="H62" s="87">
        <v>0</v>
      </c>
      <c r="I62" s="87">
        <v>0</v>
      </c>
      <c r="J62" s="87">
        <v>0</v>
      </c>
      <c r="K62" s="87">
        <v>0</v>
      </c>
      <c r="L62" s="87">
        <v>0</v>
      </c>
      <c r="M62" s="87">
        <v>0</v>
      </c>
      <c r="N62" s="87">
        <v>0</v>
      </c>
      <c r="O62" s="87">
        <v>0</v>
      </c>
      <c r="Q62" s="35"/>
      <c r="S62" s="241"/>
    </row>
    <row r="63" spans="2:19" s="24" customFormat="1" x14ac:dyDescent="0.3">
      <c r="B63" s="61"/>
      <c r="C63" s="40" t="s">
        <v>274</v>
      </c>
      <c r="D63" s="43" t="s">
        <v>265</v>
      </c>
      <c r="E63" s="88">
        <f>E56-SUM(E59:E62)</f>
        <v>0</v>
      </c>
      <c r="F63" s="88">
        <f>F56-SUM(F59:F62)</f>
        <v>0</v>
      </c>
      <c r="G63" s="88">
        <f>G56-SUM(G59:G62)</f>
        <v>0</v>
      </c>
      <c r="H63" s="88">
        <f t="shared" ref="H63:O63" si="13">H56-SUM(H59:H62)</f>
        <v>0</v>
      </c>
      <c r="I63" s="88">
        <f t="shared" si="13"/>
        <v>330000</v>
      </c>
      <c r="J63" s="88">
        <f t="shared" si="13"/>
        <v>0</v>
      </c>
      <c r="K63" s="88">
        <f t="shared" si="13"/>
        <v>0</v>
      </c>
      <c r="L63" s="88">
        <f t="shared" si="13"/>
        <v>1000000</v>
      </c>
      <c r="M63" s="88">
        <f t="shared" si="13"/>
        <v>0</v>
      </c>
      <c r="N63" s="88">
        <f t="shared" si="13"/>
        <v>0</v>
      </c>
      <c r="O63" s="88">
        <f t="shared" si="13"/>
        <v>0</v>
      </c>
      <c r="Q63" s="35"/>
      <c r="S63" s="241"/>
    </row>
    <row r="64" spans="2:19" s="24" customFormat="1" x14ac:dyDescent="0.3">
      <c r="B64" s="61"/>
      <c r="C64" s="42" t="s">
        <v>275</v>
      </c>
      <c r="D64" s="43" t="s">
        <v>265</v>
      </c>
      <c r="E64" s="62">
        <f>SUM(E59:E63)</f>
        <v>0</v>
      </c>
      <c r="F64" s="62">
        <f>SUM(F59:F63)</f>
        <v>0</v>
      </c>
      <c r="G64" s="62">
        <f>SUM(G59:G63)</f>
        <v>0</v>
      </c>
      <c r="H64" s="62">
        <f t="shared" ref="H64:O64" si="14">SUM(H59:H63)</f>
        <v>1602174.8</v>
      </c>
      <c r="I64" s="62">
        <f t="shared" si="14"/>
        <v>330000</v>
      </c>
      <c r="J64" s="62">
        <f t="shared" si="14"/>
        <v>0</v>
      </c>
      <c r="K64" s="62">
        <f t="shared" si="14"/>
        <v>0</v>
      </c>
      <c r="L64" s="62">
        <f t="shared" si="14"/>
        <v>1000000</v>
      </c>
      <c r="M64" s="62">
        <f t="shared" si="14"/>
        <v>0</v>
      </c>
      <c r="N64" s="62">
        <f t="shared" si="14"/>
        <v>0</v>
      </c>
      <c r="O64" s="62">
        <f t="shared" si="14"/>
        <v>0</v>
      </c>
      <c r="Q64" s="35"/>
      <c r="S64" s="241"/>
    </row>
    <row r="65" spans="2:19" s="24" customFormat="1" x14ac:dyDescent="0.3">
      <c r="B65" s="61"/>
      <c r="C65" s="53"/>
      <c r="D65" s="139"/>
      <c r="E65" s="140"/>
      <c r="F65" s="140"/>
      <c r="G65" s="140"/>
      <c r="H65" s="140"/>
      <c r="I65" s="140"/>
      <c r="J65" s="140"/>
      <c r="K65" s="140"/>
      <c r="L65" s="140"/>
      <c r="M65" s="140"/>
      <c r="N65" s="140"/>
      <c r="O65" s="140"/>
      <c r="Q65" s="35"/>
      <c r="S65" s="241"/>
    </row>
    <row r="66" spans="2:19" s="24" customFormat="1" x14ac:dyDescent="0.3">
      <c r="B66" s="61"/>
      <c r="C66" s="53"/>
      <c r="D66" s="139"/>
      <c r="E66" s="140"/>
      <c r="F66" s="140"/>
      <c r="G66" s="140"/>
      <c r="H66" s="140"/>
      <c r="I66" s="140"/>
      <c r="J66" s="140"/>
      <c r="K66" s="140"/>
      <c r="L66" s="140"/>
      <c r="M66" s="140"/>
      <c r="N66" s="140"/>
      <c r="O66" s="140"/>
      <c r="Q66" s="35"/>
      <c r="S66" s="241"/>
    </row>
    <row r="67" spans="2:19" s="24" customFormat="1" x14ac:dyDescent="0.3">
      <c r="B67" s="61"/>
      <c r="C67" s="89" t="s">
        <v>276</v>
      </c>
      <c r="D67" s="89"/>
      <c r="E67" s="111">
        <f>F67-1</f>
        <v>2022</v>
      </c>
      <c r="F67" s="111">
        <f>G67-1</f>
        <v>2023</v>
      </c>
      <c r="G67" s="112">
        <f>'Date generale'!$D$8</f>
        <v>2024</v>
      </c>
      <c r="H67" s="113">
        <f t="shared" ref="H67:O67" si="15">G67+1</f>
        <v>2025</v>
      </c>
      <c r="I67" s="113">
        <f t="shared" si="15"/>
        <v>2026</v>
      </c>
      <c r="J67" s="113">
        <f t="shared" si="15"/>
        <v>2027</v>
      </c>
      <c r="K67" s="113">
        <f t="shared" si="15"/>
        <v>2028</v>
      </c>
      <c r="L67" s="113">
        <f t="shared" si="15"/>
        <v>2029</v>
      </c>
      <c r="M67" s="113">
        <f t="shared" si="15"/>
        <v>2030</v>
      </c>
      <c r="N67" s="113">
        <f t="shared" si="15"/>
        <v>2031</v>
      </c>
      <c r="O67" s="113">
        <f t="shared" si="15"/>
        <v>2032</v>
      </c>
      <c r="Q67" s="35"/>
      <c r="S67" s="241"/>
    </row>
    <row r="68" spans="2:19" s="24" customFormat="1" x14ac:dyDescent="0.3">
      <c r="B68" s="61"/>
      <c r="C68" s="114"/>
      <c r="D68" s="114"/>
      <c r="E68" s="115">
        <f>F68-1</f>
        <v>-3</v>
      </c>
      <c r="F68" s="115">
        <f>G68-1</f>
        <v>-2</v>
      </c>
      <c r="G68" s="116">
        <v>-1</v>
      </c>
      <c r="H68" s="116">
        <v>0</v>
      </c>
      <c r="I68" s="116">
        <f t="shared" ref="I68:O68" si="16">H68+1</f>
        <v>1</v>
      </c>
      <c r="J68" s="116">
        <f t="shared" si="16"/>
        <v>2</v>
      </c>
      <c r="K68" s="116">
        <f t="shared" si="16"/>
        <v>3</v>
      </c>
      <c r="L68" s="116">
        <f t="shared" si="16"/>
        <v>4</v>
      </c>
      <c r="M68" s="116">
        <f t="shared" si="16"/>
        <v>5</v>
      </c>
      <c r="N68" s="116">
        <f t="shared" si="16"/>
        <v>6</v>
      </c>
      <c r="O68" s="116">
        <f t="shared" si="16"/>
        <v>7</v>
      </c>
      <c r="Q68" s="35"/>
      <c r="S68" s="241"/>
    </row>
    <row r="69" spans="2:19" s="24" customFormat="1" x14ac:dyDescent="0.3">
      <c r="B69" s="61"/>
      <c r="C69" s="42"/>
      <c r="D69" s="51"/>
      <c r="E69" s="62"/>
      <c r="F69" s="62"/>
      <c r="G69" s="62"/>
      <c r="H69" s="62"/>
      <c r="I69" s="62"/>
      <c r="J69" s="62"/>
      <c r="K69" s="62"/>
      <c r="L69" s="62"/>
      <c r="M69" s="62"/>
      <c r="N69" s="62"/>
      <c r="O69" s="62"/>
      <c r="Q69" s="35"/>
      <c r="S69" s="241"/>
    </row>
    <row r="70" spans="2:19" s="24" customFormat="1" x14ac:dyDescent="0.3">
      <c r="B70" s="61"/>
      <c r="C70" s="42" t="s">
        <v>263</v>
      </c>
      <c r="D70" s="51"/>
      <c r="E70" s="62"/>
      <c r="F70" s="62"/>
      <c r="G70" s="62"/>
      <c r="H70" s="62"/>
      <c r="I70" s="62"/>
      <c r="J70" s="62"/>
      <c r="K70" s="62"/>
      <c r="L70" s="62"/>
      <c r="M70" s="62"/>
      <c r="N70" s="62"/>
      <c r="O70" s="62"/>
      <c r="Q70" s="35"/>
      <c r="S70" s="241"/>
    </row>
    <row r="71" spans="2:19" s="24" customFormat="1" x14ac:dyDescent="0.3">
      <c r="B71" s="61"/>
      <c r="C71" s="50" t="s">
        <v>264</v>
      </c>
      <c r="D71" s="43" t="s">
        <v>265</v>
      </c>
      <c r="E71" s="132"/>
      <c r="F71" s="132"/>
      <c r="G71" s="132"/>
      <c r="H71" s="87">
        <v>0</v>
      </c>
      <c r="I71" s="87">
        <v>0</v>
      </c>
      <c r="J71" s="87">
        <v>0</v>
      </c>
      <c r="K71" s="87">
        <v>0</v>
      </c>
      <c r="L71" s="87">
        <v>0</v>
      </c>
      <c r="M71" s="87">
        <v>0</v>
      </c>
      <c r="N71" s="87">
        <v>0</v>
      </c>
      <c r="O71" s="87">
        <v>0</v>
      </c>
      <c r="Q71" s="35"/>
      <c r="S71" s="241"/>
    </row>
    <row r="72" spans="2:19" s="24" customFormat="1" x14ac:dyDescent="0.3">
      <c r="B72" s="61"/>
      <c r="C72" s="50" t="s">
        <v>266</v>
      </c>
      <c r="D72" s="43" t="s">
        <v>265</v>
      </c>
      <c r="E72" s="132"/>
      <c r="F72" s="132"/>
      <c r="G72" s="132"/>
      <c r="H72" s="87">
        <v>0</v>
      </c>
      <c r="I72" s="87">
        <v>0</v>
      </c>
      <c r="J72" s="87">
        <v>0</v>
      </c>
      <c r="K72" s="87">
        <v>0</v>
      </c>
      <c r="L72" s="87">
        <v>0</v>
      </c>
      <c r="M72" s="87">
        <v>0</v>
      </c>
      <c r="N72" s="87">
        <v>0</v>
      </c>
      <c r="O72" s="87">
        <v>0</v>
      </c>
      <c r="Q72" s="35"/>
      <c r="S72" s="241"/>
    </row>
    <row r="73" spans="2:19" s="24" customFormat="1" x14ac:dyDescent="0.3">
      <c r="B73" s="61"/>
      <c r="C73" s="50" t="s">
        <v>267</v>
      </c>
      <c r="D73" s="43" t="s">
        <v>265</v>
      </c>
      <c r="E73" s="132"/>
      <c r="F73" s="132"/>
      <c r="G73" s="132"/>
      <c r="H73" s="87"/>
      <c r="I73" s="87"/>
      <c r="J73" s="87"/>
      <c r="K73" s="87"/>
      <c r="L73" s="87"/>
      <c r="M73" s="87">
        <v>0</v>
      </c>
      <c r="N73" s="87">
        <v>0</v>
      </c>
      <c r="O73" s="87">
        <v>0</v>
      </c>
      <c r="Q73" s="35"/>
      <c r="S73" s="241"/>
    </row>
    <row r="74" spans="2:19" s="24" customFormat="1" x14ac:dyDescent="0.3">
      <c r="B74" s="61"/>
      <c r="C74" s="42" t="s">
        <v>268</v>
      </c>
      <c r="D74" s="43" t="s">
        <v>265</v>
      </c>
      <c r="E74" s="62">
        <f t="shared" ref="E74:O74" si="17">SUM(E71:E73)</f>
        <v>0</v>
      </c>
      <c r="F74" s="62">
        <f t="shared" si="17"/>
        <v>0</v>
      </c>
      <c r="G74" s="62">
        <f t="shared" si="17"/>
        <v>0</v>
      </c>
      <c r="H74" s="62">
        <f t="shared" si="17"/>
        <v>0</v>
      </c>
      <c r="I74" s="62">
        <f t="shared" si="17"/>
        <v>0</v>
      </c>
      <c r="J74" s="62">
        <f t="shared" si="17"/>
        <v>0</v>
      </c>
      <c r="K74" s="62">
        <f t="shared" si="17"/>
        <v>0</v>
      </c>
      <c r="L74" s="62">
        <f t="shared" si="17"/>
        <v>0</v>
      </c>
      <c r="M74" s="62">
        <f t="shared" si="17"/>
        <v>0</v>
      </c>
      <c r="N74" s="62">
        <f t="shared" si="17"/>
        <v>0</v>
      </c>
      <c r="O74" s="62">
        <f t="shared" si="17"/>
        <v>0</v>
      </c>
      <c r="Q74" s="35"/>
      <c r="S74" s="241"/>
    </row>
    <row r="75" spans="2:19" s="24" customFormat="1" x14ac:dyDescent="0.3">
      <c r="B75" s="61"/>
      <c r="C75" s="42"/>
      <c r="D75" s="51"/>
      <c r="E75" s="62"/>
      <c r="F75" s="62"/>
      <c r="G75" s="62"/>
      <c r="H75" s="62"/>
      <c r="I75" s="62"/>
      <c r="J75" s="62"/>
      <c r="K75" s="62"/>
      <c r="L75" s="62"/>
      <c r="M75" s="62"/>
      <c r="N75" s="62"/>
      <c r="O75" s="62"/>
      <c r="Q75" s="35"/>
      <c r="S75" s="241"/>
    </row>
    <row r="76" spans="2:19" s="24" customFormat="1" x14ac:dyDescent="0.3">
      <c r="B76" s="61"/>
      <c r="C76" s="42" t="s">
        <v>269</v>
      </c>
      <c r="D76" s="51"/>
      <c r="E76" s="62"/>
      <c r="F76" s="62"/>
      <c r="G76" s="62"/>
      <c r="H76" s="62"/>
      <c r="I76" s="62"/>
      <c r="J76" s="62"/>
      <c r="K76" s="62"/>
      <c r="L76" s="62"/>
      <c r="M76" s="62"/>
      <c r="N76" s="62"/>
      <c r="O76" s="62"/>
      <c r="Q76" s="35"/>
      <c r="S76" s="241"/>
    </row>
    <row r="77" spans="2:19" s="24" customFormat="1" x14ac:dyDescent="0.3">
      <c r="B77" s="61"/>
      <c r="C77" s="40" t="s">
        <v>277</v>
      </c>
      <c r="D77" s="43" t="s">
        <v>265</v>
      </c>
      <c r="E77" s="132"/>
      <c r="F77" s="132"/>
      <c r="G77" s="132"/>
      <c r="H77" s="87">
        <v>0</v>
      </c>
      <c r="I77" s="87">
        <v>0</v>
      </c>
      <c r="J77" s="87">
        <v>0</v>
      </c>
      <c r="K77" s="87">
        <v>0</v>
      </c>
      <c r="L77" s="87">
        <v>0</v>
      </c>
      <c r="M77" s="87">
        <v>0</v>
      </c>
      <c r="N77" s="87">
        <v>0</v>
      </c>
      <c r="O77" s="87">
        <v>0</v>
      </c>
      <c r="Q77" s="35"/>
      <c r="S77" s="241"/>
    </row>
    <row r="78" spans="2:19" s="24" customFormat="1" x14ac:dyDescent="0.3">
      <c r="B78" s="61"/>
      <c r="C78" s="40" t="s">
        <v>274</v>
      </c>
      <c r="D78" s="43" t="s">
        <v>265</v>
      </c>
      <c r="E78" s="88">
        <f>E74-SUM(E77:E77)</f>
        <v>0</v>
      </c>
      <c r="F78" s="88">
        <f>F74-SUM(F77:F77)</f>
        <v>0</v>
      </c>
      <c r="G78" s="88">
        <f>G74-SUM(G77:G77)</f>
        <v>0</v>
      </c>
      <c r="H78" s="88">
        <f t="shared" ref="H78:O78" si="18">H74-SUM(H77:H77)</f>
        <v>0</v>
      </c>
      <c r="I78" s="88">
        <f t="shared" si="18"/>
        <v>0</v>
      </c>
      <c r="J78" s="88">
        <f t="shared" si="18"/>
        <v>0</v>
      </c>
      <c r="K78" s="88">
        <f t="shared" si="18"/>
        <v>0</v>
      </c>
      <c r="L78" s="88">
        <f t="shared" si="18"/>
        <v>0</v>
      </c>
      <c r="M78" s="88">
        <f t="shared" si="18"/>
        <v>0</v>
      </c>
      <c r="N78" s="88">
        <f t="shared" si="18"/>
        <v>0</v>
      </c>
      <c r="O78" s="88">
        <f t="shared" si="18"/>
        <v>0</v>
      </c>
      <c r="Q78" s="35"/>
      <c r="S78" s="241"/>
    </row>
    <row r="79" spans="2:19" s="24" customFormat="1" x14ac:dyDescent="0.3">
      <c r="B79" s="61"/>
      <c r="C79" s="42" t="s">
        <v>275</v>
      </c>
      <c r="D79" s="43" t="s">
        <v>265</v>
      </c>
      <c r="E79" s="62">
        <f>SUM(E77:E78)</f>
        <v>0</v>
      </c>
      <c r="F79" s="62">
        <f>SUM(F77:F78)</f>
        <v>0</v>
      </c>
      <c r="G79" s="62">
        <f>SUM(G77:G78)</f>
        <v>0</v>
      </c>
      <c r="H79" s="62">
        <f t="shared" ref="H79:O79" si="19">SUM(H77:H78)</f>
        <v>0</v>
      </c>
      <c r="I79" s="62">
        <f t="shared" si="19"/>
        <v>0</v>
      </c>
      <c r="J79" s="62">
        <f t="shared" si="19"/>
        <v>0</v>
      </c>
      <c r="K79" s="62">
        <f t="shared" si="19"/>
        <v>0</v>
      </c>
      <c r="L79" s="62">
        <f t="shared" si="19"/>
        <v>0</v>
      </c>
      <c r="M79" s="62">
        <f t="shared" si="19"/>
        <v>0</v>
      </c>
      <c r="N79" s="62">
        <f t="shared" si="19"/>
        <v>0</v>
      </c>
      <c r="O79" s="62">
        <f t="shared" si="19"/>
        <v>0</v>
      </c>
      <c r="Q79" s="35"/>
      <c r="S79" s="241"/>
    </row>
    <row r="80" spans="2:19" s="24" customFormat="1" x14ac:dyDescent="0.3">
      <c r="B80" s="61"/>
      <c r="C80" s="53"/>
      <c r="D80" s="139"/>
      <c r="E80" s="140"/>
      <c r="F80" s="140"/>
      <c r="G80" s="140"/>
      <c r="H80" s="140"/>
      <c r="I80" s="140"/>
      <c r="J80" s="140"/>
      <c r="K80" s="140"/>
      <c r="L80" s="140"/>
      <c r="M80" s="140"/>
      <c r="N80" s="140"/>
      <c r="O80" s="140"/>
      <c r="Q80" s="35"/>
      <c r="S80" s="241"/>
    </row>
    <row r="81" spans="2:19" ht="6.6" customHeight="1" x14ac:dyDescent="0.3">
      <c r="B81" s="35"/>
      <c r="C81" s="35"/>
      <c r="D81" s="35"/>
      <c r="E81" s="35"/>
      <c r="F81" s="35"/>
      <c r="G81" s="35"/>
      <c r="H81" s="35"/>
      <c r="I81" s="35"/>
      <c r="J81" s="35"/>
      <c r="K81" s="35"/>
      <c r="L81" s="35"/>
      <c r="M81" s="35"/>
      <c r="N81" s="35"/>
      <c r="O81" s="35"/>
      <c r="P81" s="35"/>
      <c r="Q81" s="35"/>
    </row>
    <row r="83" spans="2:19" ht="8.1" customHeight="1" x14ac:dyDescent="0.3">
      <c r="B83" s="23"/>
      <c r="C83" s="23"/>
      <c r="D83" s="23"/>
      <c r="E83" s="23"/>
      <c r="F83" s="23"/>
      <c r="G83" s="23"/>
      <c r="H83" s="23"/>
      <c r="I83" s="23"/>
      <c r="J83" s="23"/>
      <c r="K83" s="23"/>
      <c r="L83" s="23"/>
      <c r="M83" s="23"/>
      <c r="N83" s="23"/>
      <c r="O83" s="23"/>
      <c r="P83" s="23"/>
      <c r="Q83" s="23"/>
    </row>
    <row r="84" spans="2:19" x14ac:dyDescent="0.3">
      <c r="B84" s="23"/>
      <c r="C84" s="24" t="s">
        <v>280</v>
      </c>
      <c r="Q84" s="23"/>
    </row>
    <row r="85" spans="2:19" ht="8.1" customHeight="1" x14ac:dyDescent="0.3">
      <c r="B85" s="23"/>
      <c r="C85" s="23"/>
      <c r="D85" s="23"/>
      <c r="E85" s="23"/>
      <c r="F85" s="23"/>
      <c r="G85" s="23"/>
      <c r="H85" s="23"/>
      <c r="I85" s="23"/>
      <c r="J85" s="23"/>
      <c r="K85" s="23"/>
      <c r="L85" s="23"/>
      <c r="M85" s="23"/>
      <c r="N85" s="23"/>
      <c r="O85" s="23"/>
      <c r="P85" s="23"/>
      <c r="Q85" s="23"/>
    </row>
    <row r="86" spans="2:19" x14ac:dyDescent="0.3">
      <c r="B86" s="23"/>
      <c r="Q86" s="23"/>
    </row>
    <row r="87" spans="2:19" s="22" customFormat="1" ht="29.1" customHeight="1" x14ac:dyDescent="0.3">
      <c r="B87" s="35"/>
      <c r="C87" s="145" t="s">
        <v>281</v>
      </c>
      <c r="D87" s="56"/>
      <c r="E87" s="37">
        <f>F87-1</f>
        <v>2022</v>
      </c>
      <c r="F87" s="37">
        <f>G87-1</f>
        <v>2023</v>
      </c>
      <c r="G87" s="57">
        <f>'Date generale'!$D$8</f>
        <v>2024</v>
      </c>
      <c r="H87" s="58">
        <f t="shared" ref="H87:O87" si="20">G87+1</f>
        <v>2025</v>
      </c>
      <c r="I87" s="58">
        <f t="shared" si="20"/>
        <v>2026</v>
      </c>
      <c r="J87" s="58">
        <f t="shared" si="20"/>
        <v>2027</v>
      </c>
      <c r="K87" s="58">
        <f t="shared" si="20"/>
        <v>2028</v>
      </c>
      <c r="L87" s="58">
        <f t="shared" si="20"/>
        <v>2029</v>
      </c>
      <c r="M87" s="58">
        <f t="shared" si="20"/>
        <v>2030</v>
      </c>
      <c r="N87" s="58">
        <f t="shared" si="20"/>
        <v>2031</v>
      </c>
      <c r="O87" s="58">
        <f t="shared" si="20"/>
        <v>2032</v>
      </c>
      <c r="Q87" s="35"/>
      <c r="S87" s="239" t="s">
        <v>282</v>
      </c>
    </row>
    <row r="88" spans="2:19" x14ac:dyDescent="0.3">
      <c r="B88" s="23"/>
      <c r="C88" s="59"/>
      <c r="D88" s="59"/>
      <c r="E88" s="27">
        <f>F88-1</f>
        <v>-3</v>
      </c>
      <c r="F88" s="27">
        <f>G88-1</f>
        <v>-2</v>
      </c>
      <c r="G88" s="60">
        <v>-1</v>
      </c>
      <c r="H88" s="60">
        <v>0</v>
      </c>
      <c r="I88" s="60">
        <f t="shared" ref="I88:O88" si="21">H88+1</f>
        <v>1</v>
      </c>
      <c r="J88" s="60">
        <f t="shared" si="21"/>
        <v>2</v>
      </c>
      <c r="K88" s="60">
        <f t="shared" si="21"/>
        <v>3</v>
      </c>
      <c r="L88" s="60">
        <f t="shared" si="21"/>
        <v>4</v>
      </c>
      <c r="M88" s="60">
        <f t="shared" si="21"/>
        <v>5</v>
      </c>
      <c r="N88" s="60">
        <f t="shared" si="21"/>
        <v>6</v>
      </c>
      <c r="O88" s="60">
        <f t="shared" si="21"/>
        <v>7</v>
      </c>
      <c r="Q88" s="35"/>
      <c r="S88" s="240"/>
    </row>
    <row r="89" spans="2:19" s="24" customFormat="1" x14ac:dyDescent="0.3">
      <c r="B89" s="61"/>
      <c r="C89" s="42"/>
      <c r="D89" s="51"/>
      <c r="E89" s="62"/>
      <c r="F89" s="62"/>
      <c r="G89" s="62"/>
      <c r="H89" s="62"/>
      <c r="I89" s="62"/>
      <c r="J89" s="62"/>
      <c r="K89" s="62"/>
      <c r="L89" s="62"/>
      <c r="M89" s="62"/>
      <c r="N89" s="62"/>
      <c r="O89" s="62"/>
      <c r="Q89" s="35"/>
      <c r="S89" s="241"/>
    </row>
    <row r="90" spans="2:19" s="24" customFormat="1" x14ac:dyDescent="0.3">
      <c r="B90" s="61"/>
      <c r="C90" s="50" t="s">
        <v>283</v>
      </c>
      <c r="D90" s="43" t="s">
        <v>284</v>
      </c>
      <c r="E90" s="62"/>
      <c r="F90" s="62"/>
      <c r="G90" s="87">
        <v>0</v>
      </c>
      <c r="H90" s="62">
        <f t="shared" ref="H90:O90" si="22">G90+H91-H92</f>
        <v>0</v>
      </c>
      <c r="I90" s="62">
        <f t="shared" si="22"/>
        <v>0</v>
      </c>
      <c r="J90" s="62">
        <f t="shared" si="22"/>
        <v>0</v>
      </c>
      <c r="K90" s="62">
        <f t="shared" si="22"/>
        <v>0</v>
      </c>
      <c r="L90" s="62">
        <f t="shared" si="22"/>
        <v>0</v>
      </c>
      <c r="M90" s="62">
        <f t="shared" si="22"/>
        <v>0</v>
      </c>
      <c r="N90" s="62">
        <f t="shared" si="22"/>
        <v>0</v>
      </c>
      <c r="O90" s="62">
        <f t="shared" si="22"/>
        <v>0</v>
      </c>
      <c r="Q90" s="35"/>
      <c r="S90" s="241"/>
    </row>
    <row r="91" spans="2:19" s="24" customFormat="1" x14ac:dyDescent="0.3">
      <c r="B91" s="61"/>
      <c r="C91" s="50" t="s">
        <v>285</v>
      </c>
      <c r="D91" s="43" t="s">
        <v>284</v>
      </c>
      <c r="E91" s="62"/>
      <c r="F91" s="62"/>
      <c r="G91" s="62"/>
      <c r="H91" s="87">
        <v>0</v>
      </c>
      <c r="I91" s="87">
        <v>0</v>
      </c>
      <c r="J91" s="87">
        <v>0</v>
      </c>
      <c r="K91" s="87">
        <v>0</v>
      </c>
      <c r="L91" s="87">
        <v>0</v>
      </c>
      <c r="M91" s="87">
        <v>0</v>
      </c>
      <c r="N91" s="87">
        <v>0</v>
      </c>
      <c r="O91" s="87">
        <v>0</v>
      </c>
      <c r="Q91" s="35"/>
      <c r="S91" s="241"/>
    </row>
    <row r="92" spans="2:19" s="24" customFormat="1" x14ac:dyDescent="0.3">
      <c r="B92" s="61"/>
      <c r="C92" s="50" t="s">
        <v>286</v>
      </c>
      <c r="D92" s="43" t="s">
        <v>284</v>
      </c>
      <c r="E92" s="62"/>
      <c r="F92" s="62"/>
      <c r="G92" s="62"/>
      <c r="H92" s="87">
        <v>0</v>
      </c>
      <c r="I92" s="87">
        <v>0</v>
      </c>
      <c r="J92" s="87">
        <v>0</v>
      </c>
      <c r="K92" s="87">
        <v>0</v>
      </c>
      <c r="L92" s="87">
        <v>0</v>
      </c>
      <c r="M92" s="87">
        <v>0</v>
      </c>
      <c r="N92" s="87">
        <v>0</v>
      </c>
      <c r="O92" s="87">
        <v>0</v>
      </c>
      <c r="Q92" s="35"/>
      <c r="S92" s="241"/>
    </row>
    <row r="93" spans="2:19" s="24" customFormat="1" x14ac:dyDescent="0.3">
      <c r="B93" s="61"/>
      <c r="C93" s="50" t="s">
        <v>287</v>
      </c>
      <c r="D93" s="43" t="s">
        <v>284</v>
      </c>
      <c r="E93" s="93">
        <v>0</v>
      </c>
      <c r="F93" s="62"/>
      <c r="G93" s="62"/>
      <c r="H93" s="88">
        <f t="shared" ref="H93:O93" si="23">AVERAGE(G90:H90)*$E$93</f>
        <v>0</v>
      </c>
      <c r="I93" s="88">
        <f t="shared" si="23"/>
        <v>0</v>
      </c>
      <c r="J93" s="88">
        <f t="shared" si="23"/>
        <v>0</v>
      </c>
      <c r="K93" s="88">
        <f t="shared" si="23"/>
        <v>0</v>
      </c>
      <c r="L93" s="88">
        <f t="shared" si="23"/>
        <v>0</v>
      </c>
      <c r="M93" s="88">
        <f t="shared" si="23"/>
        <v>0</v>
      </c>
      <c r="N93" s="88">
        <f t="shared" si="23"/>
        <v>0</v>
      </c>
      <c r="O93" s="88">
        <f t="shared" si="23"/>
        <v>0</v>
      </c>
      <c r="Q93" s="35"/>
      <c r="S93" s="241"/>
    </row>
    <row r="94" spans="2:19" s="24" customFormat="1" x14ac:dyDescent="0.3">
      <c r="B94" s="61"/>
      <c r="C94" s="50" t="s">
        <v>288</v>
      </c>
      <c r="D94" s="43" t="s">
        <v>284</v>
      </c>
      <c r="E94" s="62"/>
      <c r="F94" s="62"/>
      <c r="G94" s="62"/>
      <c r="H94" s="87">
        <v>0</v>
      </c>
      <c r="I94" s="87">
        <v>0</v>
      </c>
      <c r="J94" s="87">
        <v>0</v>
      </c>
      <c r="K94" s="87">
        <v>0</v>
      </c>
      <c r="L94" s="87">
        <v>0</v>
      </c>
      <c r="M94" s="87">
        <v>0</v>
      </c>
      <c r="N94" s="87">
        <v>0</v>
      </c>
      <c r="O94" s="87">
        <v>0</v>
      </c>
      <c r="Q94" s="35"/>
      <c r="S94" s="241"/>
    </row>
    <row r="95" spans="2:19" x14ac:dyDescent="0.3">
      <c r="B95" s="61"/>
      <c r="C95" s="66" t="s">
        <v>289</v>
      </c>
      <c r="D95" s="51" t="s">
        <v>284</v>
      </c>
      <c r="E95" s="81"/>
      <c r="F95" s="81"/>
      <c r="G95" s="81"/>
      <c r="H95" s="91">
        <f>H92+H93+H94</f>
        <v>0</v>
      </c>
      <c r="I95" s="91">
        <f t="shared" ref="I95:O95" si="24">I92+I93+I94</f>
        <v>0</v>
      </c>
      <c r="J95" s="91">
        <f t="shared" si="24"/>
        <v>0</v>
      </c>
      <c r="K95" s="91">
        <f t="shared" si="24"/>
        <v>0</v>
      </c>
      <c r="L95" s="91">
        <f t="shared" si="24"/>
        <v>0</v>
      </c>
      <c r="M95" s="91">
        <f t="shared" si="24"/>
        <v>0</v>
      </c>
      <c r="N95" s="91">
        <f t="shared" si="24"/>
        <v>0</v>
      </c>
      <c r="O95" s="91">
        <f t="shared" si="24"/>
        <v>0</v>
      </c>
      <c r="Q95" s="35"/>
      <c r="S95" s="241"/>
    </row>
    <row r="96" spans="2:19" x14ac:dyDescent="0.3">
      <c r="B96" s="61"/>
      <c r="C96" s="66" t="s">
        <v>290</v>
      </c>
      <c r="D96" s="51" t="s">
        <v>284</v>
      </c>
      <c r="E96" s="81"/>
      <c r="F96" s="81"/>
      <c r="G96" s="81"/>
      <c r="H96" s="91">
        <f>H93+H94</f>
        <v>0</v>
      </c>
      <c r="I96" s="91">
        <f t="shared" ref="I96:O96" si="25">I93+I94</f>
        <v>0</v>
      </c>
      <c r="J96" s="91">
        <f t="shared" si="25"/>
        <v>0</v>
      </c>
      <c r="K96" s="91">
        <f t="shared" si="25"/>
        <v>0</v>
      </c>
      <c r="L96" s="91">
        <f t="shared" si="25"/>
        <v>0</v>
      </c>
      <c r="M96" s="91">
        <f t="shared" si="25"/>
        <v>0</v>
      </c>
      <c r="N96" s="91">
        <f t="shared" si="25"/>
        <v>0</v>
      </c>
      <c r="O96" s="91">
        <f t="shared" si="25"/>
        <v>0</v>
      </c>
      <c r="Q96" s="35"/>
      <c r="S96" s="241"/>
    </row>
    <row r="97" spans="2:19" x14ac:dyDescent="0.3">
      <c r="B97" s="61"/>
      <c r="Q97" s="35"/>
      <c r="S97" s="241"/>
    </row>
    <row r="98" spans="2:19" x14ac:dyDescent="0.3">
      <c r="B98" s="35"/>
      <c r="C98" s="145" t="s">
        <v>291</v>
      </c>
      <c r="D98" s="56"/>
      <c r="E98" s="37">
        <f>F98-1</f>
        <v>2022</v>
      </c>
      <c r="F98" s="37">
        <f>G98-1</f>
        <v>2023</v>
      </c>
      <c r="G98" s="57">
        <f>'Date generale'!$D$8</f>
        <v>2024</v>
      </c>
      <c r="H98" s="58">
        <f t="shared" ref="H98:O98" si="26">G98+1</f>
        <v>2025</v>
      </c>
      <c r="I98" s="58">
        <f t="shared" si="26"/>
        <v>2026</v>
      </c>
      <c r="J98" s="58">
        <f t="shared" si="26"/>
        <v>2027</v>
      </c>
      <c r="K98" s="58">
        <f t="shared" si="26"/>
        <v>2028</v>
      </c>
      <c r="L98" s="58">
        <f t="shared" si="26"/>
        <v>2029</v>
      </c>
      <c r="M98" s="58">
        <f t="shared" si="26"/>
        <v>2030</v>
      </c>
      <c r="N98" s="58">
        <f t="shared" si="26"/>
        <v>2031</v>
      </c>
      <c r="O98" s="58">
        <f t="shared" si="26"/>
        <v>2032</v>
      </c>
      <c r="P98" s="22"/>
      <c r="Q98" s="35"/>
      <c r="S98" s="241"/>
    </row>
    <row r="99" spans="2:19" x14ac:dyDescent="0.3">
      <c r="B99" s="23"/>
      <c r="C99" s="59"/>
      <c r="D99" s="59"/>
      <c r="E99" s="27">
        <f>F99-1</f>
        <v>-3</v>
      </c>
      <c r="F99" s="27">
        <f>G99-1</f>
        <v>-2</v>
      </c>
      <c r="G99" s="60">
        <v>-1</v>
      </c>
      <c r="H99" s="60">
        <v>0</v>
      </c>
      <c r="I99" s="60">
        <f t="shared" ref="I99:O99" si="27">H99+1</f>
        <v>1</v>
      </c>
      <c r="J99" s="60">
        <f t="shared" si="27"/>
        <v>2</v>
      </c>
      <c r="K99" s="60">
        <f t="shared" si="27"/>
        <v>3</v>
      </c>
      <c r="L99" s="60">
        <f t="shared" si="27"/>
        <v>4</v>
      </c>
      <c r="M99" s="60">
        <f t="shared" si="27"/>
        <v>5</v>
      </c>
      <c r="N99" s="60">
        <f t="shared" si="27"/>
        <v>6</v>
      </c>
      <c r="O99" s="60">
        <f t="shared" si="27"/>
        <v>7</v>
      </c>
      <c r="Q99" s="35"/>
      <c r="S99" s="241"/>
    </row>
    <row r="100" spans="2:19" x14ac:dyDescent="0.3">
      <c r="B100" s="61"/>
      <c r="C100" s="42"/>
      <c r="D100" s="51"/>
      <c r="E100" s="62"/>
      <c r="F100" s="62"/>
      <c r="G100" s="62"/>
      <c r="H100" s="62"/>
      <c r="I100" s="62"/>
      <c r="J100" s="62"/>
      <c r="K100" s="62"/>
      <c r="L100" s="62"/>
      <c r="M100" s="62"/>
      <c r="N100" s="62"/>
      <c r="O100" s="62"/>
      <c r="P100" s="24"/>
      <c r="Q100" s="35"/>
      <c r="S100" s="241"/>
    </row>
    <row r="101" spans="2:19" x14ac:dyDescent="0.3">
      <c r="B101" s="61"/>
      <c r="C101" s="50" t="s">
        <v>283</v>
      </c>
      <c r="D101" s="43" t="s">
        <v>284</v>
      </c>
      <c r="E101" s="62"/>
      <c r="F101" s="62"/>
      <c r="G101" s="87">
        <v>0</v>
      </c>
      <c r="H101" s="62">
        <f t="shared" ref="H101:O101" si="28">G101+H102-H103</f>
        <v>0</v>
      </c>
      <c r="I101" s="62">
        <f t="shared" si="28"/>
        <v>0</v>
      </c>
      <c r="J101" s="62">
        <f t="shared" si="28"/>
        <v>0</v>
      </c>
      <c r="K101" s="62">
        <f t="shared" si="28"/>
        <v>0</v>
      </c>
      <c r="L101" s="62">
        <f t="shared" si="28"/>
        <v>0</v>
      </c>
      <c r="M101" s="62">
        <f t="shared" si="28"/>
        <v>0</v>
      </c>
      <c r="N101" s="62">
        <f t="shared" si="28"/>
        <v>0</v>
      </c>
      <c r="O101" s="62">
        <f t="shared" si="28"/>
        <v>0</v>
      </c>
      <c r="P101" s="24"/>
      <c r="Q101" s="35"/>
      <c r="S101" s="241"/>
    </row>
    <row r="102" spans="2:19" x14ac:dyDescent="0.3">
      <c r="B102" s="61"/>
      <c r="C102" s="50" t="s">
        <v>285</v>
      </c>
      <c r="D102" s="43" t="s">
        <v>284</v>
      </c>
      <c r="E102" s="62"/>
      <c r="F102" s="62"/>
      <c r="G102" s="62"/>
      <c r="H102" s="87">
        <v>0</v>
      </c>
      <c r="I102" s="87">
        <v>0</v>
      </c>
      <c r="J102" s="87">
        <v>0</v>
      </c>
      <c r="K102" s="87">
        <v>0</v>
      </c>
      <c r="L102" s="87">
        <v>0</v>
      </c>
      <c r="M102" s="87">
        <v>0</v>
      </c>
      <c r="N102" s="87">
        <v>0</v>
      </c>
      <c r="O102" s="87">
        <v>0</v>
      </c>
      <c r="P102" s="24"/>
      <c r="Q102" s="35"/>
      <c r="S102" s="241"/>
    </row>
    <row r="103" spans="2:19" x14ac:dyDescent="0.3">
      <c r="B103" s="61"/>
      <c r="C103" s="50" t="s">
        <v>286</v>
      </c>
      <c r="D103" s="43" t="s">
        <v>284</v>
      </c>
      <c r="E103" s="62"/>
      <c r="F103" s="62"/>
      <c r="G103" s="62"/>
      <c r="H103" s="87">
        <v>0</v>
      </c>
      <c r="I103" s="87">
        <v>0</v>
      </c>
      <c r="J103" s="87">
        <v>0</v>
      </c>
      <c r="K103" s="87">
        <v>0</v>
      </c>
      <c r="L103" s="87">
        <v>0</v>
      </c>
      <c r="M103" s="87">
        <v>0</v>
      </c>
      <c r="N103" s="87">
        <v>0</v>
      </c>
      <c r="O103" s="87">
        <v>0</v>
      </c>
      <c r="P103" s="24"/>
      <c r="Q103" s="35"/>
      <c r="S103" s="241"/>
    </row>
    <row r="104" spans="2:19" x14ac:dyDescent="0.3">
      <c r="B104" s="61"/>
      <c r="C104" s="50" t="s">
        <v>287</v>
      </c>
      <c r="D104" s="43" t="s">
        <v>284</v>
      </c>
      <c r="E104" s="93">
        <v>0</v>
      </c>
      <c r="F104" s="62"/>
      <c r="G104" s="62"/>
      <c r="H104" s="88">
        <f>AVERAGE(G101:H101)*$E$104</f>
        <v>0</v>
      </c>
      <c r="I104" s="88">
        <f t="shared" ref="I104:O104" si="29">AVERAGE(H101:I101)*$E$104</f>
        <v>0</v>
      </c>
      <c r="J104" s="88">
        <f t="shared" si="29"/>
        <v>0</v>
      </c>
      <c r="K104" s="88">
        <f t="shared" si="29"/>
        <v>0</v>
      </c>
      <c r="L104" s="88">
        <f t="shared" si="29"/>
        <v>0</v>
      </c>
      <c r="M104" s="88">
        <f t="shared" si="29"/>
        <v>0</v>
      </c>
      <c r="N104" s="88">
        <f t="shared" si="29"/>
        <v>0</v>
      </c>
      <c r="O104" s="88">
        <f t="shared" si="29"/>
        <v>0</v>
      </c>
      <c r="P104" s="24"/>
      <c r="Q104" s="35"/>
      <c r="S104" s="241"/>
    </row>
    <row r="105" spans="2:19" x14ac:dyDescent="0.3">
      <c r="B105" s="61"/>
      <c r="C105" s="50" t="s">
        <v>288</v>
      </c>
      <c r="D105" s="43" t="s">
        <v>284</v>
      </c>
      <c r="E105" s="62"/>
      <c r="F105" s="62"/>
      <c r="G105" s="62"/>
      <c r="H105" s="87">
        <v>0</v>
      </c>
      <c r="I105" s="87">
        <v>0</v>
      </c>
      <c r="J105" s="87">
        <v>0</v>
      </c>
      <c r="K105" s="87">
        <v>0</v>
      </c>
      <c r="L105" s="87">
        <v>0</v>
      </c>
      <c r="M105" s="87">
        <v>0</v>
      </c>
      <c r="N105" s="87">
        <v>0</v>
      </c>
      <c r="O105" s="87">
        <v>0</v>
      </c>
      <c r="P105" s="24"/>
      <c r="Q105" s="35"/>
      <c r="S105" s="241"/>
    </row>
    <row r="106" spans="2:19" x14ac:dyDescent="0.3">
      <c r="B106" s="61"/>
      <c r="C106" s="66" t="s">
        <v>289</v>
      </c>
      <c r="D106" s="51" t="s">
        <v>284</v>
      </c>
      <c r="E106" s="81"/>
      <c r="F106" s="81"/>
      <c r="G106" s="81"/>
      <c r="H106" s="91">
        <f t="shared" ref="H106:O106" si="30">H103+H104+H105</f>
        <v>0</v>
      </c>
      <c r="I106" s="91">
        <f t="shared" si="30"/>
        <v>0</v>
      </c>
      <c r="J106" s="91">
        <f t="shared" si="30"/>
        <v>0</v>
      </c>
      <c r="K106" s="91">
        <f t="shared" si="30"/>
        <v>0</v>
      </c>
      <c r="L106" s="91">
        <f t="shared" si="30"/>
        <v>0</v>
      </c>
      <c r="M106" s="91">
        <f t="shared" si="30"/>
        <v>0</v>
      </c>
      <c r="N106" s="91">
        <f t="shared" si="30"/>
        <v>0</v>
      </c>
      <c r="O106" s="91">
        <f t="shared" si="30"/>
        <v>0</v>
      </c>
      <c r="Q106" s="35"/>
      <c r="S106" s="241"/>
    </row>
    <row r="107" spans="2:19" x14ac:dyDescent="0.3">
      <c r="B107" s="61"/>
      <c r="C107" s="66" t="s">
        <v>290</v>
      </c>
      <c r="D107" s="51" t="s">
        <v>284</v>
      </c>
      <c r="E107" s="81"/>
      <c r="F107" s="81"/>
      <c r="G107" s="81"/>
      <c r="H107" s="91">
        <f>H104+H105</f>
        <v>0</v>
      </c>
      <c r="I107" s="91">
        <f t="shared" ref="I107:O107" si="31">I104+I105</f>
        <v>0</v>
      </c>
      <c r="J107" s="91">
        <f t="shared" si="31"/>
        <v>0</v>
      </c>
      <c r="K107" s="91">
        <f t="shared" si="31"/>
        <v>0</v>
      </c>
      <c r="L107" s="91">
        <f t="shared" si="31"/>
        <v>0</v>
      </c>
      <c r="M107" s="91">
        <f t="shared" si="31"/>
        <v>0</v>
      </c>
      <c r="N107" s="91">
        <f t="shared" si="31"/>
        <v>0</v>
      </c>
      <c r="O107" s="91">
        <f t="shared" si="31"/>
        <v>0</v>
      </c>
      <c r="Q107" s="35"/>
      <c r="S107" s="241"/>
    </row>
    <row r="108" spans="2:19" x14ac:dyDescent="0.3">
      <c r="B108" s="61"/>
      <c r="Q108" s="35"/>
      <c r="S108" s="241"/>
    </row>
    <row r="109" spans="2:19" x14ac:dyDescent="0.3">
      <c r="B109" s="35"/>
      <c r="C109" s="145" t="s">
        <v>292</v>
      </c>
      <c r="D109" s="56"/>
      <c r="E109" s="37">
        <f>F109-1</f>
        <v>2022</v>
      </c>
      <c r="F109" s="37">
        <f>G109-1</f>
        <v>2023</v>
      </c>
      <c r="G109" s="57">
        <f>'Date generale'!$D$8</f>
        <v>2024</v>
      </c>
      <c r="H109" s="58">
        <f t="shared" ref="H109:O109" si="32">G109+1</f>
        <v>2025</v>
      </c>
      <c r="I109" s="58">
        <f t="shared" si="32"/>
        <v>2026</v>
      </c>
      <c r="J109" s="58">
        <f t="shared" si="32"/>
        <v>2027</v>
      </c>
      <c r="K109" s="58">
        <f t="shared" si="32"/>
        <v>2028</v>
      </c>
      <c r="L109" s="58">
        <f t="shared" si="32"/>
        <v>2029</v>
      </c>
      <c r="M109" s="58">
        <f t="shared" si="32"/>
        <v>2030</v>
      </c>
      <c r="N109" s="58">
        <f t="shared" si="32"/>
        <v>2031</v>
      </c>
      <c r="O109" s="58">
        <f t="shared" si="32"/>
        <v>2032</v>
      </c>
      <c r="P109" s="22"/>
      <c r="Q109" s="35"/>
      <c r="S109" s="241"/>
    </row>
    <row r="110" spans="2:19" x14ac:dyDescent="0.3">
      <c r="B110" s="23"/>
      <c r="C110" s="59"/>
      <c r="D110" s="59"/>
      <c r="E110" s="27">
        <f>F110-1</f>
        <v>-3</v>
      </c>
      <c r="F110" s="27">
        <f>G110-1</f>
        <v>-2</v>
      </c>
      <c r="G110" s="60">
        <v>-1</v>
      </c>
      <c r="H110" s="60">
        <v>0</v>
      </c>
      <c r="I110" s="60">
        <f t="shared" ref="I110:O110" si="33">H110+1</f>
        <v>1</v>
      </c>
      <c r="J110" s="60">
        <f t="shared" si="33"/>
        <v>2</v>
      </c>
      <c r="K110" s="60">
        <f t="shared" si="33"/>
        <v>3</v>
      </c>
      <c r="L110" s="60">
        <f t="shared" si="33"/>
        <v>4</v>
      </c>
      <c r="M110" s="60">
        <f t="shared" si="33"/>
        <v>5</v>
      </c>
      <c r="N110" s="60">
        <f t="shared" si="33"/>
        <v>6</v>
      </c>
      <c r="O110" s="60">
        <f t="shared" si="33"/>
        <v>7</v>
      </c>
      <c r="Q110" s="35"/>
      <c r="S110" s="241"/>
    </row>
    <row r="111" spans="2:19" x14ac:dyDescent="0.3">
      <c r="B111" s="61"/>
      <c r="C111" s="42"/>
      <c r="D111" s="51"/>
      <c r="E111" s="62"/>
      <c r="F111" s="62"/>
      <c r="G111" s="62"/>
      <c r="H111" s="62"/>
      <c r="I111" s="62"/>
      <c r="J111" s="62"/>
      <c r="K111" s="62"/>
      <c r="L111" s="62"/>
      <c r="M111" s="62"/>
      <c r="N111" s="62"/>
      <c r="O111" s="62"/>
      <c r="P111" s="24"/>
      <c r="Q111" s="35"/>
      <c r="S111" s="241"/>
    </row>
    <row r="112" spans="2:19" x14ac:dyDescent="0.3">
      <c r="B112" s="61"/>
      <c r="C112" s="50" t="s">
        <v>283</v>
      </c>
      <c r="D112" s="43" t="s">
        <v>284</v>
      </c>
      <c r="E112" s="62"/>
      <c r="F112" s="62"/>
      <c r="G112" s="87">
        <v>0</v>
      </c>
      <c r="H112" s="62">
        <f t="shared" ref="H112:O112" si="34">G112+H113-H114</f>
        <v>0</v>
      </c>
      <c r="I112" s="62">
        <f t="shared" si="34"/>
        <v>0</v>
      </c>
      <c r="J112" s="62">
        <f t="shared" si="34"/>
        <v>0</v>
      </c>
      <c r="K112" s="62">
        <f t="shared" si="34"/>
        <v>0</v>
      </c>
      <c r="L112" s="62">
        <f t="shared" si="34"/>
        <v>0</v>
      </c>
      <c r="M112" s="62">
        <f t="shared" si="34"/>
        <v>0</v>
      </c>
      <c r="N112" s="62">
        <f t="shared" si="34"/>
        <v>0</v>
      </c>
      <c r="O112" s="62">
        <f t="shared" si="34"/>
        <v>0</v>
      </c>
      <c r="P112" s="24"/>
      <c r="Q112" s="35"/>
      <c r="S112" s="241"/>
    </row>
    <row r="113" spans="2:19" x14ac:dyDescent="0.3">
      <c r="B113" s="61"/>
      <c r="C113" s="50" t="s">
        <v>285</v>
      </c>
      <c r="D113" s="43" t="s">
        <v>284</v>
      </c>
      <c r="E113" s="62"/>
      <c r="F113" s="62"/>
      <c r="G113" s="62"/>
      <c r="H113" s="87"/>
      <c r="I113" s="87">
        <v>0</v>
      </c>
      <c r="J113" s="87">
        <v>0</v>
      </c>
      <c r="K113" s="87">
        <v>0</v>
      </c>
      <c r="L113" s="87">
        <v>0</v>
      </c>
      <c r="M113" s="87">
        <v>0</v>
      </c>
      <c r="N113" s="87">
        <v>0</v>
      </c>
      <c r="O113" s="87">
        <v>0</v>
      </c>
      <c r="P113" s="24"/>
      <c r="Q113" s="35"/>
      <c r="S113" s="241"/>
    </row>
    <row r="114" spans="2:19" x14ac:dyDescent="0.3">
      <c r="B114" s="61"/>
      <c r="C114" s="50" t="s">
        <v>286</v>
      </c>
      <c r="D114" s="43" t="s">
        <v>284</v>
      </c>
      <c r="E114" s="62"/>
      <c r="F114" s="62"/>
      <c r="G114" s="62"/>
      <c r="H114" s="87">
        <v>0</v>
      </c>
      <c r="I114" s="87">
        <v>0</v>
      </c>
      <c r="J114" s="87">
        <v>0</v>
      </c>
      <c r="K114" s="87">
        <v>0</v>
      </c>
      <c r="L114" s="87">
        <v>0</v>
      </c>
      <c r="M114" s="87">
        <v>0</v>
      </c>
      <c r="N114" s="87">
        <v>0</v>
      </c>
      <c r="O114" s="87">
        <v>0</v>
      </c>
      <c r="P114" s="24"/>
      <c r="Q114" s="35"/>
      <c r="S114" s="241"/>
    </row>
    <row r="115" spans="2:19" x14ac:dyDescent="0.3">
      <c r="B115" s="61"/>
      <c r="C115" s="50" t="s">
        <v>287</v>
      </c>
      <c r="D115" s="43" t="s">
        <v>284</v>
      </c>
      <c r="E115" s="93">
        <v>0</v>
      </c>
      <c r="F115" s="62"/>
      <c r="G115" s="62"/>
      <c r="H115" s="88">
        <f>AVERAGE(G112:H112)*$E$115</f>
        <v>0</v>
      </c>
      <c r="I115" s="88">
        <f t="shared" ref="I115:O115" si="35">AVERAGE(H112:I112)*$E$115</f>
        <v>0</v>
      </c>
      <c r="J115" s="88">
        <f t="shared" si="35"/>
        <v>0</v>
      </c>
      <c r="K115" s="88">
        <f t="shared" si="35"/>
        <v>0</v>
      </c>
      <c r="L115" s="88">
        <f t="shared" si="35"/>
        <v>0</v>
      </c>
      <c r="M115" s="88">
        <f t="shared" si="35"/>
        <v>0</v>
      </c>
      <c r="N115" s="88">
        <f t="shared" si="35"/>
        <v>0</v>
      </c>
      <c r="O115" s="88">
        <f t="shared" si="35"/>
        <v>0</v>
      </c>
      <c r="P115" s="24"/>
      <c r="Q115" s="35"/>
      <c r="S115" s="241"/>
    </row>
    <row r="116" spans="2:19" x14ac:dyDescent="0.3">
      <c r="B116" s="61"/>
      <c r="C116" s="50" t="s">
        <v>288</v>
      </c>
      <c r="D116" s="43" t="s">
        <v>284</v>
      </c>
      <c r="E116" s="62"/>
      <c r="F116" s="62"/>
      <c r="G116" s="62"/>
      <c r="H116" s="87">
        <v>0</v>
      </c>
      <c r="I116" s="87">
        <v>0</v>
      </c>
      <c r="J116" s="87">
        <v>0</v>
      </c>
      <c r="K116" s="87">
        <v>0</v>
      </c>
      <c r="L116" s="87">
        <v>0</v>
      </c>
      <c r="M116" s="87">
        <v>0</v>
      </c>
      <c r="N116" s="87">
        <v>0</v>
      </c>
      <c r="O116" s="87">
        <v>0</v>
      </c>
      <c r="P116" s="24"/>
      <c r="Q116" s="35"/>
      <c r="S116" s="241"/>
    </row>
    <row r="117" spans="2:19" x14ac:dyDescent="0.3">
      <c r="B117" s="61"/>
      <c r="C117" s="66" t="s">
        <v>289</v>
      </c>
      <c r="D117" s="51" t="s">
        <v>284</v>
      </c>
      <c r="E117" s="81"/>
      <c r="F117" s="81"/>
      <c r="G117" s="81"/>
      <c r="H117" s="91">
        <f t="shared" ref="H117:O117" si="36">H114+H115+H116</f>
        <v>0</v>
      </c>
      <c r="I117" s="91">
        <f t="shared" si="36"/>
        <v>0</v>
      </c>
      <c r="J117" s="91">
        <f t="shared" si="36"/>
        <v>0</v>
      </c>
      <c r="K117" s="91">
        <f t="shared" si="36"/>
        <v>0</v>
      </c>
      <c r="L117" s="91">
        <f t="shared" si="36"/>
        <v>0</v>
      </c>
      <c r="M117" s="91">
        <f t="shared" si="36"/>
        <v>0</v>
      </c>
      <c r="N117" s="91">
        <f t="shared" si="36"/>
        <v>0</v>
      </c>
      <c r="O117" s="91">
        <f t="shared" si="36"/>
        <v>0</v>
      </c>
      <c r="Q117" s="35"/>
      <c r="S117" s="241"/>
    </row>
    <row r="118" spans="2:19" x14ac:dyDescent="0.3">
      <c r="B118" s="61"/>
      <c r="C118" s="66" t="s">
        <v>290</v>
      </c>
      <c r="D118" s="51" t="s">
        <v>284</v>
      </c>
      <c r="E118" s="81"/>
      <c r="F118" s="81"/>
      <c r="G118" s="81"/>
      <c r="H118" s="91">
        <f>H115+H116</f>
        <v>0</v>
      </c>
      <c r="I118" s="91">
        <f t="shared" ref="I118:O118" si="37">I115+I116</f>
        <v>0</v>
      </c>
      <c r="J118" s="91">
        <f t="shared" si="37"/>
        <v>0</v>
      </c>
      <c r="K118" s="91">
        <f t="shared" si="37"/>
        <v>0</v>
      </c>
      <c r="L118" s="91">
        <f t="shared" si="37"/>
        <v>0</v>
      </c>
      <c r="M118" s="91">
        <f t="shared" si="37"/>
        <v>0</v>
      </c>
      <c r="N118" s="91">
        <f t="shared" si="37"/>
        <v>0</v>
      </c>
      <c r="O118" s="91">
        <f t="shared" si="37"/>
        <v>0</v>
      </c>
      <c r="Q118" s="35"/>
      <c r="S118" s="241"/>
    </row>
    <row r="119" spans="2:19" x14ac:dyDescent="0.3">
      <c r="B119" s="61"/>
      <c r="Q119" s="35"/>
      <c r="S119" s="241"/>
    </row>
    <row r="120" spans="2:19" x14ac:dyDescent="0.3">
      <c r="B120" s="35"/>
      <c r="C120" s="145" t="s">
        <v>293</v>
      </c>
      <c r="D120" s="56"/>
      <c r="E120" s="37">
        <f>F120-1</f>
        <v>2022</v>
      </c>
      <c r="F120" s="37">
        <f>G120-1</f>
        <v>2023</v>
      </c>
      <c r="G120" s="57">
        <f>'Date generale'!$D$8</f>
        <v>2024</v>
      </c>
      <c r="H120" s="58">
        <f t="shared" ref="H120:O120" si="38">G120+1</f>
        <v>2025</v>
      </c>
      <c r="I120" s="58">
        <f t="shared" si="38"/>
        <v>2026</v>
      </c>
      <c r="J120" s="58">
        <f t="shared" si="38"/>
        <v>2027</v>
      </c>
      <c r="K120" s="58">
        <f t="shared" si="38"/>
        <v>2028</v>
      </c>
      <c r="L120" s="58">
        <f t="shared" si="38"/>
        <v>2029</v>
      </c>
      <c r="M120" s="58">
        <f t="shared" si="38"/>
        <v>2030</v>
      </c>
      <c r="N120" s="58">
        <f t="shared" si="38"/>
        <v>2031</v>
      </c>
      <c r="O120" s="58">
        <f t="shared" si="38"/>
        <v>2032</v>
      </c>
      <c r="P120" s="22"/>
      <c r="Q120" s="35"/>
      <c r="S120" s="241"/>
    </row>
    <row r="121" spans="2:19" x14ac:dyDescent="0.3">
      <c r="B121" s="23"/>
      <c r="C121" s="59"/>
      <c r="D121" s="59"/>
      <c r="E121" s="27">
        <f>F121-1</f>
        <v>-3</v>
      </c>
      <c r="F121" s="27">
        <f>G121-1</f>
        <v>-2</v>
      </c>
      <c r="G121" s="60">
        <v>-1</v>
      </c>
      <c r="H121" s="60">
        <v>0</v>
      </c>
      <c r="I121" s="60">
        <f t="shared" ref="I121:O121" si="39">H121+1</f>
        <v>1</v>
      </c>
      <c r="J121" s="60">
        <f t="shared" si="39"/>
        <v>2</v>
      </c>
      <c r="K121" s="60">
        <f t="shared" si="39"/>
        <v>3</v>
      </c>
      <c r="L121" s="60">
        <f t="shared" si="39"/>
        <v>4</v>
      </c>
      <c r="M121" s="60">
        <f t="shared" si="39"/>
        <v>5</v>
      </c>
      <c r="N121" s="60">
        <f t="shared" si="39"/>
        <v>6</v>
      </c>
      <c r="O121" s="60">
        <f t="shared" si="39"/>
        <v>7</v>
      </c>
      <c r="Q121" s="35"/>
      <c r="S121" s="241"/>
    </row>
    <row r="122" spans="2:19" x14ac:dyDescent="0.3">
      <c r="B122" s="61"/>
      <c r="C122" s="42"/>
      <c r="D122" s="51"/>
      <c r="E122" s="62"/>
      <c r="F122" s="62"/>
      <c r="G122" s="62"/>
      <c r="H122" s="62"/>
      <c r="I122" s="62"/>
      <c r="J122" s="62"/>
      <c r="K122" s="62"/>
      <c r="L122" s="62"/>
      <c r="M122" s="62"/>
      <c r="N122" s="62"/>
      <c r="O122" s="62"/>
      <c r="P122" s="24"/>
      <c r="Q122" s="35"/>
      <c r="S122" s="241"/>
    </row>
    <row r="123" spans="2:19" x14ac:dyDescent="0.3">
      <c r="B123" s="61"/>
      <c r="C123" s="50" t="s">
        <v>283</v>
      </c>
      <c r="D123" s="43" t="s">
        <v>284</v>
      </c>
      <c r="E123" s="62"/>
      <c r="F123" s="62"/>
      <c r="G123" s="87">
        <v>0</v>
      </c>
      <c r="H123" s="62">
        <f t="shared" ref="H123:O123" si="40">G123+H124-H125</f>
        <v>0</v>
      </c>
      <c r="I123" s="62">
        <f t="shared" si="40"/>
        <v>0</v>
      </c>
      <c r="J123" s="62">
        <f t="shared" si="40"/>
        <v>0</v>
      </c>
      <c r="K123" s="62">
        <f t="shared" si="40"/>
        <v>0</v>
      </c>
      <c r="L123" s="62">
        <f t="shared" si="40"/>
        <v>0</v>
      </c>
      <c r="M123" s="62">
        <f t="shared" si="40"/>
        <v>0</v>
      </c>
      <c r="N123" s="62">
        <f t="shared" si="40"/>
        <v>0</v>
      </c>
      <c r="O123" s="62">
        <f t="shared" si="40"/>
        <v>0</v>
      </c>
      <c r="P123" s="24"/>
      <c r="Q123" s="35"/>
      <c r="S123" s="241"/>
    </row>
    <row r="124" spans="2:19" x14ac:dyDescent="0.3">
      <c r="B124" s="61"/>
      <c r="C124" s="50" t="s">
        <v>285</v>
      </c>
      <c r="D124" s="43" t="s">
        <v>284</v>
      </c>
      <c r="E124" s="102"/>
      <c r="F124" s="62"/>
      <c r="G124" s="62"/>
      <c r="H124" s="87">
        <v>0</v>
      </c>
      <c r="I124" s="87">
        <v>0</v>
      </c>
      <c r="J124" s="87">
        <v>0</v>
      </c>
      <c r="K124" s="87">
        <v>0</v>
      </c>
      <c r="L124" s="87">
        <v>0</v>
      </c>
      <c r="M124" s="87">
        <v>0</v>
      </c>
      <c r="N124" s="87">
        <v>0</v>
      </c>
      <c r="O124" s="87">
        <v>0</v>
      </c>
      <c r="P124" s="24"/>
      <c r="Q124" s="35"/>
      <c r="S124" s="241"/>
    </row>
    <row r="125" spans="2:19" x14ac:dyDescent="0.3">
      <c r="B125" s="61"/>
      <c r="C125" s="50" t="s">
        <v>286</v>
      </c>
      <c r="D125" s="43" t="s">
        <v>284</v>
      </c>
      <c r="E125" s="62"/>
      <c r="F125" s="62"/>
      <c r="G125" s="62"/>
      <c r="H125" s="87">
        <v>0</v>
      </c>
      <c r="I125" s="87">
        <v>0</v>
      </c>
      <c r="J125" s="87">
        <v>0</v>
      </c>
      <c r="K125" s="87">
        <v>0</v>
      </c>
      <c r="L125" s="87">
        <v>0</v>
      </c>
      <c r="M125" s="87">
        <v>0</v>
      </c>
      <c r="N125" s="87">
        <v>0</v>
      </c>
      <c r="O125" s="87">
        <v>0</v>
      </c>
      <c r="P125" s="24"/>
      <c r="Q125" s="35"/>
      <c r="S125" s="241"/>
    </row>
    <row r="126" spans="2:19" x14ac:dyDescent="0.3">
      <c r="B126" s="61"/>
      <c r="C126" s="50" t="s">
        <v>287</v>
      </c>
      <c r="D126" s="43" t="s">
        <v>284</v>
      </c>
      <c r="E126" s="93">
        <v>0</v>
      </c>
      <c r="F126" s="62"/>
      <c r="G126" s="62"/>
      <c r="H126" s="88">
        <f>AVERAGE(G123:H123)*$E$126</f>
        <v>0</v>
      </c>
      <c r="I126" s="88">
        <f t="shared" ref="I126:O126" si="41">AVERAGE(H123:I123)*$E$126</f>
        <v>0</v>
      </c>
      <c r="J126" s="88">
        <f t="shared" si="41"/>
        <v>0</v>
      </c>
      <c r="K126" s="88">
        <f t="shared" si="41"/>
        <v>0</v>
      </c>
      <c r="L126" s="88">
        <f t="shared" si="41"/>
        <v>0</v>
      </c>
      <c r="M126" s="88">
        <f t="shared" si="41"/>
        <v>0</v>
      </c>
      <c r="N126" s="88">
        <f t="shared" si="41"/>
        <v>0</v>
      </c>
      <c r="O126" s="88">
        <f t="shared" si="41"/>
        <v>0</v>
      </c>
      <c r="P126" s="24"/>
      <c r="Q126" s="35"/>
      <c r="S126" s="241"/>
    </row>
    <row r="127" spans="2:19" x14ac:dyDescent="0.3">
      <c r="B127" s="61"/>
      <c r="C127" s="50" t="s">
        <v>288</v>
      </c>
      <c r="D127" s="43" t="s">
        <v>284</v>
      </c>
      <c r="E127" s="62"/>
      <c r="F127" s="62"/>
      <c r="G127" s="62"/>
      <c r="H127" s="87">
        <v>0</v>
      </c>
      <c r="I127" s="87">
        <v>0</v>
      </c>
      <c r="J127" s="87">
        <v>0</v>
      </c>
      <c r="K127" s="87">
        <v>0</v>
      </c>
      <c r="L127" s="87">
        <v>0</v>
      </c>
      <c r="M127" s="87">
        <v>0</v>
      </c>
      <c r="N127" s="87">
        <v>0</v>
      </c>
      <c r="O127" s="87">
        <v>0</v>
      </c>
      <c r="P127" s="24"/>
      <c r="Q127" s="35"/>
      <c r="S127" s="241"/>
    </row>
    <row r="128" spans="2:19" x14ac:dyDescent="0.3">
      <c r="B128" s="61"/>
      <c r="C128" s="66" t="s">
        <v>289</v>
      </c>
      <c r="D128" s="51" t="s">
        <v>284</v>
      </c>
      <c r="E128" s="81"/>
      <c r="F128" s="81"/>
      <c r="G128" s="81"/>
      <c r="H128" s="91">
        <f t="shared" ref="H128:O128" si="42">H125+H126+H127</f>
        <v>0</v>
      </c>
      <c r="I128" s="91">
        <f t="shared" si="42"/>
        <v>0</v>
      </c>
      <c r="J128" s="91">
        <f t="shared" si="42"/>
        <v>0</v>
      </c>
      <c r="K128" s="91">
        <f t="shared" si="42"/>
        <v>0</v>
      </c>
      <c r="L128" s="91">
        <f t="shared" si="42"/>
        <v>0</v>
      </c>
      <c r="M128" s="91">
        <f t="shared" si="42"/>
        <v>0</v>
      </c>
      <c r="N128" s="91">
        <f t="shared" si="42"/>
        <v>0</v>
      </c>
      <c r="O128" s="91">
        <f t="shared" si="42"/>
        <v>0</v>
      </c>
      <c r="Q128" s="35"/>
      <c r="S128" s="241"/>
    </row>
    <row r="129" spans="2:19" x14ac:dyDescent="0.3">
      <c r="B129" s="61"/>
      <c r="C129" s="66" t="s">
        <v>290</v>
      </c>
      <c r="D129" s="51" t="s">
        <v>284</v>
      </c>
      <c r="E129" s="81"/>
      <c r="F129" s="81"/>
      <c r="G129" s="81"/>
      <c r="H129" s="91">
        <f>H126+H127</f>
        <v>0</v>
      </c>
      <c r="I129" s="91">
        <f t="shared" ref="I129:O129" si="43">I126+I127</f>
        <v>0</v>
      </c>
      <c r="J129" s="91">
        <f t="shared" si="43"/>
        <v>0</v>
      </c>
      <c r="K129" s="91">
        <f t="shared" si="43"/>
        <v>0</v>
      </c>
      <c r="L129" s="91">
        <f t="shared" si="43"/>
        <v>0</v>
      </c>
      <c r="M129" s="91">
        <f t="shared" si="43"/>
        <v>0</v>
      </c>
      <c r="N129" s="91">
        <f t="shared" si="43"/>
        <v>0</v>
      </c>
      <c r="O129" s="91">
        <f t="shared" si="43"/>
        <v>0</v>
      </c>
      <c r="Q129" s="35"/>
      <c r="S129" s="241"/>
    </row>
    <row r="130" spans="2:19" x14ac:dyDescent="0.3">
      <c r="B130" s="61"/>
      <c r="Q130" s="35"/>
      <c r="S130" s="241"/>
    </row>
    <row r="131" spans="2:19" x14ac:dyDescent="0.3">
      <c r="B131" s="35"/>
      <c r="C131" s="145" t="s">
        <v>294</v>
      </c>
      <c r="D131" s="56"/>
      <c r="E131" s="37">
        <f>F131-1</f>
        <v>2022</v>
      </c>
      <c r="F131" s="37">
        <f>G131-1</f>
        <v>2023</v>
      </c>
      <c r="G131" s="57">
        <f>'Date generale'!$D$8</f>
        <v>2024</v>
      </c>
      <c r="H131" s="58">
        <f t="shared" ref="H131:O131" si="44">G131+1</f>
        <v>2025</v>
      </c>
      <c r="I131" s="58">
        <f t="shared" si="44"/>
        <v>2026</v>
      </c>
      <c r="J131" s="58">
        <f t="shared" si="44"/>
        <v>2027</v>
      </c>
      <c r="K131" s="58">
        <f t="shared" si="44"/>
        <v>2028</v>
      </c>
      <c r="L131" s="58">
        <f t="shared" si="44"/>
        <v>2029</v>
      </c>
      <c r="M131" s="58">
        <f t="shared" si="44"/>
        <v>2030</v>
      </c>
      <c r="N131" s="58">
        <f t="shared" si="44"/>
        <v>2031</v>
      </c>
      <c r="O131" s="58">
        <f t="shared" si="44"/>
        <v>2032</v>
      </c>
      <c r="P131" s="22"/>
      <c r="Q131" s="35"/>
      <c r="S131" s="241"/>
    </row>
    <row r="132" spans="2:19" x14ac:dyDescent="0.3">
      <c r="B132" s="23"/>
      <c r="C132" s="59"/>
      <c r="D132" s="59"/>
      <c r="E132" s="27">
        <f>F132-1</f>
        <v>-3</v>
      </c>
      <c r="F132" s="27">
        <f>G132-1</f>
        <v>-2</v>
      </c>
      <c r="G132" s="60">
        <v>-1</v>
      </c>
      <c r="H132" s="60">
        <v>0</v>
      </c>
      <c r="I132" s="60">
        <f t="shared" ref="I132:O132" si="45">H132+1</f>
        <v>1</v>
      </c>
      <c r="J132" s="60">
        <f t="shared" si="45"/>
        <v>2</v>
      </c>
      <c r="K132" s="60">
        <f t="shared" si="45"/>
        <v>3</v>
      </c>
      <c r="L132" s="60">
        <f t="shared" si="45"/>
        <v>4</v>
      </c>
      <c r="M132" s="60">
        <f t="shared" si="45"/>
        <v>5</v>
      </c>
      <c r="N132" s="60">
        <f t="shared" si="45"/>
        <v>6</v>
      </c>
      <c r="O132" s="60">
        <f t="shared" si="45"/>
        <v>7</v>
      </c>
      <c r="Q132" s="35"/>
      <c r="S132" s="241"/>
    </row>
    <row r="133" spans="2:19" x14ac:dyDescent="0.3">
      <c r="B133" s="61"/>
      <c r="C133" s="42"/>
      <c r="D133" s="51"/>
      <c r="E133" s="62"/>
      <c r="F133" s="62"/>
      <c r="G133" s="62"/>
      <c r="H133" s="62"/>
      <c r="I133" s="62"/>
      <c r="J133" s="62"/>
      <c r="K133" s="62"/>
      <c r="L133" s="62"/>
      <c r="M133" s="62"/>
      <c r="N133" s="62"/>
      <c r="O133" s="62"/>
      <c r="P133" s="24"/>
      <c r="Q133" s="35"/>
      <c r="S133" s="241"/>
    </row>
    <row r="134" spans="2:19" x14ac:dyDescent="0.3">
      <c r="B134" s="61"/>
      <c r="C134" s="50" t="s">
        <v>283</v>
      </c>
      <c r="D134" s="43" t="s">
        <v>284</v>
      </c>
      <c r="E134" s="62"/>
      <c r="F134" s="62"/>
      <c r="G134" s="87">
        <v>0</v>
      </c>
      <c r="H134" s="62">
        <f t="shared" ref="H134:O134" si="46">G134+H135-H136</f>
        <v>0</v>
      </c>
      <c r="I134" s="62">
        <f t="shared" si="46"/>
        <v>0</v>
      </c>
      <c r="J134" s="62">
        <f t="shared" si="46"/>
        <v>0</v>
      </c>
      <c r="K134" s="62">
        <f t="shared" si="46"/>
        <v>0</v>
      </c>
      <c r="L134" s="62">
        <f t="shared" si="46"/>
        <v>0</v>
      </c>
      <c r="M134" s="62">
        <f t="shared" si="46"/>
        <v>0</v>
      </c>
      <c r="N134" s="62">
        <f t="shared" si="46"/>
        <v>0</v>
      </c>
      <c r="O134" s="62">
        <f t="shared" si="46"/>
        <v>0</v>
      </c>
      <c r="P134" s="24"/>
      <c r="Q134" s="35"/>
      <c r="S134" s="241"/>
    </row>
    <row r="135" spans="2:19" x14ac:dyDescent="0.3">
      <c r="B135" s="61"/>
      <c r="C135" s="50" t="s">
        <v>285</v>
      </c>
      <c r="D135" s="43" t="s">
        <v>284</v>
      </c>
      <c r="E135" s="62"/>
      <c r="F135" s="62"/>
      <c r="G135" s="62"/>
      <c r="H135" s="87">
        <v>0</v>
      </c>
      <c r="I135" s="87">
        <v>0</v>
      </c>
      <c r="J135" s="87">
        <v>0</v>
      </c>
      <c r="K135" s="87">
        <v>0</v>
      </c>
      <c r="L135" s="87">
        <v>0</v>
      </c>
      <c r="M135" s="87">
        <v>0</v>
      </c>
      <c r="N135" s="87">
        <v>0</v>
      </c>
      <c r="O135" s="87">
        <v>0</v>
      </c>
      <c r="P135" s="24"/>
      <c r="Q135" s="35"/>
      <c r="S135" s="241"/>
    </row>
    <row r="136" spans="2:19" x14ac:dyDescent="0.3">
      <c r="B136" s="61"/>
      <c r="C136" s="50" t="s">
        <v>286</v>
      </c>
      <c r="D136" s="43" t="s">
        <v>284</v>
      </c>
      <c r="E136" s="62"/>
      <c r="F136" s="62"/>
      <c r="G136" s="62"/>
      <c r="H136" s="87">
        <v>0</v>
      </c>
      <c r="I136" s="87">
        <v>0</v>
      </c>
      <c r="J136" s="87">
        <v>0</v>
      </c>
      <c r="K136" s="87">
        <v>0</v>
      </c>
      <c r="L136" s="87">
        <v>0</v>
      </c>
      <c r="M136" s="87">
        <v>0</v>
      </c>
      <c r="N136" s="87">
        <v>0</v>
      </c>
      <c r="O136" s="87">
        <v>0</v>
      </c>
      <c r="P136" s="24"/>
      <c r="Q136" s="35"/>
      <c r="S136" s="241"/>
    </row>
    <row r="137" spans="2:19" x14ac:dyDescent="0.3">
      <c r="B137" s="61"/>
      <c r="C137" s="50" t="s">
        <v>287</v>
      </c>
      <c r="D137" s="43" t="s">
        <v>284</v>
      </c>
      <c r="E137" s="93">
        <v>0</v>
      </c>
      <c r="F137" s="62"/>
      <c r="G137" s="62"/>
      <c r="H137" s="88">
        <f>AVERAGE(G134:H134)*$E$137</f>
        <v>0</v>
      </c>
      <c r="I137" s="88">
        <f t="shared" ref="I137:O137" si="47">AVERAGE(H134:I134)*$E$137</f>
        <v>0</v>
      </c>
      <c r="J137" s="88">
        <f t="shared" si="47"/>
        <v>0</v>
      </c>
      <c r="K137" s="88">
        <f t="shared" si="47"/>
        <v>0</v>
      </c>
      <c r="L137" s="88">
        <f t="shared" si="47"/>
        <v>0</v>
      </c>
      <c r="M137" s="88">
        <f t="shared" si="47"/>
        <v>0</v>
      </c>
      <c r="N137" s="88">
        <f t="shared" si="47"/>
        <v>0</v>
      </c>
      <c r="O137" s="88">
        <f t="shared" si="47"/>
        <v>0</v>
      </c>
      <c r="P137" s="24"/>
      <c r="Q137" s="35"/>
      <c r="S137" s="241"/>
    </row>
    <row r="138" spans="2:19" x14ac:dyDescent="0.3">
      <c r="B138" s="61"/>
      <c r="C138" s="50" t="s">
        <v>288</v>
      </c>
      <c r="D138" s="43" t="s">
        <v>284</v>
      </c>
      <c r="E138" s="62"/>
      <c r="F138" s="62"/>
      <c r="G138" s="62"/>
      <c r="H138" s="87">
        <v>0</v>
      </c>
      <c r="I138" s="87">
        <v>0</v>
      </c>
      <c r="J138" s="87">
        <v>0</v>
      </c>
      <c r="K138" s="87">
        <v>0</v>
      </c>
      <c r="L138" s="87">
        <v>0</v>
      </c>
      <c r="M138" s="87">
        <v>0</v>
      </c>
      <c r="N138" s="87">
        <v>0</v>
      </c>
      <c r="O138" s="87">
        <v>0</v>
      </c>
      <c r="P138" s="24"/>
      <c r="Q138" s="35"/>
      <c r="S138" s="241"/>
    </row>
    <row r="139" spans="2:19" x14ac:dyDescent="0.3">
      <c r="B139" s="61"/>
      <c r="C139" s="66" t="s">
        <v>289</v>
      </c>
      <c r="D139" s="51" t="s">
        <v>284</v>
      </c>
      <c r="E139" s="81"/>
      <c r="F139" s="81"/>
      <c r="G139" s="81"/>
      <c r="H139" s="91">
        <f t="shared" ref="H139:O139" si="48">H136+H137+H138</f>
        <v>0</v>
      </c>
      <c r="I139" s="91">
        <f t="shared" si="48"/>
        <v>0</v>
      </c>
      <c r="J139" s="91">
        <f t="shared" si="48"/>
        <v>0</v>
      </c>
      <c r="K139" s="91">
        <f t="shared" si="48"/>
        <v>0</v>
      </c>
      <c r="L139" s="91">
        <f t="shared" si="48"/>
        <v>0</v>
      </c>
      <c r="M139" s="91">
        <f t="shared" si="48"/>
        <v>0</v>
      </c>
      <c r="N139" s="91">
        <f t="shared" si="48"/>
        <v>0</v>
      </c>
      <c r="O139" s="91">
        <f t="shared" si="48"/>
        <v>0</v>
      </c>
      <c r="Q139" s="35"/>
      <c r="S139" s="241"/>
    </row>
    <row r="140" spans="2:19" x14ac:dyDescent="0.3">
      <c r="B140" s="61"/>
      <c r="C140" s="66" t="s">
        <v>290</v>
      </c>
      <c r="D140" s="51" t="s">
        <v>284</v>
      </c>
      <c r="E140" s="81"/>
      <c r="F140" s="81"/>
      <c r="G140" s="81"/>
      <c r="H140" s="91">
        <f>H137+H138</f>
        <v>0</v>
      </c>
      <c r="I140" s="91">
        <f t="shared" ref="I140:O140" si="49">I137+I138</f>
        <v>0</v>
      </c>
      <c r="J140" s="91">
        <f t="shared" si="49"/>
        <v>0</v>
      </c>
      <c r="K140" s="91">
        <f t="shared" si="49"/>
        <v>0</v>
      </c>
      <c r="L140" s="91">
        <f t="shared" si="49"/>
        <v>0</v>
      </c>
      <c r="M140" s="91">
        <f t="shared" si="49"/>
        <v>0</v>
      </c>
      <c r="N140" s="91">
        <f t="shared" si="49"/>
        <v>0</v>
      </c>
      <c r="O140" s="91">
        <f t="shared" si="49"/>
        <v>0</v>
      </c>
      <c r="Q140" s="35"/>
      <c r="S140" s="241"/>
    </row>
    <row r="141" spans="2:19" x14ac:dyDescent="0.3">
      <c r="B141" s="61"/>
      <c r="Q141" s="35"/>
    </row>
    <row r="142" spans="2:19" x14ac:dyDescent="0.3">
      <c r="B142" s="35"/>
      <c r="C142" s="56" t="s">
        <v>295</v>
      </c>
      <c r="D142" s="56"/>
      <c r="E142" s="37">
        <f>F142-1</f>
        <v>2022</v>
      </c>
      <c r="F142" s="37">
        <f>G142-1</f>
        <v>2023</v>
      </c>
      <c r="G142" s="57">
        <f>'Date generale'!$D$8</f>
        <v>2024</v>
      </c>
      <c r="H142" s="58">
        <f t="shared" ref="H142:O142" si="50">G142+1</f>
        <v>2025</v>
      </c>
      <c r="I142" s="58">
        <f t="shared" si="50"/>
        <v>2026</v>
      </c>
      <c r="J142" s="58">
        <f t="shared" si="50"/>
        <v>2027</v>
      </c>
      <c r="K142" s="58">
        <f t="shared" si="50"/>
        <v>2028</v>
      </c>
      <c r="L142" s="58">
        <f t="shared" si="50"/>
        <v>2029</v>
      </c>
      <c r="M142" s="58">
        <f t="shared" si="50"/>
        <v>2030</v>
      </c>
      <c r="N142" s="58">
        <f t="shared" si="50"/>
        <v>2031</v>
      </c>
      <c r="O142" s="58">
        <f t="shared" si="50"/>
        <v>2032</v>
      </c>
      <c r="P142" s="22"/>
      <c r="Q142" s="35"/>
      <c r="S142" s="239" t="s">
        <v>296</v>
      </c>
    </row>
    <row r="143" spans="2:19" x14ac:dyDescent="0.3">
      <c r="B143" s="23"/>
      <c r="C143" s="59"/>
      <c r="D143" s="59"/>
      <c r="E143" s="27">
        <f>F143-1</f>
        <v>-3</v>
      </c>
      <c r="F143" s="27">
        <f>G143-1</f>
        <v>-2</v>
      </c>
      <c r="G143" s="60">
        <v>-1</v>
      </c>
      <c r="H143" s="60">
        <v>0</v>
      </c>
      <c r="I143" s="60">
        <f t="shared" ref="I143:O143" si="51">H143+1</f>
        <v>1</v>
      </c>
      <c r="J143" s="60">
        <f t="shared" si="51"/>
        <v>2</v>
      </c>
      <c r="K143" s="60">
        <f t="shared" si="51"/>
        <v>3</v>
      </c>
      <c r="L143" s="60">
        <f t="shared" si="51"/>
        <v>4</v>
      </c>
      <c r="M143" s="60">
        <f t="shared" si="51"/>
        <v>5</v>
      </c>
      <c r="N143" s="60">
        <f t="shared" si="51"/>
        <v>6</v>
      </c>
      <c r="O143" s="60">
        <f t="shared" si="51"/>
        <v>7</v>
      </c>
      <c r="Q143" s="35"/>
      <c r="S143" s="240"/>
    </row>
    <row r="144" spans="2:19" x14ac:dyDescent="0.3">
      <c r="B144" s="23"/>
      <c r="C144" s="14"/>
      <c r="D144" s="14"/>
      <c r="E144" s="14"/>
      <c r="F144" s="14"/>
      <c r="G144" s="14"/>
      <c r="H144" s="14"/>
      <c r="I144" s="14"/>
      <c r="J144" s="14"/>
      <c r="K144" s="14"/>
      <c r="L144" s="14"/>
      <c r="M144" s="14"/>
      <c r="N144" s="14"/>
      <c r="O144" s="14"/>
      <c r="Q144" s="35"/>
      <c r="S144" s="248"/>
    </row>
    <row r="145" spans="2:19" x14ac:dyDescent="0.3">
      <c r="B145" s="23"/>
      <c r="C145" s="14" t="s">
        <v>297</v>
      </c>
      <c r="D145" s="43" t="s">
        <v>284</v>
      </c>
      <c r="E145" s="14"/>
      <c r="F145" s="14"/>
      <c r="G145" s="17">
        <f>G95+G106+G117+G128+G139</f>
        <v>0</v>
      </c>
      <c r="H145" s="17">
        <f t="shared" ref="H145:O145" si="52">H95+H106+H117+H128+H139</f>
        <v>0</v>
      </c>
      <c r="I145" s="17">
        <f t="shared" si="52"/>
        <v>0</v>
      </c>
      <c r="J145" s="17">
        <f t="shared" si="52"/>
        <v>0</v>
      </c>
      <c r="K145" s="17">
        <f t="shared" si="52"/>
        <v>0</v>
      </c>
      <c r="L145" s="17">
        <f t="shared" si="52"/>
        <v>0</v>
      </c>
      <c r="M145" s="17">
        <f t="shared" si="52"/>
        <v>0</v>
      </c>
      <c r="N145" s="17">
        <f t="shared" si="52"/>
        <v>0</v>
      </c>
      <c r="O145" s="17">
        <f t="shared" si="52"/>
        <v>0</v>
      </c>
      <c r="Q145" s="35"/>
      <c r="S145" s="248"/>
    </row>
    <row r="146" spans="2:19" x14ac:dyDescent="0.3">
      <c r="B146" s="23"/>
      <c r="C146" s="14"/>
      <c r="D146" s="14"/>
      <c r="E146" s="14"/>
      <c r="F146" s="14"/>
      <c r="G146" s="14"/>
      <c r="H146" s="14"/>
      <c r="I146" s="14"/>
      <c r="J146" s="14"/>
      <c r="K146" s="14"/>
      <c r="L146" s="14"/>
      <c r="M146" s="14"/>
      <c r="N146" s="14"/>
      <c r="O146" s="14"/>
      <c r="Q146" s="35"/>
      <c r="S146" s="248"/>
    </row>
    <row r="147" spans="2:19" s="22" customFormat="1" ht="28.8" x14ac:dyDescent="0.3">
      <c r="B147" s="35"/>
      <c r="C147" s="40" t="s">
        <v>298</v>
      </c>
      <c r="D147" s="43" t="s">
        <v>284</v>
      </c>
      <c r="E147" s="40"/>
      <c r="F147" s="40"/>
      <c r="G147" s="88">
        <f>G96+G107+G118+G129+G140</f>
        <v>0</v>
      </c>
      <c r="H147" s="88">
        <f>H96+H107+H118+H129+H140</f>
        <v>0</v>
      </c>
      <c r="I147" s="88">
        <f t="shared" ref="I147:O147" si="53">I96+I107+I118+I129+I140</f>
        <v>0</v>
      </c>
      <c r="J147" s="88">
        <f t="shared" si="53"/>
        <v>0</v>
      </c>
      <c r="K147" s="88">
        <f t="shared" si="53"/>
        <v>0</v>
      </c>
      <c r="L147" s="88">
        <f t="shared" si="53"/>
        <v>0</v>
      </c>
      <c r="M147" s="88">
        <f t="shared" si="53"/>
        <v>0</v>
      </c>
      <c r="N147" s="88">
        <f t="shared" si="53"/>
        <v>0</v>
      </c>
      <c r="O147" s="88">
        <f t="shared" si="53"/>
        <v>0</v>
      </c>
      <c r="Q147" s="35"/>
      <c r="S147" s="248"/>
    </row>
    <row r="148" spans="2:19" s="22" customFormat="1" ht="29.4" customHeight="1" x14ac:dyDescent="0.3">
      <c r="B148" s="35"/>
      <c r="C148" s="146" t="str">
        <f>'Date de context'!C26</f>
        <v>Apa potabilă produsă, transportată și distribuită</v>
      </c>
      <c r="D148" s="43" t="s">
        <v>284</v>
      </c>
      <c r="E148" s="40"/>
      <c r="F148" s="40"/>
      <c r="G148" s="87">
        <v>0</v>
      </c>
      <c r="H148" s="87">
        <v>0</v>
      </c>
      <c r="I148" s="87">
        <v>0</v>
      </c>
      <c r="J148" s="87">
        <v>0</v>
      </c>
      <c r="K148" s="87">
        <v>0</v>
      </c>
      <c r="L148" s="87">
        <v>0</v>
      </c>
      <c r="M148" s="87">
        <v>0</v>
      </c>
      <c r="N148" s="87">
        <v>0</v>
      </c>
      <c r="O148" s="87">
        <v>0</v>
      </c>
      <c r="Q148" s="35"/>
      <c r="S148" s="248"/>
    </row>
    <row r="149" spans="2:19" s="22" customFormat="1" ht="29.1" customHeight="1" x14ac:dyDescent="0.3">
      <c r="B149" s="35"/>
      <c r="C149" s="146" t="str">
        <f>'Date de context'!C27</f>
        <v>Canalizare – epurare ape uzate și meteorice procesate</v>
      </c>
      <c r="D149" s="43" t="s">
        <v>284</v>
      </c>
      <c r="E149" s="40"/>
      <c r="F149" s="40"/>
      <c r="G149" s="87">
        <v>0</v>
      </c>
      <c r="H149" s="87">
        <v>0</v>
      </c>
      <c r="I149" s="87">
        <v>0</v>
      </c>
      <c r="J149" s="87">
        <v>0</v>
      </c>
      <c r="K149" s="87">
        <v>0</v>
      </c>
      <c r="L149" s="87">
        <v>0</v>
      </c>
      <c r="M149" s="87">
        <v>0</v>
      </c>
      <c r="N149" s="87">
        <v>0</v>
      </c>
      <c r="O149" s="87">
        <v>0</v>
      </c>
      <c r="Q149" s="35"/>
      <c r="S149" s="248"/>
    </row>
    <row r="150" spans="2:19" s="22" customFormat="1" ht="47.1" customHeight="1" x14ac:dyDescent="0.3">
      <c r="B150" s="35"/>
      <c r="C150" s="146" t="str">
        <f>'Date de context'!C28</f>
        <v>Apa potabilă produsă și transportată în vederea redistribuirii în alte sisteme de operare</v>
      </c>
      <c r="D150" s="43" t="s">
        <v>284</v>
      </c>
      <c r="E150" s="40"/>
      <c r="F150" s="40"/>
      <c r="G150" s="87">
        <v>0</v>
      </c>
      <c r="H150" s="87">
        <v>0</v>
      </c>
      <c r="I150" s="87">
        <v>0</v>
      </c>
      <c r="J150" s="87">
        <v>0</v>
      </c>
      <c r="K150" s="87">
        <v>0</v>
      </c>
      <c r="L150" s="87">
        <v>0</v>
      </c>
      <c r="M150" s="87">
        <v>0</v>
      </c>
      <c r="N150" s="87">
        <v>0</v>
      </c>
      <c r="O150" s="87">
        <v>0</v>
      </c>
      <c r="Q150" s="35"/>
      <c r="S150" s="248"/>
    </row>
    <row r="151" spans="2:19" s="22" customFormat="1" x14ac:dyDescent="0.3">
      <c r="B151" s="35"/>
      <c r="C151" s="146" t="str">
        <f>'Date de context'!C29</f>
        <v>Distribuția apei potabile</v>
      </c>
      <c r="D151" s="43" t="s">
        <v>284</v>
      </c>
      <c r="E151" s="40"/>
      <c r="F151" s="40"/>
      <c r="G151" s="87">
        <v>0</v>
      </c>
      <c r="H151" s="87">
        <v>0</v>
      </c>
      <c r="I151" s="87">
        <v>0</v>
      </c>
      <c r="J151" s="87">
        <v>0</v>
      </c>
      <c r="K151" s="87">
        <v>0</v>
      </c>
      <c r="L151" s="87">
        <v>0</v>
      </c>
      <c r="M151" s="87">
        <v>0</v>
      </c>
      <c r="N151" s="87">
        <v>0</v>
      </c>
      <c r="O151" s="87">
        <v>0</v>
      </c>
      <c r="Q151" s="35"/>
      <c r="S151" s="248"/>
    </row>
    <row r="152" spans="2:19" s="22" customFormat="1" x14ac:dyDescent="0.3">
      <c r="B152" s="35"/>
      <c r="C152" s="146" t="str">
        <f>'Date de context'!C30</f>
        <v>Apa industriala</v>
      </c>
      <c r="D152" s="43" t="s">
        <v>284</v>
      </c>
      <c r="E152" s="40"/>
      <c r="F152" s="40"/>
      <c r="G152" s="87">
        <v>0</v>
      </c>
      <c r="H152" s="87">
        <v>0</v>
      </c>
      <c r="I152" s="87">
        <v>0</v>
      </c>
      <c r="J152" s="87">
        <v>0</v>
      </c>
      <c r="K152" s="87">
        <v>0</v>
      </c>
      <c r="L152" s="87">
        <v>0</v>
      </c>
      <c r="M152" s="87">
        <v>0</v>
      </c>
      <c r="N152" s="87">
        <v>0</v>
      </c>
      <c r="O152" s="87">
        <v>0</v>
      </c>
      <c r="Q152" s="35"/>
      <c r="S152" s="248"/>
    </row>
    <row r="153" spans="2:19" s="22" customFormat="1" ht="33" customHeight="1" x14ac:dyDescent="0.3">
      <c r="B153" s="35"/>
      <c r="C153" s="146" t="str">
        <f>'Date de context'!C31</f>
        <v>Transportul și epurarea apelor uzate preluate din alte sisteme de operare</v>
      </c>
      <c r="D153" s="43" t="s">
        <v>284</v>
      </c>
      <c r="E153" s="40"/>
      <c r="F153" s="40"/>
      <c r="G153" s="87">
        <v>0</v>
      </c>
      <c r="H153" s="87">
        <v>0</v>
      </c>
      <c r="I153" s="87">
        <v>0</v>
      </c>
      <c r="J153" s="87">
        <v>0</v>
      </c>
      <c r="K153" s="87">
        <v>0</v>
      </c>
      <c r="L153" s="87">
        <v>0</v>
      </c>
      <c r="M153" s="87">
        <v>0</v>
      </c>
      <c r="N153" s="87">
        <v>0</v>
      </c>
      <c r="O153" s="87">
        <v>0</v>
      </c>
      <c r="Q153" s="35"/>
      <c r="S153" s="248"/>
    </row>
    <row r="154" spans="2:19" s="22" customFormat="1" ht="17.100000000000001" customHeight="1" x14ac:dyDescent="0.3">
      <c r="B154" s="35"/>
      <c r="C154" s="146" t="str">
        <f>'Date de context'!C32</f>
        <v>Canalizare ape uzate menajere</v>
      </c>
      <c r="D154" s="43" t="s">
        <v>284</v>
      </c>
      <c r="E154" s="40"/>
      <c r="F154" s="40"/>
      <c r="G154" s="87">
        <v>0</v>
      </c>
      <c r="H154" s="87">
        <v>0</v>
      </c>
      <c r="I154" s="87">
        <v>0</v>
      </c>
      <c r="J154" s="87">
        <v>0</v>
      </c>
      <c r="K154" s="87">
        <v>0</v>
      </c>
      <c r="L154" s="87">
        <v>0</v>
      </c>
      <c r="M154" s="87">
        <v>0</v>
      </c>
      <c r="N154" s="87">
        <v>0</v>
      </c>
      <c r="O154" s="87">
        <v>0</v>
      </c>
      <c r="Q154" s="35"/>
      <c r="S154" s="248"/>
    </row>
    <row r="155" spans="2:19" s="22" customFormat="1" ht="28.8" x14ac:dyDescent="0.3">
      <c r="B155" s="35"/>
      <c r="C155" s="146" t="str">
        <f>'Date de context'!C33</f>
        <v xml:space="preserve">Serviciul public inteligent alternativ pentru procesarea apelor uzate </v>
      </c>
      <c r="D155" s="43" t="s">
        <v>284</v>
      </c>
      <c r="E155" s="40"/>
      <c r="F155" s="40"/>
      <c r="G155" s="87">
        <v>0</v>
      </c>
      <c r="H155" s="87">
        <v>0</v>
      </c>
      <c r="I155" s="87">
        <v>0</v>
      </c>
      <c r="J155" s="87">
        <v>0</v>
      </c>
      <c r="K155" s="87">
        <v>0</v>
      </c>
      <c r="L155" s="87">
        <v>0</v>
      </c>
      <c r="M155" s="87">
        <v>0</v>
      </c>
      <c r="N155" s="87">
        <v>0</v>
      </c>
      <c r="O155" s="87">
        <v>0</v>
      </c>
      <c r="Q155" s="35"/>
      <c r="S155" s="248"/>
    </row>
    <row r="156" spans="2:19" s="22" customFormat="1" x14ac:dyDescent="0.3">
      <c r="B156" s="35"/>
      <c r="C156" s="146" t="str">
        <f>'Date de context'!C34</f>
        <v>Canalizare ape pluviale</v>
      </c>
      <c r="D156" s="43" t="s">
        <v>284</v>
      </c>
      <c r="E156" s="40"/>
      <c r="F156" s="40"/>
      <c r="G156" s="87">
        <v>0</v>
      </c>
      <c r="H156" s="87">
        <v>0</v>
      </c>
      <c r="I156" s="87">
        <v>0</v>
      </c>
      <c r="J156" s="87">
        <v>0</v>
      </c>
      <c r="K156" s="87">
        <v>0</v>
      </c>
      <c r="L156" s="87">
        <v>0</v>
      </c>
      <c r="M156" s="87">
        <v>0</v>
      </c>
      <c r="N156" s="87">
        <v>0</v>
      </c>
      <c r="O156" s="87">
        <v>0</v>
      </c>
      <c r="Q156" s="35"/>
      <c r="S156" s="248"/>
    </row>
    <row r="157" spans="2:19" s="22" customFormat="1" ht="28.8" x14ac:dyDescent="0.3">
      <c r="B157" s="35"/>
      <c r="C157" s="146" t="s">
        <v>299</v>
      </c>
      <c r="D157" s="43" t="s">
        <v>284</v>
      </c>
      <c r="E157" s="40"/>
      <c r="F157" s="40"/>
      <c r="G157" s="88">
        <f>G147-SUM(G148:G156)</f>
        <v>0</v>
      </c>
      <c r="H157" s="88">
        <f t="shared" ref="H157:O157" si="54">H147-SUM(H148:H156)</f>
        <v>0</v>
      </c>
      <c r="I157" s="88">
        <f t="shared" si="54"/>
        <v>0</v>
      </c>
      <c r="J157" s="88">
        <f t="shared" si="54"/>
        <v>0</v>
      </c>
      <c r="K157" s="88">
        <f t="shared" si="54"/>
        <v>0</v>
      </c>
      <c r="L157" s="88">
        <f t="shared" si="54"/>
        <v>0</v>
      </c>
      <c r="M157" s="88">
        <f t="shared" si="54"/>
        <v>0</v>
      </c>
      <c r="N157" s="88">
        <f t="shared" si="54"/>
        <v>0</v>
      </c>
      <c r="O157" s="88">
        <f t="shared" si="54"/>
        <v>0</v>
      </c>
      <c r="Q157" s="35"/>
      <c r="S157" s="248"/>
    </row>
    <row r="158" spans="2:19" x14ac:dyDescent="0.3">
      <c r="B158" s="35"/>
      <c r="Q158" s="35"/>
      <c r="S158" s="248"/>
    </row>
    <row r="159" spans="2:19" ht="8.1" customHeight="1" x14ac:dyDescent="0.3">
      <c r="B159" s="23"/>
      <c r="C159" s="23"/>
      <c r="D159" s="23"/>
      <c r="E159" s="23"/>
      <c r="F159" s="23"/>
      <c r="G159" s="23"/>
      <c r="H159" s="23"/>
      <c r="I159" s="23"/>
      <c r="J159" s="23"/>
      <c r="K159" s="23"/>
      <c r="L159" s="23"/>
      <c r="M159" s="23"/>
      <c r="N159" s="23"/>
      <c r="O159" s="23"/>
      <c r="P159" s="23"/>
      <c r="Q159" s="23"/>
    </row>
  </sheetData>
  <sheetProtection sheet="1" objects="1" scenarios="1"/>
  <mergeCells count="9">
    <mergeCell ref="S142:S143"/>
    <mergeCell ref="S144:S158"/>
    <mergeCell ref="C3:D4"/>
    <mergeCell ref="S11:S12"/>
    <mergeCell ref="S13:S42"/>
    <mergeCell ref="S49:S50"/>
    <mergeCell ref="S51:S80"/>
    <mergeCell ref="S87:S88"/>
    <mergeCell ref="S89:S140"/>
  </mergeCells>
  <pageMargins left="0.22999999999999998" right="0.19" top="0.36" bottom="0.34" header="0.3" footer="0.3"/>
  <pageSetup paperSize="9" scale="62" fitToHeight="4" pageOrder="overThenDown" orientation="landscape"/>
  <headerFooter>
    <oddFooter>&amp;L&amp;F
Sheet: &amp;A&amp;R&amp;P din  &amp;N</oddFooter>
  </headerFooter>
  <rowBreaks count="3" manualBreakCount="3">
    <brk id="44" min="1" max="18" man="1"/>
    <brk id="82" min="1" max="18" man="1"/>
    <brk id="141" min="1" max="18" man="1"/>
  </rowBreaks>
  <colBreaks count="1" manualBreakCount="1">
    <brk id="18" min="1" max="15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320"/>
  <sheetViews>
    <sheetView zoomScale="70" workbookViewId="0">
      <selection activeCell="K73" sqref="K73"/>
    </sheetView>
  </sheetViews>
  <sheetFormatPr defaultColWidth="9.109375" defaultRowHeight="14.4" x14ac:dyDescent="0.3"/>
  <cols>
    <col min="1" max="1" width="2.5546875" customWidth="1"/>
    <col min="2" max="2" width="1.44140625" customWidth="1"/>
    <col min="3" max="3" width="38.44140625" customWidth="1"/>
    <col min="4" max="4" width="15.5546875" customWidth="1"/>
    <col min="5" max="5" width="11.88671875" customWidth="1"/>
    <col min="6" max="15" width="15.5546875" customWidth="1"/>
    <col min="16" max="16" width="3.5546875" customWidth="1"/>
    <col min="17" max="17" width="1.5546875" customWidth="1"/>
    <col min="18" max="18" width="3" customWidth="1"/>
    <col min="19" max="20" width="48.88671875" customWidth="1"/>
    <col min="21" max="21" width="55.5546875" customWidth="1"/>
    <col min="22" max="23" width="30.5546875" customWidth="1"/>
  </cols>
  <sheetData>
    <row r="2" spans="2:21" ht="8.1" customHeight="1" x14ac:dyDescent="0.3">
      <c r="B2" s="23"/>
      <c r="C2" s="23"/>
      <c r="D2" s="23"/>
      <c r="E2" s="23"/>
      <c r="F2" s="23"/>
      <c r="G2" s="23"/>
      <c r="H2" s="23"/>
      <c r="I2" s="23"/>
      <c r="J2" s="23"/>
      <c r="K2" s="23"/>
      <c r="L2" s="23"/>
      <c r="M2" s="23"/>
      <c r="N2" s="23"/>
      <c r="O2" s="23"/>
      <c r="P2" s="23"/>
      <c r="Q2" s="23"/>
    </row>
    <row r="3" spans="2:21" ht="14.4" customHeight="1" x14ac:dyDescent="0.3">
      <c r="B3" s="23"/>
      <c r="C3" s="227" t="str">
        <f>CONCATENATE("ANALIZA SI PROGNOZA AMORTIZARII REDEVENTEI PENTRU OPERATORUL"," ",'Date generale'!D4)</f>
        <v>ANALIZA SI PROGNOZA AMORTIZARII REDEVENTEI PENTRU OPERATORUL SEVICIUL PUBLIC DE ALIMENTARE CU APA, CANALIZARE SI SALUBRIZARE</v>
      </c>
      <c r="D3" s="227"/>
      <c r="E3" s="51">
        <f>F3-1</f>
        <v>2022</v>
      </c>
      <c r="F3" s="51">
        <f>G3-1</f>
        <v>2023</v>
      </c>
      <c r="G3" s="46">
        <f>'Date generale'!$D$8</f>
        <v>2024</v>
      </c>
      <c r="H3" s="54">
        <f t="shared" ref="H3:O4" si="0">G3+1</f>
        <v>2025</v>
      </c>
      <c r="I3" s="54">
        <f t="shared" si="0"/>
        <v>2026</v>
      </c>
      <c r="J3" s="54">
        <f t="shared" si="0"/>
        <v>2027</v>
      </c>
      <c r="K3" s="54">
        <f t="shared" si="0"/>
        <v>2028</v>
      </c>
      <c r="L3" s="54">
        <f t="shared" si="0"/>
        <v>2029</v>
      </c>
      <c r="M3" s="54">
        <f t="shared" si="0"/>
        <v>2030</v>
      </c>
      <c r="N3" s="54">
        <f t="shared" si="0"/>
        <v>2031</v>
      </c>
      <c r="O3" s="54">
        <f t="shared" si="0"/>
        <v>2032</v>
      </c>
      <c r="Q3" s="23"/>
    </row>
    <row r="4" spans="2:21" x14ac:dyDescent="0.3">
      <c r="B4" s="23"/>
      <c r="C4" s="227"/>
      <c r="D4" s="227"/>
      <c r="E4" s="18">
        <f>F4-1</f>
        <v>-3</v>
      </c>
      <c r="F4" s="18">
        <f>G4-1</f>
        <v>-2</v>
      </c>
      <c r="G4" s="55">
        <v>-1</v>
      </c>
      <c r="H4" s="55">
        <v>0</v>
      </c>
      <c r="I4" s="55">
        <f t="shared" si="0"/>
        <v>1</v>
      </c>
      <c r="J4" s="55">
        <f t="shared" si="0"/>
        <v>2</v>
      </c>
      <c r="K4" s="55">
        <f t="shared" si="0"/>
        <v>3</v>
      </c>
      <c r="L4" s="55">
        <f t="shared" si="0"/>
        <v>4</v>
      </c>
      <c r="M4" s="55">
        <f t="shared" si="0"/>
        <v>5</v>
      </c>
      <c r="N4" s="55">
        <f t="shared" si="0"/>
        <v>6</v>
      </c>
      <c r="O4" s="55">
        <f t="shared" si="0"/>
        <v>7</v>
      </c>
      <c r="Q4" s="23"/>
    </row>
    <row r="5" spans="2:21" ht="8.1" customHeight="1" x14ac:dyDescent="0.3">
      <c r="B5" s="23"/>
      <c r="C5" s="23"/>
      <c r="D5" s="23"/>
      <c r="E5" s="23"/>
      <c r="F5" s="23"/>
      <c r="G5" s="23"/>
      <c r="H5" s="23"/>
      <c r="I5" s="23"/>
      <c r="J5" s="23"/>
      <c r="K5" s="23"/>
      <c r="L5" s="23"/>
      <c r="M5" s="23"/>
      <c r="N5" s="23"/>
      <c r="O5" s="23"/>
      <c r="P5" s="23"/>
      <c r="Q5" s="23"/>
    </row>
    <row r="7" spans="2:21" ht="8.1" customHeight="1" x14ac:dyDescent="0.3">
      <c r="B7" s="23"/>
      <c r="C7" s="23"/>
      <c r="D7" s="23"/>
      <c r="E7" s="23"/>
      <c r="F7" s="23"/>
      <c r="G7" s="23"/>
      <c r="H7" s="23"/>
      <c r="I7" s="23"/>
      <c r="J7" s="23"/>
      <c r="K7" s="23"/>
      <c r="L7" s="23"/>
      <c r="M7" s="23"/>
      <c r="N7" s="23"/>
      <c r="O7" s="23"/>
      <c r="P7" s="23"/>
      <c r="Q7" s="23"/>
    </row>
    <row r="8" spans="2:21" x14ac:dyDescent="0.3">
      <c r="B8" s="23"/>
      <c r="C8" s="120" t="s">
        <v>128</v>
      </c>
      <c r="D8" s="121"/>
      <c r="E8" s="121"/>
      <c r="F8" s="121"/>
      <c r="G8" s="121"/>
      <c r="H8" s="121"/>
      <c r="I8" s="121"/>
      <c r="J8" s="121"/>
      <c r="K8" s="121"/>
      <c r="L8" s="121"/>
      <c r="M8" s="121"/>
      <c r="N8" s="121"/>
      <c r="O8" s="121"/>
      <c r="P8" s="121"/>
      <c r="Q8" s="23"/>
    </row>
    <row r="9" spans="2:21" ht="8.1" customHeight="1" x14ac:dyDescent="0.3">
      <c r="B9" s="23"/>
      <c r="C9" s="23"/>
      <c r="D9" s="23"/>
      <c r="E9" s="23"/>
      <c r="F9" s="23"/>
      <c r="G9" s="23"/>
      <c r="H9" s="23"/>
      <c r="I9" s="23"/>
      <c r="J9" s="23"/>
      <c r="K9" s="23"/>
      <c r="L9" s="23"/>
      <c r="M9" s="23"/>
      <c r="N9" s="23"/>
      <c r="O9" s="23"/>
      <c r="P9" s="23"/>
      <c r="Q9" s="23"/>
    </row>
    <row r="10" spans="2:21" x14ac:dyDescent="0.3">
      <c r="B10" s="23"/>
      <c r="Q10" s="23"/>
    </row>
    <row r="11" spans="2:21" s="22" customFormat="1" ht="29.1" customHeight="1" x14ac:dyDescent="0.3">
      <c r="B11" s="35"/>
      <c r="C11" s="86" t="s">
        <v>300</v>
      </c>
      <c r="D11" s="86"/>
      <c r="E11" s="94">
        <f>F11-1</f>
        <v>2022</v>
      </c>
      <c r="F11" s="94">
        <f>G11-1</f>
        <v>2023</v>
      </c>
      <c r="G11" s="95">
        <f>'Date generale'!$D$8</f>
        <v>2024</v>
      </c>
      <c r="H11" s="96">
        <f t="shared" ref="H11:O12" si="1">G11+1</f>
        <v>2025</v>
      </c>
      <c r="I11" s="96">
        <f t="shared" si="1"/>
        <v>2026</v>
      </c>
      <c r="J11" s="96">
        <f t="shared" si="1"/>
        <v>2027</v>
      </c>
      <c r="K11" s="96">
        <f t="shared" si="1"/>
        <v>2028</v>
      </c>
      <c r="L11" s="96">
        <f t="shared" si="1"/>
        <v>2029</v>
      </c>
      <c r="M11" s="96">
        <f t="shared" si="1"/>
        <v>2030</v>
      </c>
      <c r="N11" s="96">
        <f t="shared" si="1"/>
        <v>2031</v>
      </c>
      <c r="O11" s="96">
        <f t="shared" si="1"/>
        <v>2032</v>
      </c>
      <c r="Q11" s="35"/>
      <c r="S11" s="249" t="s">
        <v>301</v>
      </c>
      <c r="T11" s="249"/>
      <c r="U11" s="249"/>
    </row>
    <row r="12" spans="2:21" x14ac:dyDescent="0.3">
      <c r="B12" s="23"/>
      <c r="C12" s="97"/>
      <c r="D12" s="97"/>
      <c r="E12" s="98">
        <f>F12-1</f>
        <v>-3</v>
      </c>
      <c r="F12" s="98">
        <f>G12-1</f>
        <v>-2</v>
      </c>
      <c r="G12" s="99">
        <v>-1</v>
      </c>
      <c r="H12" s="99">
        <v>0</v>
      </c>
      <c r="I12" s="99">
        <f t="shared" si="1"/>
        <v>1</v>
      </c>
      <c r="J12" s="99">
        <f t="shared" si="1"/>
        <v>2</v>
      </c>
      <c r="K12" s="99">
        <f t="shared" si="1"/>
        <v>3</v>
      </c>
      <c r="L12" s="99">
        <f t="shared" si="1"/>
        <v>4</v>
      </c>
      <c r="M12" s="99">
        <f t="shared" si="1"/>
        <v>5</v>
      </c>
      <c r="N12" s="99">
        <f t="shared" si="1"/>
        <v>6</v>
      </c>
      <c r="O12" s="99">
        <f t="shared" si="1"/>
        <v>7</v>
      </c>
      <c r="Q12" s="35"/>
      <c r="S12" s="98" t="s">
        <v>302</v>
      </c>
      <c r="T12" s="98" t="s">
        <v>303</v>
      </c>
      <c r="U12" s="137" t="s">
        <v>304</v>
      </c>
    </row>
    <row r="13" spans="2:21" s="24" customFormat="1" x14ac:dyDescent="0.3">
      <c r="B13" s="61"/>
      <c r="C13" s="42"/>
      <c r="D13" s="51"/>
      <c r="E13" s="62"/>
      <c r="F13" s="62"/>
      <c r="G13" s="62"/>
      <c r="H13" s="62"/>
      <c r="I13" s="62"/>
      <c r="J13" s="62"/>
      <c r="K13" s="62"/>
      <c r="L13" s="62"/>
      <c r="M13" s="62"/>
      <c r="N13" s="62"/>
      <c r="O13" s="62"/>
      <c r="Q13" s="35"/>
      <c r="S13" s="251"/>
      <c r="T13" s="251"/>
      <c r="U13" s="251"/>
    </row>
    <row r="14" spans="2:21" x14ac:dyDescent="0.3">
      <c r="B14" s="23"/>
      <c r="C14" s="66" t="s">
        <v>305</v>
      </c>
      <c r="D14" s="43" t="s">
        <v>141</v>
      </c>
      <c r="E14" s="88">
        <f>'Costuri operare'!E19</f>
        <v>44739</v>
      </c>
      <c r="F14" s="88">
        <f>'Costuri operare'!F19</f>
        <v>79126</v>
      </c>
      <c r="G14" s="88">
        <f>'Costuri operare'!G19</f>
        <v>119814</v>
      </c>
      <c r="H14" s="87">
        <f>G14</f>
        <v>119814</v>
      </c>
      <c r="I14" s="87">
        <f t="shared" ref="I14:O14" si="2">H14</f>
        <v>119814</v>
      </c>
      <c r="J14" s="87">
        <f t="shared" si="2"/>
        <v>119814</v>
      </c>
      <c r="K14" s="87">
        <f t="shared" si="2"/>
        <v>119814</v>
      </c>
      <c r="L14" s="87">
        <f t="shared" si="2"/>
        <v>119814</v>
      </c>
      <c r="M14" s="87">
        <f t="shared" si="2"/>
        <v>119814</v>
      </c>
      <c r="N14" s="87">
        <f t="shared" si="2"/>
        <v>119814</v>
      </c>
      <c r="O14" s="87">
        <f t="shared" si="2"/>
        <v>119814</v>
      </c>
      <c r="Q14" s="35"/>
      <c r="S14" s="251"/>
      <c r="T14" s="251"/>
      <c r="U14" s="251"/>
    </row>
    <row r="15" spans="2:21" s="22" customFormat="1" x14ac:dyDescent="0.3">
      <c r="B15" s="35"/>
      <c r="C15" s="50"/>
      <c r="D15" s="43"/>
      <c r="E15" s="88"/>
      <c r="F15" s="88"/>
      <c r="G15" s="88"/>
      <c r="H15" s="88"/>
      <c r="I15" s="88"/>
      <c r="J15" s="88"/>
      <c r="K15" s="88"/>
      <c r="L15" s="88"/>
      <c r="M15" s="88"/>
      <c r="N15" s="88"/>
      <c r="O15" s="88"/>
      <c r="Q15" s="35"/>
      <c r="S15" s="251"/>
      <c r="T15" s="251"/>
      <c r="U15" s="251"/>
    </row>
    <row r="16" spans="2:21" s="22" customFormat="1" x14ac:dyDescent="0.3">
      <c r="B16" s="35"/>
      <c r="C16" s="66" t="s">
        <v>306</v>
      </c>
      <c r="D16" s="43"/>
      <c r="E16" s="88"/>
      <c r="F16" s="88"/>
      <c r="G16" s="88"/>
      <c r="H16" s="88"/>
      <c r="I16" s="88"/>
      <c r="J16" s="88"/>
      <c r="K16" s="88"/>
      <c r="L16" s="88"/>
      <c r="M16" s="88"/>
      <c r="N16" s="88"/>
      <c r="O16" s="88"/>
      <c r="Q16" s="35"/>
      <c r="S16" s="251"/>
      <c r="T16" s="251"/>
      <c r="U16" s="251"/>
    </row>
    <row r="17" spans="2:21" s="22" customFormat="1" x14ac:dyDescent="0.3">
      <c r="B17" s="35"/>
      <c r="C17" s="50" t="s">
        <v>264</v>
      </c>
      <c r="D17" s="43" t="s">
        <v>141</v>
      </c>
      <c r="E17" s="88"/>
      <c r="F17" s="88"/>
      <c r="G17" s="88"/>
      <c r="H17" s="87">
        <v>0</v>
      </c>
      <c r="I17" s="87"/>
      <c r="J17" s="87"/>
      <c r="K17" s="87"/>
      <c r="L17" s="87">
        <v>0</v>
      </c>
      <c r="M17" s="87">
        <v>0</v>
      </c>
      <c r="N17" s="87">
        <v>0</v>
      </c>
      <c r="O17" s="87">
        <v>0</v>
      </c>
      <c r="Q17" s="35"/>
      <c r="S17" s="251"/>
      <c r="T17" s="251"/>
      <c r="U17" s="251"/>
    </row>
    <row r="18" spans="2:21" s="22" customFormat="1" x14ac:dyDescent="0.3">
      <c r="B18" s="35"/>
      <c r="C18" s="50" t="s">
        <v>266</v>
      </c>
      <c r="D18" s="43" t="s">
        <v>141</v>
      </c>
      <c r="E18" s="88"/>
      <c r="F18" s="88"/>
      <c r="G18" s="88"/>
      <c r="H18" s="87">
        <v>0</v>
      </c>
      <c r="I18" s="87"/>
      <c r="J18" s="87"/>
      <c r="K18" s="87"/>
      <c r="L18" s="87"/>
      <c r="M18" s="87"/>
      <c r="N18" s="87"/>
      <c r="O18" s="87"/>
      <c r="Q18" s="35"/>
      <c r="S18" s="251"/>
      <c r="T18" s="251"/>
      <c r="U18" s="251"/>
    </row>
    <row r="19" spans="2:21" s="22" customFormat="1" x14ac:dyDescent="0.3">
      <c r="B19" s="35"/>
      <c r="C19" s="50" t="s">
        <v>267</v>
      </c>
      <c r="D19" s="43" t="s">
        <v>141</v>
      </c>
      <c r="E19" s="88"/>
      <c r="F19" s="88"/>
      <c r="G19" s="88"/>
      <c r="H19" s="87">
        <v>0</v>
      </c>
      <c r="I19" s="87"/>
      <c r="J19" s="87"/>
      <c r="K19" s="87"/>
      <c r="L19" s="87"/>
      <c r="M19" s="87"/>
      <c r="N19" s="87"/>
      <c r="O19" s="87"/>
      <c r="Q19" s="35"/>
      <c r="S19" s="251"/>
      <c r="T19" s="251"/>
      <c r="U19" s="251"/>
    </row>
    <row r="20" spans="2:21" s="22" customFormat="1" x14ac:dyDescent="0.3">
      <c r="B20" s="35"/>
      <c r="C20" s="122"/>
      <c r="D20" s="123"/>
      <c r="E20" s="124"/>
      <c r="F20" s="124"/>
      <c r="G20" s="124"/>
      <c r="H20" s="124"/>
      <c r="I20" s="124"/>
      <c r="J20" s="124"/>
      <c r="K20" s="124"/>
      <c r="L20" s="124"/>
      <c r="M20" s="124"/>
      <c r="N20" s="124"/>
      <c r="O20" s="124"/>
      <c r="Q20" s="35"/>
      <c r="S20" s="251"/>
      <c r="T20" s="251"/>
      <c r="U20" s="251"/>
    </row>
    <row r="21" spans="2:21" s="22" customFormat="1" x14ac:dyDescent="0.3">
      <c r="B21" s="35"/>
      <c r="C21" s="66" t="s">
        <v>307</v>
      </c>
      <c r="D21" s="51" t="s">
        <v>141</v>
      </c>
      <c r="E21" s="62">
        <f>E14</f>
        <v>44739</v>
      </c>
      <c r="F21" s="62">
        <f>F14</f>
        <v>79126</v>
      </c>
      <c r="G21" s="62">
        <f>G14</f>
        <v>119814</v>
      </c>
      <c r="H21" s="62">
        <f t="shared" ref="H21:O21" si="3">H14+H17+H18+H19</f>
        <v>119814</v>
      </c>
      <c r="I21" s="62">
        <f t="shared" si="3"/>
        <v>119814</v>
      </c>
      <c r="J21" s="62">
        <f t="shared" si="3"/>
        <v>119814</v>
      </c>
      <c r="K21" s="62">
        <f t="shared" si="3"/>
        <v>119814</v>
      </c>
      <c r="L21" s="62">
        <f t="shared" si="3"/>
        <v>119814</v>
      </c>
      <c r="M21" s="62">
        <f t="shared" si="3"/>
        <v>119814</v>
      </c>
      <c r="N21" s="62">
        <f t="shared" si="3"/>
        <v>119814</v>
      </c>
      <c r="O21" s="62">
        <f t="shared" si="3"/>
        <v>119814</v>
      </c>
      <c r="Q21" s="35"/>
      <c r="S21" s="251"/>
      <c r="T21" s="251"/>
      <c r="U21" s="251"/>
    </row>
    <row r="22" spans="2:21" s="22" customFormat="1" x14ac:dyDescent="0.3">
      <c r="B22" s="35"/>
      <c r="C22" s="50" t="s">
        <v>308</v>
      </c>
      <c r="D22" s="43" t="s">
        <v>47</v>
      </c>
      <c r="E22" s="125" t="s">
        <v>92</v>
      </c>
      <c r="F22" s="126">
        <f t="shared" ref="F22:O22" si="4">F21/E21-1</f>
        <v>0.76861351393638655</v>
      </c>
      <c r="G22" s="126">
        <f t="shared" si="4"/>
        <v>0.51421782979046071</v>
      </c>
      <c r="H22" s="126">
        <f t="shared" si="4"/>
        <v>0</v>
      </c>
      <c r="I22" s="126">
        <f t="shared" si="4"/>
        <v>0</v>
      </c>
      <c r="J22" s="126">
        <f t="shared" si="4"/>
        <v>0</v>
      </c>
      <c r="K22" s="126">
        <f t="shared" si="4"/>
        <v>0</v>
      </c>
      <c r="L22" s="126">
        <f t="shared" si="4"/>
        <v>0</v>
      </c>
      <c r="M22" s="126">
        <f t="shared" si="4"/>
        <v>0</v>
      </c>
      <c r="N22" s="126">
        <f t="shared" si="4"/>
        <v>0</v>
      </c>
      <c r="O22" s="126">
        <f t="shared" si="4"/>
        <v>0</v>
      </c>
      <c r="Q22" s="35"/>
      <c r="S22" s="251"/>
      <c r="T22" s="251"/>
      <c r="U22" s="251"/>
    </row>
    <row r="23" spans="2:21" s="22" customFormat="1" x14ac:dyDescent="0.3">
      <c r="B23" s="35"/>
      <c r="C23" s="122"/>
      <c r="D23" s="123"/>
      <c r="E23" s="127"/>
      <c r="F23" s="128"/>
      <c r="G23" s="128"/>
      <c r="H23" s="128"/>
      <c r="I23" s="128"/>
      <c r="J23" s="128"/>
      <c r="K23" s="128"/>
      <c r="L23" s="128"/>
      <c r="M23" s="128"/>
      <c r="N23" s="128"/>
      <c r="O23" s="128"/>
      <c r="Q23" s="35"/>
      <c r="S23" s="251"/>
      <c r="T23" s="251"/>
      <c r="U23" s="251"/>
    </row>
    <row r="24" spans="2:21" s="22" customFormat="1" x14ac:dyDescent="0.3">
      <c r="B24" s="35"/>
      <c r="C24" s="86" t="s">
        <v>309</v>
      </c>
      <c r="D24" s="86"/>
      <c r="E24" s="94">
        <f>F24-1</f>
        <v>2022</v>
      </c>
      <c r="F24" s="94">
        <f>G24-1</f>
        <v>2023</v>
      </c>
      <c r="G24" s="95">
        <f>'Date generale'!$D$8</f>
        <v>2024</v>
      </c>
      <c r="H24" s="96">
        <f t="shared" ref="H24:O24" si="5">G24+1</f>
        <v>2025</v>
      </c>
      <c r="I24" s="96">
        <f t="shared" si="5"/>
        <v>2026</v>
      </c>
      <c r="J24" s="96">
        <f t="shared" si="5"/>
        <v>2027</v>
      </c>
      <c r="K24" s="96">
        <f t="shared" si="5"/>
        <v>2028</v>
      </c>
      <c r="L24" s="96">
        <f t="shared" si="5"/>
        <v>2029</v>
      </c>
      <c r="M24" s="96">
        <f t="shared" si="5"/>
        <v>2030</v>
      </c>
      <c r="N24" s="96">
        <f t="shared" si="5"/>
        <v>2031</v>
      </c>
      <c r="O24" s="96">
        <f t="shared" si="5"/>
        <v>2032</v>
      </c>
      <c r="Q24" s="35"/>
      <c r="S24" s="251"/>
      <c r="T24" s="251"/>
      <c r="U24" s="251"/>
    </row>
    <row r="25" spans="2:21" s="22" customFormat="1" x14ac:dyDescent="0.3">
      <c r="B25" s="35"/>
      <c r="C25" s="97"/>
      <c r="D25" s="97"/>
      <c r="E25" s="98">
        <f>F25-1</f>
        <v>-3</v>
      </c>
      <c r="F25" s="98">
        <f>G25-1</f>
        <v>-2</v>
      </c>
      <c r="G25" s="99">
        <v>-1</v>
      </c>
      <c r="H25" s="99">
        <v>0</v>
      </c>
      <c r="I25" s="99">
        <f t="shared" ref="I25:O25" si="6">H25+1</f>
        <v>1</v>
      </c>
      <c r="J25" s="99">
        <f t="shared" si="6"/>
        <v>2</v>
      </c>
      <c r="K25" s="99">
        <f t="shared" si="6"/>
        <v>3</v>
      </c>
      <c r="L25" s="99">
        <f t="shared" si="6"/>
        <v>4</v>
      </c>
      <c r="M25" s="99">
        <f t="shared" si="6"/>
        <v>5</v>
      </c>
      <c r="N25" s="99">
        <f t="shared" si="6"/>
        <v>6</v>
      </c>
      <c r="O25" s="99">
        <f t="shared" si="6"/>
        <v>7</v>
      </c>
      <c r="Q25" s="35"/>
      <c r="S25" s="251"/>
      <c r="T25" s="251"/>
      <c r="U25" s="251"/>
    </row>
    <row r="26" spans="2:21" s="22" customFormat="1" x14ac:dyDescent="0.3">
      <c r="B26" s="35"/>
      <c r="C26" s="122"/>
      <c r="D26" s="123"/>
      <c r="E26" s="127"/>
      <c r="F26" s="128"/>
      <c r="G26" s="128"/>
      <c r="H26" s="128"/>
      <c r="I26" s="128"/>
      <c r="J26" s="128"/>
      <c r="K26" s="128"/>
      <c r="L26" s="128"/>
      <c r="M26" s="128"/>
      <c r="N26" s="128"/>
      <c r="O26" s="128"/>
      <c r="Q26" s="35"/>
      <c r="S26" s="251"/>
      <c r="T26" s="251"/>
      <c r="U26" s="251"/>
    </row>
    <row r="27" spans="2:21" x14ac:dyDescent="0.3">
      <c r="B27" s="23"/>
      <c r="C27" s="66" t="s">
        <v>310</v>
      </c>
      <c r="D27" s="43" t="s">
        <v>141</v>
      </c>
      <c r="E27" s="88">
        <f>'Costuri operare'!E20</f>
        <v>0</v>
      </c>
      <c r="F27" s="88">
        <f>'Costuri operare'!F20</f>
        <v>0</v>
      </c>
      <c r="G27" s="88">
        <f>'Costuri operare'!G20</f>
        <v>0.1</v>
      </c>
      <c r="H27" s="88">
        <f>H30*H38</f>
        <v>379123.22139999998</v>
      </c>
      <c r="I27" s="88">
        <f t="shared" ref="I27:O27" si="7">I30*I38</f>
        <v>417011.01266666665</v>
      </c>
      <c r="J27" s="88">
        <f t="shared" si="7"/>
        <v>445244.91266666667</v>
      </c>
      <c r="K27" s="88">
        <f t="shared" si="7"/>
        <v>479557.24600000004</v>
      </c>
      <c r="L27" s="88">
        <f t="shared" si="7"/>
        <v>524427.47933333344</v>
      </c>
      <c r="M27" s="88">
        <f t="shared" si="7"/>
        <v>557353.61266666674</v>
      </c>
      <c r="N27" s="88">
        <f t="shared" si="7"/>
        <v>827590.6333333333</v>
      </c>
      <c r="O27" s="88">
        <f t="shared" si="7"/>
        <v>835784.6</v>
      </c>
      <c r="Q27" s="35"/>
      <c r="S27" s="251"/>
      <c r="T27" s="251"/>
      <c r="U27" s="251"/>
    </row>
    <row r="28" spans="2:21" x14ac:dyDescent="0.3">
      <c r="B28" s="23"/>
      <c r="C28" s="50" t="s">
        <v>308</v>
      </c>
      <c r="D28" s="129" t="s">
        <v>47</v>
      </c>
      <c r="E28" s="125" t="s">
        <v>92</v>
      </c>
      <c r="F28" s="126" t="e">
        <f t="shared" ref="F28:O28" si="8">F27/E27-1</f>
        <v>#DIV/0!</v>
      </c>
      <c r="G28" s="126" t="e">
        <f t="shared" si="8"/>
        <v>#DIV/0!</v>
      </c>
      <c r="H28" s="126">
        <f t="shared" si="8"/>
        <v>3791231.2139999997</v>
      </c>
      <c r="I28" s="126">
        <f t="shared" si="8"/>
        <v>9.9935295777339173E-2</v>
      </c>
      <c r="J28" s="126">
        <f t="shared" si="8"/>
        <v>6.7705406194076945E-2</v>
      </c>
      <c r="K28" s="126">
        <f t="shared" si="8"/>
        <v>7.7063953696471232E-2</v>
      </c>
      <c r="L28" s="126">
        <f t="shared" si="8"/>
        <v>9.3565958407671346E-2</v>
      </c>
      <c r="M28" s="126">
        <f t="shared" si="8"/>
        <v>6.2784912368035961E-2</v>
      </c>
      <c r="N28" s="126">
        <f t="shared" si="8"/>
        <v>0.48485739488385748</v>
      </c>
      <c r="O28" s="126">
        <f t="shared" si="8"/>
        <v>9.9009900990099098E-3</v>
      </c>
      <c r="Q28" s="35"/>
      <c r="S28" s="251"/>
      <c r="T28" s="251"/>
      <c r="U28" s="251"/>
    </row>
    <row r="29" spans="2:21" x14ac:dyDescent="0.3">
      <c r="B29" s="23"/>
      <c r="C29" s="130"/>
      <c r="D29" s="129"/>
      <c r="E29" s="131"/>
      <c r="F29" s="131"/>
      <c r="G29" s="131"/>
      <c r="H29" s="131"/>
      <c r="I29" s="131"/>
      <c r="J29" s="131"/>
      <c r="K29" s="131"/>
      <c r="L29" s="131"/>
      <c r="M29" s="131"/>
      <c r="N29" s="131"/>
      <c r="O29" s="131"/>
      <c r="Q29" s="35"/>
      <c r="S29" s="251"/>
      <c r="T29" s="251"/>
      <c r="U29" s="251"/>
    </row>
    <row r="30" spans="2:21" s="22" customFormat="1" ht="43.2" x14ac:dyDescent="0.3">
      <c r="B30" s="35"/>
      <c r="C30" s="66" t="s">
        <v>311</v>
      </c>
      <c r="D30" s="43" t="s">
        <v>141</v>
      </c>
      <c r="E30" s="132">
        <v>0</v>
      </c>
      <c r="F30" s="132">
        <v>0</v>
      </c>
      <c r="G30" s="132">
        <v>715057</v>
      </c>
      <c r="H30" s="133">
        <f>SUM(H31:H36)</f>
        <v>715057</v>
      </c>
      <c r="I30" s="133">
        <f t="shared" ref="I30:O30" si="9">SUM(I31:I36)</f>
        <v>744396.66666666663</v>
      </c>
      <c r="J30" s="133">
        <f t="shared" si="9"/>
        <v>754396.66666666663</v>
      </c>
      <c r="K30" s="133">
        <f t="shared" si="9"/>
        <v>773230</v>
      </c>
      <c r="L30" s="133">
        <f t="shared" si="9"/>
        <v>806563.33333333337</v>
      </c>
      <c r="M30" s="133">
        <f t="shared" si="9"/>
        <v>819396.66666666663</v>
      </c>
      <c r="N30" s="133">
        <f t="shared" si="9"/>
        <v>819396.66666666663</v>
      </c>
      <c r="O30" s="133">
        <f t="shared" si="9"/>
        <v>819396.66666666663</v>
      </c>
      <c r="Q30" s="35"/>
      <c r="S30" s="251"/>
      <c r="T30" s="251"/>
      <c r="U30" s="251"/>
    </row>
    <row r="31" spans="2:21" s="22" customFormat="1" x14ac:dyDescent="0.3">
      <c r="B31" s="35"/>
      <c r="C31" s="48" t="s">
        <v>312</v>
      </c>
      <c r="D31" s="43" t="s">
        <v>141</v>
      </c>
      <c r="E31" s="132">
        <v>0</v>
      </c>
      <c r="F31" s="132">
        <v>0</v>
      </c>
      <c r="G31" s="132">
        <v>0</v>
      </c>
      <c r="H31" s="87">
        <v>0</v>
      </c>
      <c r="I31" s="87">
        <v>0</v>
      </c>
      <c r="J31" s="87">
        <v>0</v>
      </c>
      <c r="K31" s="87">
        <v>0</v>
      </c>
      <c r="L31" s="87">
        <v>0</v>
      </c>
      <c r="M31" s="87">
        <v>0</v>
      </c>
      <c r="N31" s="87">
        <v>0</v>
      </c>
      <c r="O31" s="87">
        <v>0</v>
      </c>
      <c r="Q31" s="35"/>
      <c r="S31" s="251"/>
      <c r="T31" s="251"/>
      <c r="U31" s="251"/>
    </row>
    <row r="32" spans="2:21" s="22" customFormat="1" x14ac:dyDescent="0.3">
      <c r="B32" s="35"/>
      <c r="C32" s="48" t="s">
        <v>313</v>
      </c>
      <c r="D32" s="43" t="s">
        <v>141</v>
      </c>
      <c r="E32" s="87">
        <v>0</v>
      </c>
      <c r="F32" s="87">
        <v>0</v>
      </c>
      <c r="G32" s="87">
        <v>0</v>
      </c>
      <c r="H32" s="87">
        <v>0</v>
      </c>
      <c r="I32" s="87">
        <v>0</v>
      </c>
      <c r="J32" s="87">
        <v>0</v>
      </c>
      <c r="K32" s="87">
        <v>0</v>
      </c>
      <c r="L32" s="87">
        <v>0</v>
      </c>
      <c r="M32" s="87">
        <v>0</v>
      </c>
      <c r="N32" s="87">
        <v>0</v>
      </c>
      <c r="O32" s="87">
        <v>0</v>
      </c>
      <c r="Q32" s="35"/>
      <c r="S32" s="251"/>
      <c r="T32" s="251"/>
      <c r="U32" s="251"/>
    </row>
    <row r="33" spans="2:21" s="22" customFormat="1" x14ac:dyDescent="0.3">
      <c r="B33" s="35"/>
      <c r="C33" s="48" t="s">
        <v>314</v>
      </c>
      <c r="D33" s="43" t="s">
        <v>141</v>
      </c>
      <c r="E33" s="132">
        <v>0</v>
      </c>
      <c r="F33" s="132">
        <v>0</v>
      </c>
      <c r="G33" s="132">
        <v>0</v>
      </c>
      <c r="H33" s="87">
        <v>0</v>
      </c>
      <c r="I33" s="87">
        <v>0</v>
      </c>
      <c r="J33" s="87">
        <v>0</v>
      </c>
      <c r="K33" s="87">
        <v>0</v>
      </c>
      <c r="L33" s="87">
        <v>0</v>
      </c>
      <c r="M33" s="87">
        <v>0</v>
      </c>
      <c r="N33" s="87">
        <v>0</v>
      </c>
      <c r="O33" s="87">
        <v>0</v>
      </c>
      <c r="Q33" s="35"/>
      <c r="S33" s="251"/>
      <c r="T33" s="251"/>
      <c r="U33" s="251"/>
    </row>
    <row r="34" spans="2:21" s="22" customFormat="1" ht="43.2" x14ac:dyDescent="0.3">
      <c r="B34" s="35"/>
      <c r="C34" s="48" t="s">
        <v>315</v>
      </c>
      <c r="D34" s="43" t="s">
        <v>141</v>
      </c>
      <c r="E34" s="132">
        <v>0</v>
      </c>
      <c r="F34" s="132">
        <v>0</v>
      </c>
      <c r="G34" s="132">
        <v>0</v>
      </c>
      <c r="H34" s="87">
        <v>0</v>
      </c>
      <c r="I34" s="87">
        <v>0</v>
      </c>
      <c r="J34" s="87">
        <v>0</v>
      </c>
      <c r="K34" s="87">
        <v>0</v>
      </c>
      <c r="L34" s="87">
        <v>0</v>
      </c>
      <c r="M34" s="87">
        <v>0</v>
      </c>
      <c r="N34" s="87">
        <v>0</v>
      </c>
      <c r="O34" s="87">
        <v>0</v>
      </c>
      <c r="Q34" s="35"/>
      <c r="S34" s="251"/>
      <c r="T34" s="251"/>
      <c r="U34" s="251"/>
    </row>
    <row r="35" spans="2:21" s="22" customFormat="1" ht="28.8" x14ac:dyDescent="0.3">
      <c r="B35" s="35"/>
      <c r="C35" s="48" t="s">
        <v>316</v>
      </c>
      <c r="D35" s="43" t="s">
        <v>141</v>
      </c>
      <c r="E35" s="88">
        <f>E30-SUM(E31:E34)</f>
        <v>0</v>
      </c>
      <c r="F35" s="88">
        <f>F30-SUM(F31:F34)</f>
        <v>0</v>
      </c>
      <c r="G35" s="88">
        <f>G30-SUM(G31:G34)</f>
        <v>715057</v>
      </c>
      <c r="H35" s="87">
        <v>715057</v>
      </c>
      <c r="I35" s="87">
        <v>715057</v>
      </c>
      <c r="J35" s="87">
        <v>715057</v>
      </c>
      <c r="K35" s="87">
        <v>715057</v>
      </c>
      <c r="L35" s="87">
        <v>715057</v>
      </c>
      <c r="M35" s="87">
        <v>715057</v>
      </c>
      <c r="N35" s="87">
        <v>715057</v>
      </c>
      <c r="O35" s="87">
        <v>715057</v>
      </c>
      <c r="Q35" s="35"/>
      <c r="S35" s="251"/>
      <c r="T35" s="251"/>
      <c r="U35" s="251"/>
    </row>
    <row r="36" spans="2:21" s="22" customFormat="1" ht="43.2" x14ac:dyDescent="0.3">
      <c r="B36" s="35"/>
      <c r="C36" s="48" t="s">
        <v>317</v>
      </c>
      <c r="D36" s="43" t="s">
        <v>141</v>
      </c>
      <c r="E36" s="125" t="s">
        <v>92</v>
      </c>
      <c r="F36" s="125" t="s">
        <v>92</v>
      </c>
      <c r="G36" s="125" t="s">
        <v>92</v>
      </c>
      <c r="H36" s="87">
        <v>0</v>
      </c>
      <c r="I36" s="87">
        <f>H36+'Investitii si finantare'!H26/30</f>
        <v>29339.666666666668</v>
      </c>
      <c r="J36" s="87">
        <f>I36+'Investitii si finantare'!I26/30</f>
        <v>39339.666666666672</v>
      </c>
      <c r="K36" s="87">
        <f>J36+'Investitii si finantare'!J26/30</f>
        <v>58173</v>
      </c>
      <c r="L36" s="87">
        <f>K36+'Investitii si finantare'!K26/30</f>
        <v>91506.333333333343</v>
      </c>
      <c r="M36" s="87">
        <f>L36+'Investitii si finantare'!L26/30</f>
        <v>104339.66666666667</v>
      </c>
      <c r="N36" s="87">
        <f>M36+'Investitii si finantare'!M26/30</f>
        <v>104339.66666666667</v>
      </c>
      <c r="O36" s="87">
        <f>N36+'Investitii si finantare'!N26/30</f>
        <v>104339.66666666667</v>
      </c>
      <c r="Q36" s="35"/>
      <c r="S36" s="251"/>
      <c r="T36" s="251"/>
      <c r="U36" s="251"/>
    </row>
    <row r="37" spans="2:21" s="22" customFormat="1" x14ac:dyDescent="0.3">
      <c r="B37" s="35"/>
      <c r="C37" s="122"/>
      <c r="D37" s="123"/>
      <c r="E37" s="127"/>
      <c r="F37" s="128"/>
      <c r="G37" s="128"/>
      <c r="H37" s="128"/>
      <c r="I37" s="128"/>
      <c r="J37" s="128"/>
      <c r="K37" s="128"/>
      <c r="L37" s="128"/>
      <c r="M37" s="128"/>
      <c r="N37" s="128"/>
      <c r="O37" s="128"/>
      <c r="Q37" s="35"/>
      <c r="S37" s="251"/>
      <c r="T37" s="251"/>
      <c r="U37" s="251"/>
    </row>
    <row r="38" spans="2:21" s="22" customFormat="1" ht="43.2" x14ac:dyDescent="0.3">
      <c r="B38" s="35"/>
      <c r="C38" s="66" t="s">
        <v>318</v>
      </c>
      <c r="D38" s="51" t="s">
        <v>47</v>
      </c>
      <c r="E38" s="134" t="e">
        <f>E27/E30</f>
        <v>#DIV/0!</v>
      </c>
      <c r="F38" s="134" t="e">
        <f>F27/F30</f>
        <v>#DIV/0!</v>
      </c>
      <c r="G38" s="134">
        <f>G27/G30</f>
        <v>1.39848991059454E-7</v>
      </c>
      <c r="H38" s="135">
        <v>0.5302</v>
      </c>
      <c r="I38" s="135">
        <f>H38+3%</f>
        <v>0.56020000000000003</v>
      </c>
      <c r="J38" s="135">
        <f>I38+3%</f>
        <v>0.59020000000000006</v>
      </c>
      <c r="K38" s="135">
        <f>J38+3%</f>
        <v>0.62020000000000008</v>
      </c>
      <c r="L38" s="135">
        <f>K38+3%</f>
        <v>0.65020000000000011</v>
      </c>
      <c r="M38" s="135">
        <f>L38+3%</f>
        <v>0.68020000000000014</v>
      </c>
      <c r="N38" s="135">
        <v>1.01</v>
      </c>
      <c r="O38" s="135">
        <v>1.02</v>
      </c>
      <c r="Q38" s="35"/>
      <c r="S38" s="251"/>
      <c r="T38" s="251"/>
      <c r="U38" s="251"/>
    </row>
    <row r="39" spans="2:21" s="22" customFormat="1" ht="75.599999999999994" customHeight="1" x14ac:dyDescent="0.3">
      <c r="B39" s="35"/>
      <c r="C39" s="122" t="s">
        <v>319</v>
      </c>
      <c r="D39" s="123"/>
      <c r="E39" s="127"/>
      <c r="F39" s="128"/>
      <c r="G39" s="128"/>
      <c r="H39" s="136" t="str">
        <f>IF(H27&gt;G27,"OK","Redeventa propusa trebuie sa fie mai mare decat cea din anul anterior")</f>
        <v>OK</v>
      </c>
      <c r="I39" s="136" t="str">
        <f t="shared" ref="I39:O39" si="10">IF(I27&gt;H27,"OK","Redeventa propusa trebuie sa fie mai mare decat cea din anul anterior")</f>
        <v>OK</v>
      </c>
      <c r="J39" s="136" t="str">
        <f t="shared" si="10"/>
        <v>OK</v>
      </c>
      <c r="K39" s="136" t="str">
        <f t="shared" si="10"/>
        <v>OK</v>
      </c>
      <c r="L39" s="136" t="str">
        <f t="shared" si="10"/>
        <v>OK</v>
      </c>
      <c r="M39" s="136" t="str">
        <f t="shared" si="10"/>
        <v>OK</v>
      </c>
      <c r="N39" s="136" t="str">
        <f t="shared" si="10"/>
        <v>OK</v>
      </c>
      <c r="O39" s="136" t="str">
        <f t="shared" si="10"/>
        <v>OK</v>
      </c>
      <c r="Q39" s="35"/>
      <c r="S39" s="251"/>
      <c r="T39" s="251"/>
      <c r="U39" s="251"/>
    </row>
    <row r="40" spans="2:21" ht="6.6" customHeight="1" x14ac:dyDescent="0.3">
      <c r="B40" s="35"/>
      <c r="C40" s="35"/>
      <c r="D40" s="35"/>
      <c r="E40" s="35"/>
      <c r="F40" s="35"/>
      <c r="G40" s="35"/>
      <c r="H40" s="35"/>
      <c r="I40" s="35"/>
      <c r="J40" s="35"/>
      <c r="K40" s="35"/>
      <c r="L40" s="35"/>
      <c r="M40" s="35"/>
      <c r="N40" s="35"/>
      <c r="O40" s="35"/>
      <c r="P40" s="35"/>
      <c r="Q40" s="35"/>
    </row>
    <row r="42" spans="2:21" ht="8.1" customHeight="1" x14ac:dyDescent="0.3">
      <c r="B42" s="23"/>
      <c r="C42" s="23"/>
      <c r="D42" s="23"/>
      <c r="E42" s="23"/>
      <c r="F42" s="23"/>
      <c r="G42" s="23"/>
      <c r="H42" s="23"/>
      <c r="I42" s="23"/>
      <c r="J42" s="23"/>
      <c r="K42" s="23"/>
      <c r="L42" s="23"/>
      <c r="M42" s="23"/>
      <c r="N42" s="23"/>
      <c r="O42" s="23"/>
      <c r="P42" s="23"/>
      <c r="Q42" s="23"/>
    </row>
    <row r="43" spans="2:21" x14ac:dyDescent="0.3">
      <c r="B43" s="23"/>
      <c r="C43" s="24" t="str">
        <f>'Costuri operare'!C71</f>
        <v>ACTIVITATEA DE CANALIZARE-EPURARE APE UZATE SI METEORICE PROCESATE</v>
      </c>
      <c r="Q43" s="23"/>
    </row>
    <row r="44" spans="2:21" ht="8.1" customHeight="1" x14ac:dyDescent="0.3">
      <c r="B44" s="23"/>
      <c r="C44" s="23"/>
      <c r="D44" s="23"/>
      <c r="E44" s="23"/>
      <c r="F44" s="23"/>
      <c r="G44" s="23"/>
      <c r="H44" s="23"/>
      <c r="I44" s="23"/>
      <c r="J44" s="23"/>
      <c r="K44" s="23"/>
      <c r="L44" s="23"/>
      <c r="M44" s="23"/>
      <c r="N44" s="23"/>
      <c r="O44" s="23"/>
      <c r="P44" s="23"/>
      <c r="Q44" s="23"/>
    </row>
    <row r="45" spans="2:21" x14ac:dyDescent="0.3">
      <c r="B45" s="23"/>
      <c r="Q45" s="23"/>
    </row>
    <row r="46" spans="2:21" s="22" customFormat="1" ht="29.1" customHeight="1" x14ac:dyDescent="0.3">
      <c r="B46" s="35"/>
      <c r="C46" s="89" t="s">
        <v>300</v>
      </c>
      <c r="D46" s="89"/>
      <c r="E46" s="111">
        <f>F46-1</f>
        <v>2022</v>
      </c>
      <c r="F46" s="111">
        <f>G46-1</f>
        <v>2023</v>
      </c>
      <c r="G46" s="112">
        <f>'Date generale'!$D$8</f>
        <v>2024</v>
      </c>
      <c r="H46" s="113">
        <f t="shared" ref="H46:O46" si="11">G46+1</f>
        <v>2025</v>
      </c>
      <c r="I46" s="113">
        <f t="shared" si="11"/>
        <v>2026</v>
      </c>
      <c r="J46" s="113">
        <f t="shared" si="11"/>
        <v>2027</v>
      </c>
      <c r="K46" s="113">
        <f t="shared" si="11"/>
        <v>2028</v>
      </c>
      <c r="L46" s="113">
        <f t="shared" si="11"/>
        <v>2029</v>
      </c>
      <c r="M46" s="113">
        <f t="shared" si="11"/>
        <v>2030</v>
      </c>
      <c r="N46" s="113">
        <f t="shared" si="11"/>
        <v>2031</v>
      </c>
      <c r="O46" s="113">
        <f t="shared" si="11"/>
        <v>2032</v>
      </c>
      <c r="Q46" s="35"/>
      <c r="S46" s="250" t="s">
        <v>301</v>
      </c>
      <c r="T46" s="250"/>
      <c r="U46" s="250"/>
    </row>
    <row r="47" spans="2:21" x14ac:dyDescent="0.3">
      <c r="B47" s="23"/>
      <c r="C47" s="114"/>
      <c r="D47" s="114"/>
      <c r="E47" s="115">
        <f>F47-1</f>
        <v>-3</v>
      </c>
      <c r="F47" s="115">
        <f>G47-1</f>
        <v>-2</v>
      </c>
      <c r="G47" s="116">
        <v>-1</v>
      </c>
      <c r="H47" s="116">
        <v>0</v>
      </c>
      <c r="I47" s="116">
        <f t="shared" ref="I47:O47" si="12">H47+1</f>
        <v>1</v>
      </c>
      <c r="J47" s="116">
        <f t="shared" si="12"/>
        <v>2</v>
      </c>
      <c r="K47" s="116">
        <f t="shared" si="12"/>
        <v>3</v>
      </c>
      <c r="L47" s="116">
        <f t="shared" si="12"/>
        <v>4</v>
      </c>
      <c r="M47" s="116">
        <f t="shared" si="12"/>
        <v>5</v>
      </c>
      <c r="N47" s="116">
        <f t="shared" si="12"/>
        <v>6</v>
      </c>
      <c r="O47" s="116">
        <f t="shared" si="12"/>
        <v>7</v>
      </c>
      <c r="Q47" s="35"/>
      <c r="S47" s="115" t="s">
        <v>302</v>
      </c>
      <c r="T47" s="115" t="s">
        <v>303</v>
      </c>
      <c r="U47" s="138" t="s">
        <v>304</v>
      </c>
    </row>
    <row r="48" spans="2:21" s="24" customFormat="1" x14ac:dyDescent="0.3">
      <c r="B48" s="61"/>
      <c r="C48" s="42"/>
      <c r="D48" s="51"/>
      <c r="E48" s="62"/>
      <c r="F48" s="62"/>
      <c r="G48" s="62"/>
      <c r="H48" s="62"/>
      <c r="I48" s="62"/>
      <c r="J48" s="62"/>
      <c r="K48" s="62"/>
      <c r="L48" s="62"/>
      <c r="M48" s="62"/>
      <c r="N48" s="62"/>
      <c r="O48" s="62"/>
      <c r="Q48" s="35"/>
      <c r="S48" s="251"/>
      <c r="T48" s="244" t="s">
        <v>320</v>
      </c>
      <c r="U48" s="251"/>
    </row>
    <row r="49" spans="2:21" x14ac:dyDescent="0.3">
      <c r="B49" s="23"/>
      <c r="C49" s="66" t="s">
        <v>305</v>
      </c>
      <c r="D49" s="43" t="s">
        <v>141</v>
      </c>
      <c r="E49" s="88">
        <f>'Costuri operare'!E79</f>
        <v>4355</v>
      </c>
      <c r="F49" s="88">
        <f>'Costuri operare'!F79</f>
        <v>4897</v>
      </c>
      <c r="G49" s="88">
        <f>'Costuri operare'!G79</f>
        <v>6348</v>
      </c>
      <c r="H49" s="87">
        <f>G49</f>
        <v>6348</v>
      </c>
      <c r="I49" s="87">
        <f t="shared" ref="I49:O49" si="13">H49</f>
        <v>6348</v>
      </c>
      <c r="J49" s="87">
        <f t="shared" si="13"/>
        <v>6348</v>
      </c>
      <c r="K49" s="87">
        <f t="shared" si="13"/>
        <v>6348</v>
      </c>
      <c r="L49" s="87">
        <f t="shared" si="13"/>
        <v>6348</v>
      </c>
      <c r="M49" s="87">
        <f t="shared" si="13"/>
        <v>6348</v>
      </c>
      <c r="N49" s="87">
        <f t="shared" si="13"/>
        <v>6348</v>
      </c>
      <c r="O49" s="87">
        <f t="shared" si="13"/>
        <v>6348</v>
      </c>
      <c r="Q49" s="35"/>
      <c r="S49" s="251"/>
      <c r="T49" s="244"/>
      <c r="U49" s="251"/>
    </row>
    <row r="50" spans="2:21" s="22" customFormat="1" x14ac:dyDescent="0.3">
      <c r="B50" s="35"/>
      <c r="C50" s="50"/>
      <c r="D50" s="43"/>
      <c r="E50" s="88"/>
      <c r="F50" s="88"/>
      <c r="G50" s="88"/>
      <c r="H50" s="88"/>
      <c r="I50" s="88"/>
      <c r="J50" s="88"/>
      <c r="K50" s="88"/>
      <c r="L50" s="88"/>
      <c r="M50" s="88"/>
      <c r="N50" s="88"/>
      <c r="O50" s="88"/>
      <c r="Q50" s="35"/>
      <c r="S50" s="251"/>
      <c r="T50" s="244"/>
      <c r="U50" s="251"/>
    </row>
    <row r="51" spans="2:21" s="22" customFormat="1" x14ac:dyDescent="0.3">
      <c r="B51" s="35"/>
      <c r="C51" s="66" t="s">
        <v>306</v>
      </c>
      <c r="D51" s="43"/>
      <c r="E51" s="88"/>
      <c r="F51" s="88"/>
      <c r="G51" s="88"/>
      <c r="H51" s="88"/>
      <c r="I51" s="88"/>
      <c r="J51" s="88"/>
      <c r="K51" s="88"/>
      <c r="L51" s="88"/>
      <c r="M51" s="88"/>
      <c r="N51" s="88"/>
      <c r="O51" s="88"/>
      <c r="Q51" s="35"/>
      <c r="S51" s="251"/>
      <c r="T51" s="244"/>
      <c r="U51" s="251"/>
    </row>
    <row r="52" spans="2:21" s="22" customFormat="1" x14ac:dyDescent="0.3">
      <c r="B52" s="35"/>
      <c r="C52" s="50" t="s">
        <v>264</v>
      </c>
      <c r="D52" s="43" t="s">
        <v>141</v>
      </c>
      <c r="E52" s="88"/>
      <c r="F52" s="88"/>
      <c r="G52" s="88"/>
      <c r="H52" s="87">
        <v>0</v>
      </c>
      <c r="I52" s="87">
        <v>0</v>
      </c>
      <c r="J52" s="87">
        <v>0</v>
      </c>
      <c r="K52" s="87">
        <v>0</v>
      </c>
      <c r="L52" s="87">
        <v>0</v>
      </c>
      <c r="M52" s="87">
        <v>0</v>
      </c>
      <c r="N52" s="87">
        <v>0</v>
      </c>
      <c r="O52" s="87">
        <v>0</v>
      </c>
      <c r="Q52" s="35"/>
      <c r="S52" s="251"/>
      <c r="T52" s="244"/>
      <c r="U52" s="251"/>
    </row>
    <row r="53" spans="2:21" s="22" customFormat="1" x14ac:dyDescent="0.3">
      <c r="B53" s="35"/>
      <c r="C53" s="50" t="s">
        <v>266</v>
      </c>
      <c r="D53" s="43" t="s">
        <v>141</v>
      </c>
      <c r="E53" s="88"/>
      <c r="F53" s="88"/>
      <c r="G53" s="88"/>
      <c r="H53" s="87">
        <v>0</v>
      </c>
      <c r="I53" s="87"/>
      <c r="J53" s="87"/>
      <c r="K53" s="87"/>
      <c r="L53" s="87"/>
      <c r="M53" s="87"/>
      <c r="N53" s="87"/>
      <c r="O53" s="87"/>
      <c r="Q53" s="35"/>
      <c r="S53" s="251"/>
      <c r="T53" s="244"/>
      <c r="U53" s="251"/>
    </row>
    <row r="54" spans="2:21" s="22" customFormat="1" x14ac:dyDescent="0.3">
      <c r="B54" s="35"/>
      <c r="C54" s="50" t="s">
        <v>267</v>
      </c>
      <c r="D54" s="43" t="s">
        <v>141</v>
      </c>
      <c r="E54" s="88"/>
      <c r="F54" s="88"/>
      <c r="G54" s="88"/>
      <c r="H54" s="87"/>
      <c r="I54" s="87"/>
      <c r="J54" s="87"/>
      <c r="K54" s="87"/>
      <c r="L54" s="87"/>
      <c r="M54" s="87"/>
      <c r="N54" s="87"/>
      <c r="O54" s="87"/>
      <c r="Q54" s="35"/>
      <c r="S54" s="251"/>
      <c r="T54" s="244"/>
      <c r="U54" s="251"/>
    </row>
    <row r="55" spans="2:21" s="22" customFormat="1" x14ac:dyDescent="0.3">
      <c r="B55" s="35"/>
      <c r="C55" s="122"/>
      <c r="D55" s="123"/>
      <c r="E55" s="124"/>
      <c r="F55" s="124"/>
      <c r="G55" s="124"/>
      <c r="H55" s="124"/>
      <c r="I55" s="124"/>
      <c r="J55" s="124"/>
      <c r="K55" s="124"/>
      <c r="L55" s="124"/>
      <c r="M55" s="124"/>
      <c r="N55" s="124"/>
      <c r="O55" s="124"/>
      <c r="Q55" s="35"/>
      <c r="S55" s="251"/>
      <c r="T55" s="244"/>
      <c r="U55" s="251"/>
    </row>
    <row r="56" spans="2:21" s="22" customFormat="1" x14ac:dyDescent="0.3">
      <c r="B56" s="35"/>
      <c r="C56" s="66" t="s">
        <v>307</v>
      </c>
      <c r="D56" s="51" t="s">
        <v>141</v>
      </c>
      <c r="E56" s="62">
        <f>E49</f>
        <v>4355</v>
      </c>
      <c r="F56" s="62">
        <f>F49</f>
        <v>4897</v>
      </c>
      <c r="G56" s="62">
        <f>G49</f>
        <v>6348</v>
      </c>
      <c r="H56" s="62">
        <f t="shared" ref="H56:O56" si="14">H49+H52+H53+H54</f>
        <v>6348</v>
      </c>
      <c r="I56" s="62">
        <f t="shared" si="14"/>
        <v>6348</v>
      </c>
      <c r="J56" s="62">
        <f t="shared" si="14"/>
        <v>6348</v>
      </c>
      <c r="K56" s="62">
        <f t="shared" si="14"/>
        <v>6348</v>
      </c>
      <c r="L56" s="62">
        <f t="shared" si="14"/>
        <v>6348</v>
      </c>
      <c r="M56" s="62">
        <f t="shared" si="14"/>
        <v>6348</v>
      </c>
      <c r="N56" s="62">
        <f t="shared" si="14"/>
        <v>6348</v>
      </c>
      <c r="O56" s="62">
        <f t="shared" si="14"/>
        <v>6348</v>
      </c>
      <c r="Q56" s="35"/>
      <c r="S56" s="251"/>
      <c r="T56" s="244"/>
      <c r="U56" s="251"/>
    </row>
    <row r="57" spans="2:21" s="22" customFormat="1" x14ac:dyDescent="0.3">
      <c r="B57" s="35"/>
      <c r="C57" s="50" t="s">
        <v>308</v>
      </c>
      <c r="D57" s="43" t="s">
        <v>47</v>
      </c>
      <c r="E57" s="125" t="s">
        <v>92</v>
      </c>
      <c r="F57" s="126">
        <f t="shared" ref="F57:O57" si="15">F56/E56-1</f>
        <v>0.12445464982778409</v>
      </c>
      <c r="G57" s="126">
        <f t="shared" si="15"/>
        <v>0.29630385950581983</v>
      </c>
      <c r="H57" s="126">
        <f t="shared" si="15"/>
        <v>0</v>
      </c>
      <c r="I57" s="126">
        <f t="shared" si="15"/>
        <v>0</v>
      </c>
      <c r="J57" s="126">
        <f t="shared" si="15"/>
        <v>0</v>
      </c>
      <c r="K57" s="126">
        <f t="shared" si="15"/>
        <v>0</v>
      </c>
      <c r="L57" s="126">
        <f t="shared" si="15"/>
        <v>0</v>
      </c>
      <c r="M57" s="126">
        <f t="shared" si="15"/>
        <v>0</v>
      </c>
      <c r="N57" s="126">
        <f t="shared" si="15"/>
        <v>0</v>
      </c>
      <c r="O57" s="126">
        <f t="shared" si="15"/>
        <v>0</v>
      </c>
      <c r="Q57" s="35"/>
      <c r="S57" s="251"/>
      <c r="T57" s="244"/>
      <c r="U57" s="251"/>
    </row>
    <row r="58" spans="2:21" s="22" customFormat="1" x14ac:dyDescent="0.3">
      <c r="B58" s="35"/>
      <c r="C58" s="122"/>
      <c r="D58" s="123"/>
      <c r="E58" s="127"/>
      <c r="F58" s="128"/>
      <c r="G58" s="128"/>
      <c r="H58" s="128"/>
      <c r="I58" s="128"/>
      <c r="J58" s="128"/>
      <c r="K58" s="128"/>
      <c r="L58" s="128"/>
      <c r="M58" s="128"/>
      <c r="N58" s="128"/>
      <c r="O58" s="128"/>
      <c r="Q58" s="35"/>
      <c r="S58" s="251"/>
      <c r="T58" s="244"/>
      <c r="U58" s="251"/>
    </row>
    <row r="59" spans="2:21" s="22" customFormat="1" x14ac:dyDescent="0.3">
      <c r="B59" s="35"/>
      <c r="C59" s="89" t="s">
        <v>309</v>
      </c>
      <c r="D59" s="89"/>
      <c r="E59" s="111">
        <f>F59-1</f>
        <v>2022</v>
      </c>
      <c r="F59" s="111">
        <f>G59-1</f>
        <v>2023</v>
      </c>
      <c r="G59" s="112">
        <f>'Date generale'!$D$8</f>
        <v>2024</v>
      </c>
      <c r="H59" s="113">
        <f t="shared" ref="H59:O59" si="16">G59+1</f>
        <v>2025</v>
      </c>
      <c r="I59" s="113">
        <f t="shared" si="16"/>
        <v>2026</v>
      </c>
      <c r="J59" s="113">
        <f t="shared" si="16"/>
        <v>2027</v>
      </c>
      <c r="K59" s="113">
        <f t="shared" si="16"/>
        <v>2028</v>
      </c>
      <c r="L59" s="113">
        <f t="shared" si="16"/>
        <v>2029</v>
      </c>
      <c r="M59" s="113">
        <f t="shared" si="16"/>
        <v>2030</v>
      </c>
      <c r="N59" s="113">
        <f t="shared" si="16"/>
        <v>2031</v>
      </c>
      <c r="O59" s="113">
        <f t="shared" si="16"/>
        <v>2032</v>
      </c>
      <c r="Q59" s="35"/>
      <c r="S59" s="251"/>
      <c r="T59" s="244"/>
      <c r="U59" s="251"/>
    </row>
    <row r="60" spans="2:21" s="22" customFormat="1" x14ac:dyDescent="0.3">
      <c r="B60" s="35"/>
      <c r="C60" s="114"/>
      <c r="D60" s="114"/>
      <c r="E60" s="115">
        <f>F60-1</f>
        <v>-3</v>
      </c>
      <c r="F60" s="115">
        <f>G60-1</f>
        <v>-2</v>
      </c>
      <c r="G60" s="116">
        <v>-1</v>
      </c>
      <c r="H60" s="116">
        <v>0</v>
      </c>
      <c r="I60" s="116">
        <f t="shared" ref="I60:O60" si="17">H60+1</f>
        <v>1</v>
      </c>
      <c r="J60" s="116">
        <f t="shared" si="17"/>
        <v>2</v>
      </c>
      <c r="K60" s="116">
        <f t="shared" si="17"/>
        <v>3</v>
      </c>
      <c r="L60" s="116">
        <f t="shared" si="17"/>
        <v>4</v>
      </c>
      <c r="M60" s="116">
        <f t="shared" si="17"/>
        <v>5</v>
      </c>
      <c r="N60" s="116">
        <f t="shared" si="17"/>
        <v>6</v>
      </c>
      <c r="O60" s="116">
        <f t="shared" si="17"/>
        <v>7</v>
      </c>
      <c r="Q60" s="35"/>
      <c r="S60" s="251"/>
      <c r="T60" s="244"/>
      <c r="U60" s="251"/>
    </row>
    <row r="61" spans="2:21" s="22" customFormat="1" x14ac:dyDescent="0.3">
      <c r="B61" s="35"/>
      <c r="C61" s="122"/>
      <c r="D61" s="123"/>
      <c r="E61" s="127"/>
      <c r="F61" s="128"/>
      <c r="G61" s="128"/>
      <c r="H61" s="128"/>
      <c r="I61" s="128"/>
      <c r="J61" s="128"/>
      <c r="K61" s="128"/>
      <c r="L61" s="128"/>
      <c r="M61" s="128"/>
      <c r="N61" s="128"/>
      <c r="O61" s="128"/>
      <c r="Q61" s="35"/>
      <c r="S61" s="251"/>
      <c r="T61" s="244"/>
      <c r="U61" s="251"/>
    </row>
    <row r="62" spans="2:21" ht="32.25" customHeight="1" x14ac:dyDescent="0.3">
      <c r="B62" s="23"/>
      <c r="C62" s="66" t="s">
        <v>310</v>
      </c>
      <c r="D62" s="43" t="s">
        <v>141</v>
      </c>
      <c r="E62" s="88">
        <f>'Costuri operare'!E80</f>
        <v>0</v>
      </c>
      <c r="F62" s="88">
        <f>'Costuri operare'!F80</f>
        <v>0</v>
      </c>
      <c r="G62" s="88">
        <f>'Costuri operare'!G80</f>
        <v>1</v>
      </c>
      <c r="H62" s="88">
        <f t="shared" ref="H62:O62" si="18">H65*H73</f>
        <v>220894.57500000001</v>
      </c>
      <c r="I62" s="88">
        <f t="shared" si="18"/>
        <v>263311.26909866667</v>
      </c>
      <c r="J62" s="88">
        <f t="shared" si="18"/>
        <v>330805.39977072633</v>
      </c>
      <c r="K62" s="88">
        <f t="shared" si="18"/>
        <v>331911.27039999998</v>
      </c>
      <c r="L62" s="88">
        <f t="shared" si="18"/>
        <v>334316.42453333328</v>
      </c>
      <c r="M62" s="88">
        <f t="shared" si="18"/>
        <v>349870.50163200009</v>
      </c>
      <c r="N62" s="88">
        <f t="shared" si="18"/>
        <v>519507.80160000006</v>
      </c>
      <c r="O62" s="88">
        <f t="shared" si="18"/>
        <v>424957.5</v>
      </c>
      <c r="Q62" s="35"/>
      <c r="S62" s="251"/>
      <c r="T62" s="244"/>
      <c r="U62" s="251"/>
    </row>
    <row r="63" spans="2:21" x14ac:dyDescent="0.3">
      <c r="B63" s="23"/>
      <c r="C63" s="50" t="s">
        <v>308</v>
      </c>
      <c r="D63" s="129" t="s">
        <v>47</v>
      </c>
      <c r="E63" s="125" t="s">
        <v>92</v>
      </c>
      <c r="F63" s="126" t="e">
        <f t="shared" ref="F63:O63" si="19">F62/E62-1</f>
        <v>#DIV/0!</v>
      </c>
      <c r="G63" s="126" t="e">
        <f t="shared" si="19"/>
        <v>#DIV/0!</v>
      </c>
      <c r="H63" s="126">
        <f t="shared" si="19"/>
        <v>220893.57500000001</v>
      </c>
      <c r="I63" s="126">
        <f t="shared" si="19"/>
        <v>0.19202234413709185</v>
      </c>
      <c r="J63" s="126">
        <f t="shared" si="19"/>
        <v>0.25632830263245809</v>
      </c>
      <c r="K63" s="126">
        <f t="shared" si="19"/>
        <v>3.3429642624942524E-3</v>
      </c>
      <c r="L63" s="126">
        <f t="shared" si="19"/>
        <v>7.246376811594013E-3</v>
      </c>
      <c r="M63" s="126">
        <f t="shared" si="19"/>
        <v>4.6525016293705868E-2</v>
      </c>
      <c r="N63" s="126">
        <f t="shared" si="19"/>
        <v>0.48485739488385748</v>
      </c>
      <c r="O63" s="126">
        <f t="shared" si="19"/>
        <v>-0.18199977230139841</v>
      </c>
      <c r="Q63" s="35"/>
      <c r="S63" s="251"/>
      <c r="T63" s="244"/>
      <c r="U63" s="251"/>
    </row>
    <row r="64" spans="2:21" x14ac:dyDescent="0.3">
      <c r="B64" s="23"/>
      <c r="C64" s="130"/>
      <c r="D64" s="129"/>
      <c r="E64" s="131"/>
      <c r="F64" s="131"/>
      <c r="G64" s="131"/>
      <c r="H64" s="131"/>
      <c r="I64" s="131"/>
      <c r="J64" s="131"/>
      <c r="K64" s="131"/>
      <c r="L64" s="131"/>
      <c r="M64" s="131"/>
      <c r="N64" s="131"/>
      <c r="O64" s="131"/>
      <c r="Q64" s="35"/>
      <c r="S64" s="251"/>
      <c r="T64" s="244"/>
      <c r="U64" s="251"/>
    </row>
    <row r="65" spans="2:21" s="22" customFormat="1" ht="43.2" x14ac:dyDescent="0.3">
      <c r="B65" s="35"/>
      <c r="C65" s="66" t="s">
        <v>311</v>
      </c>
      <c r="D65" s="43" t="s">
        <v>141</v>
      </c>
      <c r="E65" s="132">
        <v>0</v>
      </c>
      <c r="F65" s="132">
        <v>0</v>
      </c>
      <c r="G65" s="132">
        <v>416625</v>
      </c>
      <c r="H65" s="133">
        <f t="shared" ref="H65:O65" si="20">SUM(H66:H71)</f>
        <v>416625</v>
      </c>
      <c r="I65" s="133">
        <f t="shared" si="20"/>
        <v>470030.82666666666</v>
      </c>
      <c r="J65" s="133">
        <f t="shared" si="20"/>
        <v>481030.82666666666</v>
      </c>
      <c r="K65" s="133">
        <f t="shared" si="20"/>
        <v>481030.82666666666</v>
      </c>
      <c r="L65" s="133">
        <f t="shared" si="20"/>
        <v>481030.82666666666</v>
      </c>
      <c r="M65" s="133">
        <f t="shared" si="20"/>
        <v>514364.16000000003</v>
      </c>
      <c r="N65" s="133">
        <f t="shared" si="20"/>
        <v>514364.16000000003</v>
      </c>
      <c r="O65" s="133">
        <f t="shared" si="20"/>
        <v>416625</v>
      </c>
      <c r="Q65" s="35"/>
      <c r="S65" s="251"/>
      <c r="T65" s="244"/>
      <c r="U65" s="251"/>
    </row>
    <row r="66" spans="2:21" s="22" customFormat="1" x14ac:dyDescent="0.3">
      <c r="B66" s="35"/>
      <c r="C66" s="48" t="s">
        <v>312</v>
      </c>
      <c r="D66" s="43" t="s">
        <v>141</v>
      </c>
      <c r="E66" s="132">
        <v>0</v>
      </c>
      <c r="F66" s="132">
        <v>0</v>
      </c>
      <c r="G66" s="132">
        <v>0</v>
      </c>
      <c r="H66" s="132">
        <v>0</v>
      </c>
      <c r="I66" s="132">
        <v>0</v>
      </c>
      <c r="J66" s="132">
        <v>0</v>
      </c>
      <c r="K66" s="132">
        <v>0</v>
      </c>
      <c r="L66" s="132">
        <v>0</v>
      </c>
      <c r="M66" s="132">
        <v>0</v>
      </c>
      <c r="N66" s="132">
        <v>0</v>
      </c>
      <c r="O66" s="132">
        <v>0</v>
      </c>
      <c r="Q66" s="35"/>
      <c r="S66" s="251"/>
      <c r="T66" s="244"/>
      <c r="U66" s="251"/>
    </row>
    <row r="67" spans="2:21" s="22" customFormat="1" x14ac:dyDescent="0.3">
      <c r="B67" s="35"/>
      <c r="C67" s="48" t="s">
        <v>313</v>
      </c>
      <c r="D67" s="43" t="s">
        <v>141</v>
      </c>
      <c r="E67" s="132">
        <v>0</v>
      </c>
      <c r="F67" s="132">
        <v>0</v>
      </c>
      <c r="G67" s="132">
        <v>0</v>
      </c>
      <c r="H67" s="132">
        <v>0</v>
      </c>
      <c r="I67" s="132">
        <v>0</v>
      </c>
      <c r="J67" s="132">
        <v>0</v>
      </c>
      <c r="K67" s="132">
        <v>0</v>
      </c>
      <c r="L67" s="132">
        <v>0</v>
      </c>
      <c r="M67" s="132">
        <v>0</v>
      </c>
      <c r="N67" s="132">
        <v>0</v>
      </c>
      <c r="O67" s="132">
        <v>0</v>
      </c>
      <c r="Q67" s="35"/>
      <c r="S67" s="251"/>
      <c r="T67" s="244"/>
      <c r="U67" s="251"/>
    </row>
    <row r="68" spans="2:21" s="22" customFormat="1" x14ac:dyDescent="0.3">
      <c r="B68" s="35"/>
      <c r="C68" s="48" t="s">
        <v>314</v>
      </c>
      <c r="D68" s="43" t="s">
        <v>141</v>
      </c>
      <c r="E68" s="132">
        <v>0</v>
      </c>
      <c r="F68" s="132">
        <v>0</v>
      </c>
      <c r="G68" s="132">
        <v>0</v>
      </c>
      <c r="H68" s="132">
        <v>0</v>
      </c>
      <c r="I68" s="132">
        <v>0</v>
      </c>
      <c r="J68" s="132">
        <v>0</v>
      </c>
      <c r="K68" s="132">
        <v>0</v>
      </c>
      <c r="L68" s="132">
        <v>0</v>
      </c>
      <c r="M68" s="132">
        <v>0</v>
      </c>
      <c r="N68" s="132">
        <v>0</v>
      </c>
      <c r="O68" s="132">
        <v>0</v>
      </c>
      <c r="Q68" s="35"/>
      <c r="S68" s="251"/>
      <c r="T68" s="244"/>
      <c r="U68" s="251"/>
    </row>
    <row r="69" spans="2:21" s="22" customFormat="1" ht="43.2" x14ac:dyDescent="0.3">
      <c r="B69" s="35"/>
      <c r="C69" s="48" t="s">
        <v>315</v>
      </c>
      <c r="D69" s="43" t="s">
        <v>141</v>
      </c>
      <c r="E69" s="132">
        <v>0</v>
      </c>
      <c r="F69" s="132">
        <v>0</v>
      </c>
      <c r="G69" s="132">
        <v>0</v>
      </c>
      <c r="H69" s="132">
        <v>0</v>
      </c>
      <c r="I69" s="132">
        <v>0</v>
      </c>
      <c r="J69" s="132">
        <v>0</v>
      </c>
      <c r="K69" s="132">
        <v>0</v>
      </c>
      <c r="L69" s="132">
        <v>0</v>
      </c>
      <c r="M69" s="132">
        <v>0</v>
      </c>
      <c r="N69" s="132">
        <v>0</v>
      </c>
      <c r="O69" s="132">
        <v>0</v>
      </c>
      <c r="Q69" s="35"/>
      <c r="S69" s="251"/>
      <c r="T69" s="244"/>
      <c r="U69" s="251"/>
    </row>
    <row r="70" spans="2:21" s="22" customFormat="1" ht="51" customHeight="1" x14ac:dyDescent="0.3">
      <c r="B70" s="35"/>
      <c r="C70" s="48" t="s">
        <v>316</v>
      </c>
      <c r="D70" s="43" t="s">
        <v>141</v>
      </c>
      <c r="E70" s="88">
        <f>E65-SUM(E66:E69)</f>
        <v>0</v>
      </c>
      <c r="F70" s="88">
        <f>F65-SUM(F66:F69)</f>
        <v>0</v>
      </c>
      <c r="G70" s="88">
        <f>G65-SUM(G66:G69)</f>
        <v>416625</v>
      </c>
      <c r="H70" s="87">
        <v>416625</v>
      </c>
      <c r="I70" s="87">
        <v>416625</v>
      </c>
      <c r="J70" s="87">
        <v>416625</v>
      </c>
      <c r="K70" s="87">
        <v>416625</v>
      </c>
      <c r="L70" s="87">
        <v>416625</v>
      </c>
      <c r="M70" s="87">
        <v>416625</v>
      </c>
      <c r="N70" s="87">
        <v>416625</v>
      </c>
      <c r="O70" s="87">
        <v>416625</v>
      </c>
      <c r="Q70" s="35"/>
      <c r="S70" s="251"/>
      <c r="T70" s="244"/>
      <c r="U70" s="251"/>
    </row>
    <row r="71" spans="2:21" s="22" customFormat="1" ht="55.5" customHeight="1" x14ac:dyDescent="0.3">
      <c r="B71" s="35"/>
      <c r="C71" s="48" t="s">
        <v>317</v>
      </c>
      <c r="D71" s="43" t="s">
        <v>141</v>
      </c>
      <c r="E71" s="125" t="s">
        <v>92</v>
      </c>
      <c r="F71" s="125" t="s">
        <v>92</v>
      </c>
      <c r="G71" s="125" t="s">
        <v>92</v>
      </c>
      <c r="H71" s="87"/>
      <c r="I71" s="87">
        <f>H71+'Investitii si finantare'!H64/30</f>
        <v>53405.826666666668</v>
      </c>
      <c r="J71" s="87">
        <f>I71+'Investitii si finantare'!I64/30</f>
        <v>64405.826666666668</v>
      </c>
      <c r="K71" s="87">
        <f>J71+'Investitii si finantare'!J64/30</f>
        <v>64405.826666666668</v>
      </c>
      <c r="L71" s="87">
        <f>K71+'Investitii si finantare'!K64/30</f>
        <v>64405.826666666668</v>
      </c>
      <c r="M71" s="87">
        <f>L71+'Investitii si finantare'!L64/30</f>
        <v>97739.16</v>
      </c>
      <c r="N71" s="87">
        <f>M71+'Investitii si finantare'!M64/30</f>
        <v>97739.16</v>
      </c>
      <c r="O71" s="87"/>
      <c r="Q71" s="35"/>
      <c r="S71" s="251"/>
      <c r="T71" s="244"/>
      <c r="U71" s="251"/>
    </row>
    <row r="72" spans="2:21" s="22" customFormat="1" x14ac:dyDescent="0.3">
      <c r="B72" s="35"/>
      <c r="C72" s="122"/>
      <c r="D72" s="123"/>
      <c r="E72" s="127"/>
      <c r="F72" s="128"/>
      <c r="G72" s="128"/>
      <c r="H72" s="128"/>
      <c r="I72" s="128"/>
      <c r="J72" s="128"/>
      <c r="K72" s="128"/>
      <c r="L72" s="128"/>
      <c r="M72" s="128"/>
      <c r="N72" s="128"/>
      <c r="O72" s="128"/>
      <c r="Q72" s="35"/>
      <c r="S72" s="251"/>
      <c r="T72" s="244"/>
      <c r="U72" s="251"/>
    </row>
    <row r="73" spans="2:21" s="22" customFormat="1" ht="43.2" x14ac:dyDescent="0.3">
      <c r="B73" s="35"/>
      <c r="C73" s="66" t="s">
        <v>318</v>
      </c>
      <c r="D73" s="51" t="s">
        <v>47</v>
      </c>
      <c r="E73" s="134" t="e">
        <f>E62/E65</f>
        <v>#DIV/0!</v>
      </c>
      <c r="F73" s="134" t="e">
        <f>F62/F65</f>
        <v>#DIV/0!</v>
      </c>
      <c r="G73" s="134">
        <f>G62/G65</f>
        <v>2.4002400240024003E-6</v>
      </c>
      <c r="H73" s="135">
        <f>H38</f>
        <v>0.5302</v>
      </c>
      <c r="I73" s="135">
        <f t="shared" ref="I73:O73" si="21">I38</f>
        <v>0.56020000000000003</v>
      </c>
      <c r="J73" s="135">
        <v>0.68770103999999987</v>
      </c>
      <c r="K73" s="135">
        <v>0.69</v>
      </c>
      <c r="L73" s="135">
        <v>0.69499999999999995</v>
      </c>
      <c r="M73" s="135">
        <f t="shared" si="21"/>
        <v>0.68020000000000014</v>
      </c>
      <c r="N73" s="135">
        <f t="shared" si="21"/>
        <v>1.01</v>
      </c>
      <c r="O73" s="135">
        <f t="shared" si="21"/>
        <v>1.02</v>
      </c>
      <c r="Q73" s="35"/>
      <c r="S73" s="251"/>
      <c r="T73" s="244"/>
      <c r="U73" s="251"/>
    </row>
    <row r="74" spans="2:21" s="22" customFormat="1" ht="75.599999999999994" customHeight="1" x14ac:dyDescent="0.3">
      <c r="B74" s="35"/>
      <c r="C74" s="122" t="s">
        <v>319</v>
      </c>
      <c r="D74" s="123"/>
      <c r="E74" s="127"/>
      <c r="F74" s="128"/>
      <c r="G74" s="128"/>
      <c r="H74" s="136" t="str">
        <f t="shared" ref="H74:O74" si="22">IF(H62&gt;G62,"OK","Redeventa propusa trebuie sa fie mai mare decat cea din anul anterior")</f>
        <v>OK</v>
      </c>
      <c r="I74" s="136" t="str">
        <f t="shared" si="22"/>
        <v>OK</v>
      </c>
      <c r="J74" s="136" t="str">
        <f t="shared" si="22"/>
        <v>OK</v>
      </c>
      <c r="K74" s="136" t="str">
        <f t="shared" si="22"/>
        <v>OK</v>
      </c>
      <c r="L74" s="136" t="str">
        <f t="shared" si="22"/>
        <v>OK</v>
      </c>
      <c r="M74" s="136" t="str">
        <f t="shared" si="22"/>
        <v>OK</v>
      </c>
      <c r="N74" s="136" t="str">
        <f t="shared" si="22"/>
        <v>OK</v>
      </c>
      <c r="O74" s="136" t="str">
        <f t="shared" si="22"/>
        <v>Redeventa propusa trebuie sa fie mai mare decat cea din anul anterior</v>
      </c>
      <c r="Q74" s="35"/>
      <c r="S74" s="251"/>
      <c r="T74" s="244"/>
      <c r="U74" s="251"/>
    </row>
    <row r="75" spans="2:21" ht="6.6" customHeight="1" x14ac:dyDescent="0.3">
      <c r="B75" s="35"/>
      <c r="C75" s="35"/>
      <c r="D75" s="35"/>
      <c r="E75" s="35"/>
      <c r="F75" s="35"/>
      <c r="G75" s="35"/>
      <c r="H75" s="35"/>
      <c r="I75" s="35"/>
      <c r="J75" s="35"/>
      <c r="K75" s="35"/>
      <c r="L75" s="35"/>
      <c r="M75" s="35"/>
      <c r="N75" s="35"/>
      <c r="O75" s="35"/>
      <c r="P75" s="35"/>
      <c r="Q75" s="35"/>
    </row>
    <row r="77" spans="2:21" ht="8.1" customHeight="1" x14ac:dyDescent="0.3">
      <c r="B77" s="23"/>
      <c r="C77" s="23"/>
      <c r="D77" s="23"/>
      <c r="E77" s="23"/>
      <c r="F77" s="23"/>
      <c r="G77" s="23"/>
      <c r="H77" s="23"/>
      <c r="I77" s="23"/>
      <c r="J77" s="23"/>
      <c r="K77" s="23"/>
      <c r="L77" s="23"/>
      <c r="M77" s="23"/>
      <c r="N77" s="23"/>
      <c r="O77" s="23"/>
      <c r="P77" s="23"/>
      <c r="Q77" s="23"/>
    </row>
    <row r="78" spans="2:21" x14ac:dyDescent="0.3">
      <c r="B78" s="23"/>
      <c r="C78" s="120" t="str">
        <f>'Costuri operare'!C125</f>
        <v>ACTIVITATEA DE APA POTABILA PRODUSA SI TRANSPORTATA IN VEDEREA REDISTRIBUIRII IN ALTE SISTEME DE OPERARE</v>
      </c>
      <c r="D78" s="121"/>
      <c r="E78" s="121"/>
      <c r="F78" s="121"/>
      <c r="G78" s="121"/>
      <c r="H78" s="121"/>
      <c r="I78" s="121"/>
      <c r="J78" s="121"/>
      <c r="K78" s="121"/>
      <c r="L78" s="121"/>
      <c r="M78" s="121"/>
      <c r="N78" s="121"/>
      <c r="O78" s="121"/>
      <c r="P78" s="121"/>
      <c r="Q78" s="23"/>
    </row>
    <row r="79" spans="2:21" ht="8.1" customHeight="1" x14ac:dyDescent="0.3">
      <c r="B79" s="23"/>
      <c r="C79" s="23"/>
      <c r="D79" s="23"/>
      <c r="E79" s="23"/>
      <c r="F79" s="23"/>
      <c r="G79" s="23"/>
      <c r="H79" s="23"/>
      <c r="I79" s="23"/>
      <c r="J79" s="23"/>
      <c r="K79" s="23"/>
      <c r="L79" s="23"/>
      <c r="M79" s="23"/>
      <c r="N79" s="23"/>
      <c r="O79" s="23"/>
      <c r="P79" s="23"/>
      <c r="Q79" s="23"/>
    </row>
    <row r="80" spans="2:21" x14ac:dyDescent="0.3">
      <c r="B80" s="23"/>
      <c r="Q80" s="23"/>
    </row>
    <row r="81" spans="2:21" s="22" customFormat="1" ht="29.1" customHeight="1" x14ac:dyDescent="0.3">
      <c r="B81" s="35"/>
      <c r="C81" s="86" t="s">
        <v>300</v>
      </c>
      <c r="D81" s="86"/>
      <c r="E81" s="94">
        <f>F81-1</f>
        <v>2022</v>
      </c>
      <c r="F81" s="94">
        <f>G81-1</f>
        <v>2023</v>
      </c>
      <c r="G81" s="95">
        <f>'Date generale'!$D$8</f>
        <v>2024</v>
      </c>
      <c r="H81" s="96">
        <f t="shared" ref="H81:O81" si="23">G81+1</f>
        <v>2025</v>
      </c>
      <c r="I81" s="96">
        <f t="shared" si="23"/>
        <v>2026</v>
      </c>
      <c r="J81" s="96">
        <f t="shared" si="23"/>
        <v>2027</v>
      </c>
      <c r="K81" s="96">
        <f t="shared" si="23"/>
        <v>2028</v>
      </c>
      <c r="L81" s="96">
        <f t="shared" si="23"/>
        <v>2029</v>
      </c>
      <c r="M81" s="96">
        <f t="shared" si="23"/>
        <v>2030</v>
      </c>
      <c r="N81" s="96">
        <f t="shared" si="23"/>
        <v>2031</v>
      </c>
      <c r="O81" s="96">
        <f t="shared" si="23"/>
        <v>2032</v>
      </c>
      <c r="Q81" s="35"/>
      <c r="S81" s="249" t="s">
        <v>301</v>
      </c>
      <c r="T81" s="249"/>
      <c r="U81" s="249"/>
    </row>
    <row r="82" spans="2:21" x14ac:dyDescent="0.3">
      <c r="B82" s="23"/>
      <c r="C82" s="97"/>
      <c r="D82" s="97"/>
      <c r="E82" s="98">
        <f>F82-1</f>
        <v>-3</v>
      </c>
      <c r="F82" s="98">
        <f>G82-1</f>
        <v>-2</v>
      </c>
      <c r="G82" s="99">
        <v>-1</v>
      </c>
      <c r="H82" s="99">
        <v>0</v>
      </c>
      <c r="I82" s="99">
        <f t="shared" ref="I82:O82" si="24">H82+1</f>
        <v>1</v>
      </c>
      <c r="J82" s="99">
        <f t="shared" si="24"/>
        <v>2</v>
      </c>
      <c r="K82" s="99">
        <f t="shared" si="24"/>
        <v>3</v>
      </c>
      <c r="L82" s="99">
        <f t="shared" si="24"/>
        <v>4</v>
      </c>
      <c r="M82" s="99">
        <f t="shared" si="24"/>
        <v>5</v>
      </c>
      <c r="N82" s="99">
        <f t="shared" si="24"/>
        <v>6</v>
      </c>
      <c r="O82" s="99">
        <f t="shared" si="24"/>
        <v>7</v>
      </c>
      <c r="Q82" s="35"/>
      <c r="S82" s="98" t="s">
        <v>302</v>
      </c>
      <c r="T82" s="98" t="s">
        <v>303</v>
      </c>
      <c r="U82" s="137" t="s">
        <v>304</v>
      </c>
    </row>
    <row r="83" spans="2:21" s="24" customFormat="1" x14ac:dyDescent="0.3">
      <c r="B83" s="61"/>
      <c r="C83" s="42"/>
      <c r="D83" s="51"/>
      <c r="E83" s="62"/>
      <c r="F83" s="62"/>
      <c r="G83" s="62"/>
      <c r="H83" s="62"/>
      <c r="I83" s="62"/>
      <c r="J83" s="62"/>
      <c r="K83" s="62"/>
      <c r="L83" s="62"/>
      <c r="M83" s="62"/>
      <c r="N83" s="62"/>
      <c r="O83" s="62"/>
      <c r="Q83" s="35"/>
      <c r="S83" s="251"/>
      <c r="T83" s="251"/>
      <c r="U83" s="251"/>
    </row>
    <row r="84" spans="2:21" x14ac:dyDescent="0.3">
      <c r="B84" s="23"/>
      <c r="C84" s="66" t="s">
        <v>305</v>
      </c>
      <c r="D84" s="43" t="s">
        <v>141</v>
      </c>
      <c r="E84" s="88">
        <f>'Costuri operare'!E135</f>
        <v>0</v>
      </c>
      <c r="F84" s="88">
        <f>'Costuri operare'!F135</f>
        <v>0</v>
      </c>
      <c r="G84" s="88">
        <f>'Costuri operare'!G135</f>
        <v>0</v>
      </c>
      <c r="H84" s="87">
        <f>G84</f>
        <v>0</v>
      </c>
      <c r="I84" s="87">
        <f t="shared" ref="I84:O84" si="25">H84</f>
        <v>0</v>
      </c>
      <c r="J84" s="87">
        <f t="shared" si="25"/>
        <v>0</v>
      </c>
      <c r="K84" s="87">
        <f t="shared" si="25"/>
        <v>0</v>
      </c>
      <c r="L84" s="87">
        <f t="shared" si="25"/>
        <v>0</v>
      </c>
      <c r="M84" s="87">
        <f t="shared" si="25"/>
        <v>0</v>
      </c>
      <c r="N84" s="87">
        <f t="shared" si="25"/>
        <v>0</v>
      </c>
      <c r="O84" s="87">
        <f t="shared" si="25"/>
        <v>0</v>
      </c>
      <c r="Q84" s="35"/>
      <c r="S84" s="251"/>
      <c r="T84" s="251"/>
      <c r="U84" s="251"/>
    </row>
    <row r="85" spans="2:21" s="22" customFormat="1" x14ac:dyDescent="0.3">
      <c r="B85" s="35"/>
      <c r="C85" s="50"/>
      <c r="D85" s="43"/>
      <c r="E85" s="88"/>
      <c r="F85" s="88"/>
      <c r="G85" s="88"/>
      <c r="H85" s="88"/>
      <c r="I85" s="88"/>
      <c r="J85" s="88"/>
      <c r="K85" s="88"/>
      <c r="L85" s="88"/>
      <c r="M85" s="88"/>
      <c r="N85" s="88"/>
      <c r="O85" s="88"/>
      <c r="Q85" s="35"/>
      <c r="S85" s="251"/>
      <c r="T85" s="251"/>
      <c r="U85" s="251"/>
    </row>
    <row r="86" spans="2:21" s="22" customFormat="1" x14ac:dyDescent="0.3">
      <c r="B86" s="35"/>
      <c r="C86" s="66" t="s">
        <v>306</v>
      </c>
      <c r="D86" s="43"/>
      <c r="E86" s="88"/>
      <c r="F86" s="88"/>
      <c r="G86" s="88"/>
      <c r="H86" s="88"/>
      <c r="I86" s="88"/>
      <c r="J86" s="88"/>
      <c r="K86" s="88"/>
      <c r="L86" s="88"/>
      <c r="M86" s="88"/>
      <c r="N86" s="88"/>
      <c r="O86" s="88"/>
      <c r="Q86" s="35"/>
      <c r="S86" s="251"/>
      <c r="T86" s="251"/>
      <c r="U86" s="251"/>
    </row>
    <row r="87" spans="2:21" s="22" customFormat="1" x14ac:dyDescent="0.3">
      <c r="B87" s="35"/>
      <c r="C87" s="50" t="s">
        <v>264</v>
      </c>
      <c r="D87" s="43" t="s">
        <v>141</v>
      </c>
      <c r="E87" s="88"/>
      <c r="F87" s="88"/>
      <c r="G87" s="88"/>
      <c r="H87" s="87">
        <v>0</v>
      </c>
      <c r="I87" s="87">
        <v>0</v>
      </c>
      <c r="J87" s="87">
        <v>0</v>
      </c>
      <c r="K87" s="87">
        <v>0</v>
      </c>
      <c r="L87" s="87">
        <v>0</v>
      </c>
      <c r="M87" s="87">
        <v>0</v>
      </c>
      <c r="N87" s="87">
        <v>0</v>
      </c>
      <c r="O87" s="87">
        <v>0</v>
      </c>
      <c r="Q87" s="35"/>
      <c r="S87" s="251"/>
      <c r="T87" s="251"/>
      <c r="U87" s="251"/>
    </row>
    <row r="88" spans="2:21" s="22" customFormat="1" x14ac:dyDescent="0.3">
      <c r="B88" s="35"/>
      <c r="C88" s="50" t="s">
        <v>266</v>
      </c>
      <c r="D88" s="43" t="s">
        <v>141</v>
      </c>
      <c r="E88" s="88"/>
      <c r="F88" s="88"/>
      <c r="G88" s="88"/>
      <c r="H88" s="87">
        <v>0</v>
      </c>
      <c r="I88" s="87">
        <v>0</v>
      </c>
      <c r="J88" s="87">
        <v>0</v>
      </c>
      <c r="K88" s="87">
        <v>0</v>
      </c>
      <c r="L88" s="87">
        <v>0</v>
      </c>
      <c r="M88" s="87">
        <v>0</v>
      </c>
      <c r="N88" s="87">
        <v>0</v>
      </c>
      <c r="O88" s="87">
        <v>0</v>
      </c>
      <c r="Q88" s="35"/>
      <c r="S88" s="251"/>
      <c r="T88" s="251"/>
      <c r="U88" s="251"/>
    </row>
    <row r="89" spans="2:21" s="22" customFormat="1" x14ac:dyDescent="0.3">
      <c r="B89" s="35"/>
      <c r="C89" s="50" t="s">
        <v>267</v>
      </c>
      <c r="D89" s="43" t="s">
        <v>141</v>
      </c>
      <c r="E89" s="88"/>
      <c r="F89" s="88"/>
      <c r="G89" s="88"/>
      <c r="H89" s="87">
        <v>0</v>
      </c>
      <c r="I89" s="87">
        <v>0</v>
      </c>
      <c r="J89" s="87">
        <v>0</v>
      </c>
      <c r="K89" s="87">
        <v>0</v>
      </c>
      <c r="L89" s="87">
        <v>0</v>
      </c>
      <c r="M89" s="87">
        <v>0</v>
      </c>
      <c r="N89" s="87">
        <v>0</v>
      </c>
      <c r="O89" s="87">
        <v>0</v>
      </c>
      <c r="Q89" s="35"/>
      <c r="S89" s="251"/>
      <c r="T89" s="251"/>
      <c r="U89" s="251"/>
    </row>
    <row r="90" spans="2:21" s="22" customFormat="1" x14ac:dyDescent="0.3">
      <c r="B90" s="35"/>
      <c r="C90" s="122"/>
      <c r="D90" s="123"/>
      <c r="E90" s="124"/>
      <c r="F90" s="124"/>
      <c r="G90" s="124"/>
      <c r="H90" s="124"/>
      <c r="I90" s="124"/>
      <c r="J90" s="124"/>
      <c r="K90" s="124"/>
      <c r="L90" s="124"/>
      <c r="M90" s="124"/>
      <c r="N90" s="124"/>
      <c r="O90" s="124"/>
      <c r="Q90" s="35"/>
      <c r="S90" s="251"/>
      <c r="T90" s="251"/>
      <c r="U90" s="251"/>
    </row>
    <row r="91" spans="2:21" s="22" customFormat="1" x14ac:dyDescent="0.3">
      <c r="B91" s="35"/>
      <c r="C91" s="66" t="s">
        <v>307</v>
      </c>
      <c r="D91" s="51" t="s">
        <v>141</v>
      </c>
      <c r="E91" s="62">
        <f>E84</f>
        <v>0</v>
      </c>
      <c r="F91" s="62">
        <f>F84</f>
        <v>0</v>
      </c>
      <c r="G91" s="62">
        <f>G84</f>
        <v>0</v>
      </c>
      <c r="H91" s="62">
        <f t="shared" ref="H91:O91" si="26">H84+H87+H88+H89</f>
        <v>0</v>
      </c>
      <c r="I91" s="62">
        <f t="shared" si="26"/>
        <v>0</v>
      </c>
      <c r="J91" s="62">
        <f t="shared" si="26"/>
        <v>0</v>
      </c>
      <c r="K91" s="62">
        <f t="shared" si="26"/>
        <v>0</v>
      </c>
      <c r="L91" s="62">
        <f t="shared" si="26"/>
        <v>0</v>
      </c>
      <c r="M91" s="62">
        <f t="shared" si="26"/>
        <v>0</v>
      </c>
      <c r="N91" s="62">
        <f t="shared" si="26"/>
        <v>0</v>
      </c>
      <c r="O91" s="62">
        <f t="shared" si="26"/>
        <v>0</v>
      </c>
      <c r="Q91" s="35"/>
      <c r="S91" s="251"/>
      <c r="T91" s="251"/>
      <c r="U91" s="251"/>
    </row>
    <row r="92" spans="2:21" s="22" customFormat="1" x14ac:dyDescent="0.3">
      <c r="B92" s="35"/>
      <c r="C92" s="50" t="s">
        <v>308</v>
      </c>
      <c r="D92" s="43" t="s">
        <v>47</v>
      </c>
      <c r="E92" s="125" t="s">
        <v>92</v>
      </c>
      <c r="F92" s="126" t="e">
        <f t="shared" ref="F92:O92" si="27">F91/E91-1</f>
        <v>#DIV/0!</v>
      </c>
      <c r="G92" s="126" t="e">
        <f t="shared" si="27"/>
        <v>#DIV/0!</v>
      </c>
      <c r="H92" s="126" t="e">
        <f t="shared" si="27"/>
        <v>#DIV/0!</v>
      </c>
      <c r="I92" s="126" t="e">
        <f t="shared" si="27"/>
        <v>#DIV/0!</v>
      </c>
      <c r="J92" s="126" t="e">
        <f t="shared" si="27"/>
        <v>#DIV/0!</v>
      </c>
      <c r="K92" s="126" t="e">
        <f t="shared" si="27"/>
        <v>#DIV/0!</v>
      </c>
      <c r="L92" s="126" t="e">
        <f t="shared" si="27"/>
        <v>#DIV/0!</v>
      </c>
      <c r="M92" s="126" t="e">
        <f t="shared" si="27"/>
        <v>#DIV/0!</v>
      </c>
      <c r="N92" s="126" t="e">
        <f t="shared" si="27"/>
        <v>#DIV/0!</v>
      </c>
      <c r="O92" s="126" t="e">
        <f t="shared" si="27"/>
        <v>#DIV/0!</v>
      </c>
      <c r="Q92" s="35"/>
      <c r="S92" s="251"/>
      <c r="T92" s="251"/>
      <c r="U92" s="251"/>
    </row>
    <row r="93" spans="2:21" s="22" customFormat="1" x14ac:dyDescent="0.3">
      <c r="B93" s="35"/>
      <c r="C93" s="122"/>
      <c r="D93" s="123"/>
      <c r="E93" s="127"/>
      <c r="F93" s="128"/>
      <c r="G93" s="128"/>
      <c r="H93" s="128"/>
      <c r="I93" s="128"/>
      <c r="J93" s="128"/>
      <c r="K93" s="128"/>
      <c r="L93" s="128"/>
      <c r="M93" s="128"/>
      <c r="N93" s="128"/>
      <c r="O93" s="128"/>
      <c r="Q93" s="35"/>
      <c r="S93" s="251"/>
      <c r="T93" s="251"/>
      <c r="U93" s="251"/>
    </row>
    <row r="94" spans="2:21" s="22" customFormat="1" x14ac:dyDescent="0.3">
      <c r="B94" s="35"/>
      <c r="C94" s="86" t="s">
        <v>309</v>
      </c>
      <c r="D94" s="86"/>
      <c r="E94" s="94">
        <f>F94-1</f>
        <v>2022</v>
      </c>
      <c r="F94" s="94">
        <f>G94-1</f>
        <v>2023</v>
      </c>
      <c r="G94" s="95">
        <f>'Date generale'!$D$8</f>
        <v>2024</v>
      </c>
      <c r="H94" s="96">
        <f t="shared" ref="H94:O94" si="28">G94+1</f>
        <v>2025</v>
      </c>
      <c r="I94" s="96">
        <f t="shared" si="28"/>
        <v>2026</v>
      </c>
      <c r="J94" s="96">
        <f t="shared" si="28"/>
        <v>2027</v>
      </c>
      <c r="K94" s="96">
        <f t="shared" si="28"/>
        <v>2028</v>
      </c>
      <c r="L94" s="96">
        <f t="shared" si="28"/>
        <v>2029</v>
      </c>
      <c r="M94" s="96">
        <f t="shared" si="28"/>
        <v>2030</v>
      </c>
      <c r="N94" s="96">
        <f t="shared" si="28"/>
        <v>2031</v>
      </c>
      <c r="O94" s="96">
        <f t="shared" si="28"/>
        <v>2032</v>
      </c>
      <c r="Q94" s="35"/>
      <c r="S94" s="251"/>
      <c r="T94" s="251"/>
      <c r="U94" s="251"/>
    </row>
    <row r="95" spans="2:21" s="22" customFormat="1" x14ac:dyDescent="0.3">
      <c r="B95" s="35"/>
      <c r="C95" s="97"/>
      <c r="D95" s="97"/>
      <c r="E95" s="98">
        <f>F95-1</f>
        <v>-3</v>
      </c>
      <c r="F95" s="98">
        <f>G95-1</f>
        <v>-2</v>
      </c>
      <c r="G95" s="99">
        <v>-1</v>
      </c>
      <c r="H95" s="99">
        <v>0</v>
      </c>
      <c r="I95" s="99">
        <f t="shared" ref="I95:O95" si="29">H95+1</f>
        <v>1</v>
      </c>
      <c r="J95" s="99">
        <f t="shared" si="29"/>
        <v>2</v>
      </c>
      <c r="K95" s="99">
        <f t="shared" si="29"/>
        <v>3</v>
      </c>
      <c r="L95" s="99">
        <f t="shared" si="29"/>
        <v>4</v>
      </c>
      <c r="M95" s="99">
        <f t="shared" si="29"/>
        <v>5</v>
      </c>
      <c r="N95" s="99">
        <f t="shared" si="29"/>
        <v>6</v>
      </c>
      <c r="O95" s="99">
        <f t="shared" si="29"/>
        <v>7</v>
      </c>
      <c r="Q95" s="35"/>
      <c r="S95" s="251"/>
      <c r="T95" s="251"/>
      <c r="U95" s="251"/>
    </row>
    <row r="96" spans="2:21" s="22" customFormat="1" x14ac:dyDescent="0.3">
      <c r="B96" s="35"/>
      <c r="C96" s="122"/>
      <c r="D96" s="123"/>
      <c r="E96" s="127"/>
      <c r="F96" s="128"/>
      <c r="G96" s="128"/>
      <c r="H96" s="128"/>
      <c r="I96" s="128"/>
      <c r="J96" s="128"/>
      <c r="K96" s="128"/>
      <c r="L96" s="128"/>
      <c r="M96" s="128"/>
      <c r="N96" s="128"/>
      <c r="O96" s="128"/>
      <c r="Q96" s="35"/>
      <c r="S96" s="251"/>
      <c r="T96" s="251"/>
      <c r="U96" s="251"/>
    </row>
    <row r="97" spans="2:21" ht="30.75" customHeight="1" x14ac:dyDescent="0.3">
      <c r="B97" s="23"/>
      <c r="C97" s="66" t="s">
        <v>310</v>
      </c>
      <c r="D97" s="43" t="s">
        <v>141</v>
      </c>
      <c r="E97" s="88">
        <f>'Costuri operare'!E136</f>
        <v>0</v>
      </c>
      <c r="F97" s="88">
        <f>'Costuri operare'!F136</f>
        <v>0</v>
      </c>
      <c r="G97" s="88">
        <f>'Costuri operare'!G136</f>
        <v>0</v>
      </c>
      <c r="H97" s="88">
        <f t="shared" ref="H97:O97" si="30">H100*H108</f>
        <v>0</v>
      </c>
      <c r="I97" s="88">
        <f t="shared" si="30"/>
        <v>0</v>
      </c>
      <c r="J97" s="88">
        <f t="shared" si="30"/>
        <v>0</v>
      </c>
      <c r="K97" s="88">
        <f t="shared" si="30"/>
        <v>0</v>
      </c>
      <c r="L97" s="88">
        <f t="shared" si="30"/>
        <v>0</v>
      </c>
      <c r="M97" s="88">
        <f t="shared" si="30"/>
        <v>0</v>
      </c>
      <c r="N97" s="88">
        <f t="shared" si="30"/>
        <v>0</v>
      </c>
      <c r="O97" s="88">
        <f t="shared" si="30"/>
        <v>0</v>
      </c>
      <c r="Q97" s="35"/>
      <c r="S97" s="251"/>
      <c r="T97" s="251"/>
      <c r="U97" s="251"/>
    </row>
    <row r="98" spans="2:21" x14ac:dyDescent="0.3">
      <c r="B98" s="23"/>
      <c r="C98" s="50" t="s">
        <v>308</v>
      </c>
      <c r="D98" s="129" t="s">
        <v>47</v>
      </c>
      <c r="E98" s="125" t="s">
        <v>92</v>
      </c>
      <c r="F98" s="126" t="e">
        <f t="shared" ref="F98:O98" si="31">F97/E97-1</f>
        <v>#DIV/0!</v>
      </c>
      <c r="G98" s="126" t="e">
        <f t="shared" si="31"/>
        <v>#DIV/0!</v>
      </c>
      <c r="H98" s="126" t="e">
        <f t="shared" si="31"/>
        <v>#DIV/0!</v>
      </c>
      <c r="I98" s="126" t="e">
        <f t="shared" si="31"/>
        <v>#DIV/0!</v>
      </c>
      <c r="J98" s="126" t="e">
        <f t="shared" si="31"/>
        <v>#DIV/0!</v>
      </c>
      <c r="K98" s="126" t="e">
        <f t="shared" si="31"/>
        <v>#DIV/0!</v>
      </c>
      <c r="L98" s="126" t="e">
        <f t="shared" si="31"/>
        <v>#DIV/0!</v>
      </c>
      <c r="M98" s="126" t="e">
        <f t="shared" si="31"/>
        <v>#DIV/0!</v>
      </c>
      <c r="N98" s="126" t="e">
        <f t="shared" si="31"/>
        <v>#DIV/0!</v>
      </c>
      <c r="O98" s="126" t="e">
        <f t="shared" si="31"/>
        <v>#DIV/0!</v>
      </c>
      <c r="Q98" s="35"/>
      <c r="S98" s="251"/>
      <c r="T98" s="251"/>
      <c r="U98" s="251"/>
    </row>
    <row r="99" spans="2:21" x14ac:dyDescent="0.3">
      <c r="B99" s="23"/>
      <c r="C99" s="130"/>
      <c r="D99" s="129"/>
      <c r="E99" s="131"/>
      <c r="F99" s="131"/>
      <c r="G99" s="131"/>
      <c r="H99" s="131"/>
      <c r="I99" s="131"/>
      <c r="J99" s="131"/>
      <c r="K99" s="131"/>
      <c r="L99" s="131"/>
      <c r="M99" s="131"/>
      <c r="N99" s="131"/>
      <c r="O99" s="131"/>
      <c r="Q99" s="35"/>
      <c r="S99" s="251"/>
      <c r="T99" s="251"/>
      <c r="U99" s="251"/>
    </row>
    <row r="100" spans="2:21" s="22" customFormat="1" ht="43.2" x14ac:dyDescent="0.3">
      <c r="B100" s="35"/>
      <c r="C100" s="66" t="s">
        <v>311</v>
      </c>
      <c r="D100" s="43" t="s">
        <v>141</v>
      </c>
      <c r="E100" s="132">
        <v>0</v>
      </c>
      <c r="F100" s="132">
        <v>0</v>
      </c>
      <c r="G100" s="132">
        <v>0</v>
      </c>
      <c r="H100" s="133">
        <f t="shared" ref="H100:O100" si="32">SUM(H101:H106)</f>
        <v>0</v>
      </c>
      <c r="I100" s="133">
        <f t="shared" si="32"/>
        <v>0</v>
      </c>
      <c r="J100" s="133">
        <f t="shared" si="32"/>
        <v>0</v>
      </c>
      <c r="K100" s="133">
        <f t="shared" si="32"/>
        <v>0</v>
      </c>
      <c r="L100" s="133">
        <f t="shared" si="32"/>
        <v>0</v>
      </c>
      <c r="M100" s="133">
        <f t="shared" si="32"/>
        <v>0</v>
      </c>
      <c r="N100" s="133">
        <f t="shared" si="32"/>
        <v>0</v>
      </c>
      <c r="O100" s="133">
        <f t="shared" si="32"/>
        <v>0</v>
      </c>
      <c r="Q100" s="35"/>
      <c r="S100" s="251"/>
      <c r="T100" s="251"/>
      <c r="U100" s="251"/>
    </row>
    <row r="101" spans="2:21" s="22" customFormat="1" x14ac:dyDescent="0.3">
      <c r="B101" s="35"/>
      <c r="C101" s="48" t="s">
        <v>312</v>
      </c>
      <c r="D101" s="43" t="s">
        <v>141</v>
      </c>
      <c r="E101" s="132">
        <v>0</v>
      </c>
      <c r="F101" s="132">
        <v>0</v>
      </c>
      <c r="G101" s="132">
        <v>0</v>
      </c>
      <c r="H101" s="132">
        <v>0</v>
      </c>
      <c r="I101" s="132">
        <v>0</v>
      </c>
      <c r="J101" s="132">
        <v>0</v>
      </c>
      <c r="K101" s="132">
        <v>0</v>
      </c>
      <c r="L101" s="132">
        <v>0</v>
      </c>
      <c r="M101" s="132">
        <v>0</v>
      </c>
      <c r="N101" s="132">
        <v>0</v>
      </c>
      <c r="O101" s="132">
        <v>0</v>
      </c>
      <c r="Q101" s="35"/>
      <c r="S101" s="251"/>
      <c r="T101" s="251"/>
      <c r="U101" s="251"/>
    </row>
    <row r="102" spans="2:21" s="22" customFormat="1" x14ac:dyDescent="0.3">
      <c r="B102" s="35"/>
      <c r="C102" s="48" t="s">
        <v>313</v>
      </c>
      <c r="D102" s="43" t="s">
        <v>141</v>
      </c>
      <c r="E102" s="132">
        <v>0</v>
      </c>
      <c r="F102" s="132">
        <v>0</v>
      </c>
      <c r="G102" s="132">
        <v>0</v>
      </c>
      <c r="H102" s="132">
        <v>0</v>
      </c>
      <c r="I102" s="132">
        <v>0</v>
      </c>
      <c r="J102" s="132">
        <v>0</v>
      </c>
      <c r="K102" s="132">
        <v>0</v>
      </c>
      <c r="L102" s="132">
        <v>0</v>
      </c>
      <c r="M102" s="132">
        <v>0</v>
      </c>
      <c r="N102" s="132">
        <v>0</v>
      </c>
      <c r="O102" s="132">
        <v>0</v>
      </c>
      <c r="Q102" s="35"/>
      <c r="S102" s="251"/>
      <c r="T102" s="251"/>
      <c r="U102" s="251"/>
    </row>
    <row r="103" spans="2:21" s="22" customFormat="1" x14ac:dyDescent="0.3">
      <c r="B103" s="35"/>
      <c r="C103" s="48" t="s">
        <v>314</v>
      </c>
      <c r="D103" s="43" t="s">
        <v>141</v>
      </c>
      <c r="E103" s="132">
        <v>0</v>
      </c>
      <c r="F103" s="132">
        <v>0</v>
      </c>
      <c r="G103" s="132">
        <v>0</v>
      </c>
      <c r="H103" s="132">
        <v>0</v>
      </c>
      <c r="I103" s="132">
        <v>0</v>
      </c>
      <c r="J103" s="132">
        <v>0</v>
      </c>
      <c r="K103" s="132">
        <v>0</v>
      </c>
      <c r="L103" s="132">
        <v>0</v>
      </c>
      <c r="M103" s="132">
        <v>0</v>
      </c>
      <c r="N103" s="132">
        <v>0</v>
      </c>
      <c r="O103" s="132">
        <v>0</v>
      </c>
      <c r="Q103" s="35"/>
      <c r="S103" s="251"/>
      <c r="T103" s="251"/>
      <c r="U103" s="251"/>
    </row>
    <row r="104" spans="2:21" s="22" customFormat="1" ht="52.5" customHeight="1" x14ac:dyDescent="0.3">
      <c r="B104" s="35"/>
      <c r="C104" s="48" t="s">
        <v>321</v>
      </c>
      <c r="D104" s="43" t="s">
        <v>141</v>
      </c>
      <c r="E104" s="132">
        <v>0</v>
      </c>
      <c r="F104" s="132">
        <v>0</v>
      </c>
      <c r="G104" s="132">
        <v>0</v>
      </c>
      <c r="H104" s="132">
        <v>0</v>
      </c>
      <c r="I104" s="132">
        <v>0</v>
      </c>
      <c r="J104" s="132">
        <v>0</v>
      </c>
      <c r="K104" s="132">
        <v>0</v>
      </c>
      <c r="L104" s="132">
        <v>0</v>
      </c>
      <c r="M104" s="132">
        <v>0</v>
      </c>
      <c r="N104" s="132">
        <v>0</v>
      </c>
      <c r="O104" s="132">
        <v>0</v>
      </c>
      <c r="Q104" s="35"/>
      <c r="S104" s="251"/>
      <c r="T104" s="251"/>
      <c r="U104" s="251"/>
    </row>
    <row r="105" spans="2:21" s="22" customFormat="1" ht="28.8" x14ac:dyDescent="0.3">
      <c r="B105" s="35"/>
      <c r="C105" s="48" t="s">
        <v>316</v>
      </c>
      <c r="D105" s="43" t="s">
        <v>141</v>
      </c>
      <c r="E105" s="88">
        <f>E100-SUM(E101:E104)</f>
        <v>0</v>
      </c>
      <c r="F105" s="88">
        <f>F100-SUM(F101:F104)</f>
        <v>0</v>
      </c>
      <c r="G105" s="88">
        <f>G100-SUM(G101:G104)</f>
        <v>0</v>
      </c>
      <c r="H105" s="87">
        <v>0</v>
      </c>
      <c r="I105" s="87">
        <v>0</v>
      </c>
      <c r="J105" s="87">
        <v>0</v>
      </c>
      <c r="K105" s="87">
        <v>0</v>
      </c>
      <c r="L105" s="87">
        <v>0</v>
      </c>
      <c r="M105" s="87">
        <v>0</v>
      </c>
      <c r="N105" s="87">
        <v>0</v>
      </c>
      <c r="O105" s="87">
        <v>0</v>
      </c>
      <c r="Q105" s="35"/>
      <c r="S105" s="251"/>
      <c r="T105" s="251"/>
      <c r="U105" s="251"/>
    </row>
    <row r="106" spans="2:21" s="22" customFormat="1" ht="57" customHeight="1" x14ac:dyDescent="0.3">
      <c r="B106" s="35"/>
      <c r="C106" s="48" t="s">
        <v>317</v>
      </c>
      <c r="D106" s="43" t="s">
        <v>141</v>
      </c>
      <c r="E106" s="125" t="s">
        <v>92</v>
      </c>
      <c r="F106" s="125" t="s">
        <v>92</v>
      </c>
      <c r="G106" s="125" t="s">
        <v>92</v>
      </c>
      <c r="H106" s="87">
        <v>0</v>
      </c>
      <c r="I106" s="87">
        <v>0</v>
      </c>
      <c r="J106" s="87">
        <v>0</v>
      </c>
      <c r="K106" s="87">
        <v>0</v>
      </c>
      <c r="L106" s="87">
        <v>0</v>
      </c>
      <c r="M106" s="87">
        <v>0</v>
      </c>
      <c r="N106" s="87">
        <v>0</v>
      </c>
      <c r="O106" s="87">
        <v>0</v>
      </c>
      <c r="Q106" s="35"/>
      <c r="S106" s="251"/>
      <c r="T106" s="251"/>
      <c r="U106" s="251"/>
    </row>
    <row r="107" spans="2:21" s="22" customFormat="1" x14ac:dyDescent="0.3">
      <c r="B107" s="35"/>
      <c r="C107" s="122"/>
      <c r="D107" s="123"/>
      <c r="E107" s="127"/>
      <c r="F107" s="128"/>
      <c r="G107" s="128"/>
      <c r="H107" s="128"/>
      <c r="I107" s="128"/>
      <c r="J107" s="128"/>
      <c r="K107" s="128"/>
      <c r="L107" s="128"/>
      <c r="M107" s="128"/>
      <c r="N107" s="128"/>
      <c r="O107" s="128"/>
      <c r="Q107" s="35"/>
      <c r="S107" s="251"/>
      <c r="T107" s="251"/>
      <c r="U107" s="251"/>
    </row>
    <row r="108" spans="2:21" s="22" customFormat="1" ht="43.2" x14ac:dyDescent="0.3">
      <c r="B108" s="35"/>
      <c r="C108" s="66" t="s">
        <v>318</v>
      </c>
      <c r="D108" s="51" t="s">
        <v>47</v>
      </c>
      <c r="E108" s="134" t="e">
        <f>E97/E100</f>
        <v>#DIV/0!</v>
      </c>
      <c r="F108" s="134" t="e">
        <f>F97/F100</f>
        <v>#DIV/0!</v>
      </c>
      <c r="G108" s="134" t="e">
        <f>G97/G100</f>
        <v>#DIV/0!</v>
      </c>
      <c r="H108" s="135">
        <v>0</v>
      </c>
      <c r="I108" s="135">
        <v>0</v>
      </c>
      <c r="J108" s="135">
        <v>0</v>
      </c>
      <c r="K108" s="135">
        <v>0</v>
      </c>
      <c r="L108" s="135">
        <v>0</v>
      </c>
      <c r="M108" s="135">
        <v>0</v>
      </c>
      <c r="N108" s="135">
        <v>0</v>
      </c>
      <c r="O108" s="135">
        <v>0</v>
      </c>
      <c r="Q108" s="35"/>
      <c r="S108" s="251"/>
      <c r="T108" s="251"/>
      <c r="U108" s="251"/>
    </row>
    <row r="109" spans="2:21" s="22" customFormat="1" ht="75.599999999999994" customHeight="1" x14ac:dyDescent="0.3">
      <c r="B109" s="35"/>
      <c r="C109" s="122" t="s">
        <v>319</v>
      </c>
      <c r="D109" s="123"/>
      <c r="E109" s="127"/>
      <c r="F109" s="128"/>
      <c r="G109" s="128"/>
      <c r="H109" s="136" t="str">
        <f t="shared" ref="H109:O109" si="33">IF(H97&gt;G97,"OK","Redeventa propusa trebuie sa fie mai mare decat cea din anul anterior")</f>
        <v>Redeventa propusa trebuie sa fie mai mare decat cea din anul anterior</v>
      </c>
      <c r="I109" s="136" t="str">
        <f t="shared" si="33"/>
        <v>Redeventa propusa trebuie sa fie mai mare decat cea din anul anterior</v>
      </c>
      <c r="J109" s="136" t="str">
        <f t="shared" si="33"/>
        <v>Redeventa propusa trebuie sa fie mai mare decat cea din anul anterior</v>
      </c>
      <c r="K109" s="136" t="str">
        <f t="shared" si="33"/>
        <v>Redeventa propusa trebuie sa fie mai mare decat cea din anul anterior</v>
      </c>
      <c r="L109" s="136" t="str">
        <f t="shared" si="33"/>
        <v>Redeventa propusa trebuie sa fie mai mare decat cea din anul anterior</v>
      </c>
      <c r="M109" s="136" t="str">
        <f t="shared" si="33"/>
        <v>Redeventa propusa trebuie sa fie mai mare decat cea din anul anterior</v>
      </c>
      <c r="N109" s="136" t="str">
        <f t="shared" si="33"/>
        <v>Redeventa propusa trebuie sa fie mai mare decat cea din anul anterior</v>
      </c>
      <c r="O109" s="136" t="str">
        <f t="shared" si="33"/>
        <v>Redeventa propusa trebuie sa fie mai mare decat cea din anul anterior</v>
      </c>
      <c r="Q109" s="35"/>
      <c r="S109" s="251"/>
      <c r="T109" s="251"/>
      <c r="U109" s="251"/>
    </row>
    <row r="110" spans="2:21" ht="6.6" customHeight="1" x14ac:dyDescent="0.3">
      <c r="B110" s="35"/>
      <c r="C110" s="35"/>
      <c r="D110" s="35"/>
      <c r="E110" s="35"/>
      <c r="F110" s="35"/>
      <c r="G110" s="35"/>
      <c r="H110" s="35"/>
      <c r="I110" s="35"/>
      <c r="J110" s="35"/>
      <c r="K110" s="35"/>
      <c r="L110" s="35"/>
      <c r="M110" s="35"/>
      <c r="N110" s="35"/>
      <c r="O110" s="35"/>
      <c r="P110" s="35"/>
      <c r="Q110" s="35"/>
    </row>
    <row r="112" spans="2:21" ht="8.1" customHeight="1" x14ac:dyDescent="0.3">
      <c r="B112" s="23"/>
      <c r="C112" s="23"/>
      <c r="D112" s="23"/>
      <c r="E112" s="23"/>
      <c r="F112" s="23"/>
      <c r="G112" s="23"/>
      <c r="H112" s="23"/>
      <c r="I112" s="23"/>
      <c r="J112" s="23"/>
      <c r="K112" s="23"/>
      <c r="L112" s="23"/>
      <c r="M112" s="23"/>
      <c r="N112" s="23"/>
      <c r="O112" s="23"/>
      <c r="P112" s="23"/>
      <c r="Q112" s="23"/>
    </row>
    <row r="113" spans="2:21" x14ac:dyDescent="0.3">
      <c r="B113" s="23"/>
      <c r="C113" s="120" t="str">
        <f>'Costuri operare'!C187</f>
        <v>ACTIVITATEA DE DISTRIBUTIE A APEI POTABILE</v>
      </c>
      <c r="D113" s="121"/>
      <c r="E113" s="121"/>
      <c r="F113" s="121"/>
      <c r="G113" s="121"/>
      <c r="H113" s="121"/>
      <c r="I113" s="121"/>
      <c r="J113" s="121"/>
      <c r="K113" s="121"/>
      <c r="L113" s="121"/>
      <c r="M113" s="121"/>
      <c r="N113" s="121"/>
      <c r="O113" s="121"/>
      <c r="P113" s="121"/>
      <c r="Q113" s="23"/>
    </row>
    <row r="114" spans="2:21" ht="8.1" customHeight="1" x14ac:dyDescent="0.3">
      <c r="B114" s="23"/>
      <c r="C114" s="23"/>
      <c r="D114" s="23"/>
      <c r="E114" s="23"/>
      <c r="F114" s="23"/>
      <c r="G114" s="23"/>
      <c r="H114" s="23"/>
      <c r="I114" s="23"/>
      <c r="J114" s="23"/>
      <c r="K114" s="23"/>
      <c r="L114" s="23"/>
      <c r="M114" s="23"/>
      <c r="N114" s="23"/>
      <c r="O114" s="23"/>
      <c r="P114" s="23"/>
      <c r="Q114" s="23"/>
    </row>
    <row r="115" spans="2:21" x14ac:dyDescent="0.3">
      <c r="B115" s="23"/>
      <c r="Q115" s="23"/>
    </row>
    <row r="116" spans="2:21" s="22" customFormat="1" ht="29.1" customHeight="1" x14ac:dyDescent="0.3">
      <c r="B116" s="35"/>
      <c r="C116" s="86" t="s">
        <v>300</v>
      </c>
      <c r="D116" s="86"/>
      <c r="E116" s="94">
        <f>F116-1</f>
        <v>2022</v>
      </c>
      <c r="F116" s="94">
        <f>G116-1</f>
        <v>2023</v>
      </c>
      <c r="G116" s="95">
        <f>'Date generale'!$D$8</f>
        <v>2024</v>
      </c>
      <c r="H116" s="96">
        <f t="shared" ref="H116:O116" si="34">G116+1</f>
        <v>2025</v>
      </c>
      <c r="I116" s="96">
        <f t="shared" si="34"/>
        <v>2026</v>
      </c>
      <c r="J116" s="96">
        <f t="shared" si="34"/>
        <v>2027</v>
      </c>
      <c r="K116" s="96">
        <f t="shared" si="34"/>
        <v>2028</v>
      </c>
      <c r="L116" s="96">
        <f t="shared" si="34"/>
        <v>2029</v>
      </c>
      <c r="M116" s="96">
        <f t="shared" si="34"/>
        <v>2030</v>
      </c>
      <c r="N116" s="96">
        <f t="shared" si="34"/>
        <v>2031</v>
      </c>
      <c r="O116" s="96">
        <f t="shared" si="34"/>
        <v>2032</v>
      </c>
      <c r="Q116" s="35"/>
      <c r="S116" s="249" t="s">
        <v>301</v>
      </c>
      <c r="T116" s="249"/>
      <c r="U116" s="249"/>
    </row>
    <row r="117" spans="2:21" x14ac:dyDescent="0.3">
      <c r="B117" s="23"/>
      <c r="C117" s="97"/>
      <c r="D117" s="97"/>
      <c r="E117" s="98">
        <f>F117-1</f>
        <v>-3</v>
      </c>
      <c r="F117" s="98">
        <f>G117-1</f>
        <v>-2</v>
      </c>
      <c r="G117" s="99">
        <v>-1</v>
      </c>
      <c r="H117" s="99">
        <v>0</v>
      </c>
      <c r="I117" s="99">
        <f t="shared" ref="I117:O117" si="35">H117+1</f>
        <v>1</v>
      </c>
      <c r="J117" s="99">
        <f t="shared" si="35"/>
        <v>2</v>
      </c>
      <c r="K117" s="99">
        <f t="shared" si="35"/>
        <v>3</v>
      </c>
      <c r="L117" s="99">
        <f t="shared" si="35"/>
        <v>4</v>
      </c>
      <c r="M117" s="99">
        <f t="shared" si="35"/>
        <v>5</v>
      </c>
      <c r="N117" s="99">
        <f t="shared" si="35"/>
        <v>6</v>
      </c>
      <c r="O117" s="99">
        <f t="shared" si="35"/>
        <v>7</v>
      </c>
      <c r="Q117" s="35"/>
      <c r="S117" s="98" t="s">
        <v>302</v>
      </c>
      <c r="T117" s="98" t="s">
        <v>303</v>
      </c>
      <c r="U117" s="137" t="s">
        <v>304</v>
      </c>
    </row>
    <row r="118" spans="2:21" s="24" customFormat="1" x14ac:dyDescent="0.3">
      <c r="B118" s="61"/>
      <c r="C118" s="42"/>
      <c r="D118" s="51"/>
      <c r="E118" s="62"/>
      <c r="F118" s="62"/>
      <c r="G118" s="62"/>
      <c r="H118" s="62"/>
      <c r="I118" s="62"/>
      <c r="J118" s="62"/>
      <c r="K118" s="62"/>
      <c r="L118" s="62"/>
      <c r="M118" s="62"/>
      <c r="N118" s="62"/>
      <c r="O118" s="62"/>
      <c r="Q118" s="35"/>
      <c r="S118" s="251"/>
      <c r="T118" s="251"/>
      <c r="U118" s="251"/>
    </row>
    <row r="119" spans="2:21" x14ac:dyDescent="0.3">
      <c r="B119" s="23"/>
      <c r="C119" s="66" t="s">
        <v>305</v>
      </c>
      <c r="D119" s="43" t="s">
        <v>141</v>
      </c>
      <c r="E119" s="88">
        <f>'Costuri operare'!E197</f>
        <v>0</v>
      </c>
      <c r="F119" s="88">
        <f>'Costuri operare'!F197</f>
        <v>0</v>
      </c>
      <c r="G119" s="88">
        <f>'Costuri operare'!G197</f>
        <v>0</v>
      </c>
      <c r="H119" s="87">
        <f>G119</f>
        <v>0</v>
      </c>
      <c r="I119" s="87">
        <f t="shared" ref="I119:O119" si="36">H119</f>
        <v>0</v>
      </c>
      <c r="J119" s="87">
        <f t="shared" si="36"/>
        <v>0</v>
      </c>
      <c r="K119" s="87">
        <f t="shared" si="36"/>
        <v>0</v>
      </c>
      <c r="L119" s="87">
        <f t="shared" si="36"/>
        <v>0</v>
      </c>
      <c r="M119" s="87">
        <f t="shared" si="36"/>
        <v>0</v>
      </c>
      <c r="N119" s="87">
        <f t="shared" si="36"/>
        <v>0</v>
      </c>
      <c r="O119" s="87">
        <f t="shared" si="36"/>
        <v>0</v>
      </c>
      <c r="Q119" s="35"/>
      <c r="S119" s="251"/>
      <c r="T119" s="251"/>
      <c r="U119" s="251"/>
    </row>
    <row r="120" spans="2:21" s="22" customFormat="1" x14ac:dyDescent="0.3">
      <c r="B120" s="35"/>
      <c r="C120" s="50"/>
      <c r="D120" s="43"/>
      <c r="E120" s="88"/>
      <c r="F120" s="88"/>
      <c r="G120" s="88"/>
      <c r="H120" s="88"/>
      <c r="I120" s="88"/>
      <c r="J120" s="88"/>
      <c r="K120" s="88"/>
      <c r="L120" s="88"/>
      <c r="M120" s="88"/>
      <c r="N120" s="88"/>
      <c r="O120" s="88"/>
      <c r="Q120" s="35"/>
      <c r="S120" s="251"/>
      <c r="T120" s="251"/>
      <c r="U120" s="251"/>
    </row>
    <row r="121" spans="2:21" s="22" customFormat="1" x14ac:dyDescent="0.3">
      <c r="B121" s="35"/>
      <c r="C121" s="66" t="s">
        <v>306</v>
      </c>
      <c r="D121" s="43"/>
      <c r="E121" s="88"/>
      <c r="F121" s="88"/>
      <c r="G121" s="88"/>
      <c r="H121" s="88"/>
      <c r="I121" s="88"/>
      <c r="J121" s="88"/>
      <c r="K121" s="88"/>
      <c r="L121" s="88"/>
      <c r="M121" s="88"/>
      <c r="N121" s="88"/>
      <c r="O121" s="88"/>
      <c r="Q121" s="35"/>
      <c r="S121" s="251"/>
      <c r="T121" s="251"/>
      <c r="U121" s="251"/>
    </row>
    <row r="122" spans="2:21" s="22" customFormat="1" x14ac:dyDescent="0.3">
      <c r="B122" s="35"/>
      <c r="C122" s="50" t="s">
        <v>264</v>
      </c>
      <c r="D122" s="43" t="s">
        <v>141</v>
      </c>
      <c r="E122" s="88"/>
      <c r="F122" s="88"/>
      <c r="G122" s="88"/>
      <c r="H122" s="87">
        <v>0</v>
      </c>
      <c r="I122" s="87">
        <v>0</v>
      </c>
      <c r="J122" s="87">
        <v>0</v>
      </c>
      <c r="K122" s="87">
        <v>0</v>
      </c>
      <c r="L122" s="87">
        <v>0</v>
      </c>
      <c r="M122" s="87">
        <v>0</v>
      </c>
      <c r="N122" s="87">
        <v>0</v>
      </c>
      <c r="O122" s="87">
        <v>0</v>
      </c>
      <c r="Q122" s="35"/>
      <c r="S122" s="251"/>
      <c r="T122" s="251"/>
      <c r="U122" s="251"/>
    </row>
    <row r="123" spans="2:21" s="22" customFormat="1" x14ac:dyDescent="0.3">
      <c r="B123" s="35"/>
      <c r="C123" s="50" t="s">
        <v>266</v>
      </c>
      <c r="D123" s="43" t="s">
        <v>141</v>
      </c>
      <c r="E123" s="88"/>
      <c r="F123" s="88"/>
      <c r="G123" s="88"/>
      <c r="H123" s="87">
        <v>0</v>
      </c>
      <c r="I123" s="87">
        <v>0</v>
      </c>
      <c r="J123" s="87">
        <v>0</v>
      </c>
      <c r="K123" s="87">
        <v>0</v>
      </c>
      <c r="L123" s="87">
        <v>0</v>
      </c>
      <c r="M123" s="87">
        <v>0</v>
      </c>
      <c r="N123" s="87">
        <v>0</v>
      </c>
      <c r="O123" s="87">
        <v>0</v>
      </c>
      <c r="Q123" s="35"/>
      <c r="S123" s="251"/>
      <c r="T123" s="251"/>
      <c r="U123" s="251"/>
    </row>
    <row r="124" spans="2:21" s="22" customFormat="1" x14ac:dyDescent="0.3">
      <c r="B124" s="35"/>
      <c r="C124" s="50" t="s">
        <v>267</v>
      </c>
      <c r="D124" s="43" t="s">
        <v>141</v>
      </c>
      <c r="E124" s="88"/>
      <c r="F124" s="88"/>
      <c r="G124" s="88"/>
      <c r="H124" s="87">
        <v>0</v>
      </c>
      <c r="I124" s="87">
        <v>0</v>
      </c>
      <c r="J124" s="87">
        <v>0</v>
      </c>
      <c r="K124" s="87">
        <v>0</v>
      </c>
      <c r="L124" s="87">
        <v>0</v>
      </c>
      <c r="M124" s="87">
        <v>0</v>
      </c>
      <c r="N124" s="87">
        <v>0</v>
      </c>
      <c r="O124" s="87">
        <v>0</v>
      </c>
      <c r="Q124" s="35"/>
      <c r="S124" s="251"/>
      <c r="T124" s="251"/>
      <c r="U124" s="251"/>
    </row>
    <row r="125" spans="2:21" s="22" customFormat="1" x14ac:dyDescent="0.3">
      <c r="B125" s="35"/>
      <c r="C125" s="122"/>
      <c r="D125" s="123"/>
      <c r="E125" s="124"/>
      <c r="F125" s="124"/>
      <c r="G125" s="124"/>
      <c r="H125" s="124"/>
      <c r="I125" s="124"/>
      <c r="J125" s="124"/>
      <c r="K125" s="124"/>
      <c r="L125" s="124"/>
      <c r="M125" s="124"/>
      <c r="N125" s="124"/>
      <c r="O125" s="124"/>
      <c r="Q125" s="35"/>
      <c r="S125" s="251"/>
      <c r="T125" s="251"/>
      <c r="U125" s="251"/>
    </row>
    <row r="126" spans="2:21" s="22" customFormat="1" x14ac:dyDescent="0.3">
      <c r="B126" s="35"/>
      <c r="C126" s="66" t="s">
        <v>307</v>
      </c>
      <c r="D126" s="51" t="s">
        <v>141</v>
      </c>
      <c r="E126" s="62">
        <f>E119</f>
        <v>0</v>
      </c>
      <c r="F126" s="62">
        <f>F119</f>
        <v>0</v>
      </c>
      <c r="G126" s="62">
        <f>G119</f>
        <v>0</v>
      </c>
      <c r="H126" s="62">
        <f t="shared" ref="H126:O126" si="37">H119+H122+H123+H124</f>
        <v>0</v>
      </c>
      <c r="I126" s="62">
        <f t="shared" si="37"/>
        <v>0</v>
      </c>
      <c r="J126" s="62">
        <f t="shared" si="37"/>
        <v>0</v>
      </c>
      <c r="K126" s="62">
        <f t="shared" si="37"/>
        <v>0</v>
      </c>
      <c r="L126" s="62">
        <f t="shared" si="37"/>
        <v>0</v>
      </c>
      <c r="M126" s="62">
        <f t="shared" si="37"/>
        <v>0</v>
      </c>
      <c r="N126" s="62">
        <f t="shared" si="37"/>
        <v>0</v>
      </c>
      <c r="O126" s="62">
        <f t="shared" si="37"/>
        <v>0</v>
      </c>
      <c r="Q126" s="35"/>
      <c r="S126" s="251"/>
      <c r="T126" s="251"/>
      <c r="U126" s="251"/>
    </row>
    <row r="127" spans="2:21" s="22" customFormat="1" x14ac:dyDescent="0.3">
      <c r="B127" s="35"/>
      <c r="C127" s="50" t="s">
        <v>308</v>
      </c>
      <c r="D127" s="43" t="s">
        <v>47</v>
      </c>
      <c r="E127" s="125" t="s">
        <v>92</v>
      </c>
      <c r="F127" s="126" t="e">
        <f t="shared" ref="F127:O127" si="38">F126/E126-1</f>
        <v>#DIV/0!</v>
      </c>
      <c r="G127" s="126" t="e">
        <f t="shared" si="38"/>
        <v>#DIV/0!</v>
      </c>
      <c r="H127" s="126" t="e">
        <f t="shared" si="38"/>
        <v>#DIV/0!</v>
      </c>
      <c r="I127" s="126" t="e">
        <f t="shared" si="38"/>
        <v>#DIV/0!</v>
      </c>
      <c r="J127" s="126" t="e">
        <f t="shared" si="38"/>
        <v>#DIV/0!</v>
      </c>
      <c r="K127" s="126" t="e">
        <f t="shared" si="38"/>
        <v>#DIV/0!</v>
      </c>
      <c r="L127" s="126" t="e">
        <f t="shared" si="38"/>
        <v>#DIV/0!</v>
      </c>
      <c r="M127" s="126" t="e">
        <f t="shared" si="38"/>
        <v>#DIV/0!</v>
      </c>
      <c r="N127" s="126" t="e">
        <f t="shared" si="38"/>
        <v>#DIV/0!</v>
      </c>
      <c r="O127" s="126" t="e">
        <f t="shared" si="38"/>
        <v>#DIV/0!</v>
      </c>
      <c r="Q127" s="35"/>
      <c r="S127" s="251"/>
      <c r="T127" s="251"/>
      <c r="U127" s="251"/>
    </row>
    <row r="128" spans="2:21" s="22" customFormat="1" x14ac:dyDescent="0.3">
      <c r="B128" s="35"/>
      <c r="C128" s="122"/>
      <c r="D128" s="123"/>
      <c r="E128" s="127"/>
      <c r="F128" s="128"/>
      <c r="G128" s="128"/>
      <c r="H128" s="128"/>
      <c r="I128" s="128"/>
      <c r="J128" s="128"/>
      <c r="K128" s="128"/>
      <c r="L128" s="128"/>
      <c r="M128" s="128"/>
      <c r="N128" s="128"/>
      <c r="O128" s="128"/>
      <c r="Q128" s="35"/>
      <c r="S128" s="251"/>
      <c r="T128" s="251"/>
      <c r="U128" s="251"/>
    </row>
    <row r="129" spans="2:21" s="22" customFormat="1" x14ac:dyDescent="0.3">
      <c r="B129" s="35"/>
      <c r="C129" s="86" t="s">
        <v>309</v>
      </c>
      <c r="D129" s="86"/>
      <c r="E129" s="94">
        <f>F129-1</f>
        <v>2022</v>
      </c>
      <c r="F129" s="94">
        <f>G129-1</f>
        <v>2023</v>
      </c>
      <c r="G129" s="95">
        <f>'Date generale'!$D$8</f>
        <v>2024</v>
      </c>
      <c r="H129" s="96">
        <f t="shared" ref="H129:O129" si="39">G129+1</f>
        <v>2025</v>
      </c>
      <c r="I129" s="96">
        <f t="shared" si="39"/>
        <v>2026</v>
      </c>
      <c r="J129" s="96">
        <f t="shared" si="39"/>
        <v>2027</v>
      </c>
      <c r="K129" s="96">
        <f t="shared" si="39"/>
        <v>2028</v>
      </c>
      <c r="L129" s="96">
        <f t="shared" si="39"/>
        <v>2029</v>
      </c>
      <c r="M129" s="96">
        <f t="shared" si="39"/>
        <v>2030</v>
      </c>
      <c r="N129" s="96">
        <f t="shared" si="39"/>
        <v>2031</v>
      </c>
      <c r="O129" s="96">
        <f t="shared" si="39"/>
        <v>2032</v>
      </c>
      <c r="Q129" s="35"/>
      <c r="S129" s="251"/>
      <c r="T129" s="251"/>
      <c r="U129" s="251"/>
    </row>
    <row r="130" spans="2:21" s="22" customFormat="1" x14ac:dyDescent="0.3">
      <c r="B130" s="35"/>
      <c r="C130" s="97"/>
      <c r="D130" s="97"/>
      <c r="E130" s="98">
        <f>F130-1</f>
        <v>-3</v>
      </c>
      <c r="F130" s="98">
        <f>G130-1</f>
        <v>-2</v>
      </c>
      <c r="G130" s="99">
        <v>-1</v>
      </c>
      <c r="H130" s="99">
        <v>0</v>
      </c>
      <c r="I130" s="99">
        <f t="shared" ref="I130:O130" si="40">H130+1</f>
        <v>1</v>
      </c>
      <c r="J130" s="99">
        <f t="shared" si="40"/>
        <v>2</v>
      </c>
      <c r="K130" s="99">
        <f t="shared" si="40"/>
        <v>3</v>
      </c>
      <c r="L130" s="99">
        <f t="shared" si="40"/>
        <v>4</v>
      </c>
      <c r="M130" s="99">
        <f t="shared" si="40"/>
        <v>5</v>
      </c>
      <c r="N130" s="99">
        <f t="shared" si="40"/>
        <v>6</v>
      </c>
      <c r="O130" s="99">
        <f t="shared" si="40"/>
        <v>7</v>
      </c>
      <c r="Q130" s="35"/>
      <c r="S130" s="251"/>
      <c r="T130" s="251"/>
      <c r="U130" s="251"/>
    </row>
    <row r="131" spans="2:21" s="22" customFormat="1" x14ac:dyDescent="0.3">
      <c r="B131" s="35"/>
      <c r="C131" s="122"/>
      <c r="D131" s="123"/>
      <c r="E131" s="127"/>
      <c r="F131" s="128"/>
      <c r="G131" s="128"/>
      <c r="H131" s="128"/>
      <c r="I131" s="128"/>
      <c r="J131" s="128"/>
      <c r="K131" s="128"/>
      <c r="L131" s="128"/>
      <c r="M131" s="128"/>
      <c r="N131" s="128"/>
      <c r="O131" s="128"/>
      <c r="Q131" s="35"/>
      <c r="S131" s="251"/>
      <c r="T131" s="251"/>
      <c r="U131" s="251"/>
    </row>
    <row r="132" spans="2:21" ht="35.25" customHeight="1" x14ac:dyDescent="0.3">
      <c r="B132" s="23"/>
      <c r="C132" s="66" t="s">
        <v>310</v>
      </c>
      <c r="D132" s="43" t="s">
        <v>141</v>
      </c>
      <c r="E132" s="88">
        <f>'Costuri operare'!E198</f>
        <v>0</v>
      </c>
      <c r="F132" s="88">
        <f>'Costuri operare'!F198</f>
        <v>0</v>
      </c>
      <c r="G132" s="88">
        <f>'Costuri operare'!G198</f>
        <v>0</v>
      </c>
      <c r="H132" s="88">
        <f t="shared" ref="H132:O132" si="41">H135*H143</f>
        <v>0</v>
      </c>
      <c r="I132" s="88">
        <f t="shared" si="41"/>
        <v>0</v>
      </c>
      <c r="J132" s="88">
        <f t="shared" si="41"/>
        <v>0</v>
      </c>
      <c r="K132" s="88">
        <f t="shared" si="41"/>
        <v>0</v>
      </c>
      <c r="L132" s="88">
        <f t="shared" si="41"/>
        <v>0</v>
      </c>
      <c r="M132" s="88">
        <f t="shared" si="41"/>
        <v>0</v>
      </c>
      <c r="N132" s="88">
        <f t="shared" si="41"/>
        <v>0</v>
      </c>
      <c r="O132" s="88">
        <f t="shared" si="41"/>
        <v>0</v>
      </c>
      <c r="Q132" s="35"/>
      <c r="S132" s="251"/>
      <c r="T132" s="251"/>
      <c r="U132" s="251"/>
    </row>
    <row r="133" spans="2:21" x14ac:dyDescent="0.3">
      <c r="B133" s="23"/>
      <c r="C133" s="50" t="s">
        <v>308</v>
      </c>
      <c r="D133" s="129" t="s">
        <v>47</v>
      </c>
      <c r="E133" s="125" t="s">
        <v>92</v>
      </c>
      <c r="F133" s="126" t="e">
        <f t="shared" ref="F133:O133" si="42">F132/E132-1</f>
        <v>#DIV/0!</v>
      </c>
      <c r="G133" s="126" t="e">
        <f t="shared" si="42"/>
        <v>#DIV/0!</v>
      </c>
      <c r="H133" s="126" t="e">
        <f t="shared" si="42"/>
        <v>#DIV/0!</v>
      </c>
      <c r="I133" s="126" t="e">
        <f t="shared" si="42"/>
        <v>#DIV/0!</v>
      </c>
      <c r="J133" s="126" t="e">
        <f t="shared" si="42"/>
        <v>#DIV/0!</v>
      </c>
      <c r="K133" s="126" t="e">
        <f t="shared" si="42"/>
        <v>#DIV/0!</v>
      </c>
      <c r="L133" s="126" t="e">
        <f t="shared" si="42"/>
        <v>#DIV/0!</v>
      </c>
      <c r="M133" s="126" t="e">
        <f t="shared" si="42"/>
        <v>#DIV/0!</v>
      </c>
      <c r="N133" s="126" t="e">
        <f t="shared" si="42"/>
        <v>#DIV/0!</v>
      </c>
      <c r="O133" s="126" t="e">
        <f t="shared" si="42"/>
        <v>#DIV/0!</v>
      </c>
      <c r="Q133" s="35"/>
      <c r="S133" s="251"/>
      <c r="T133" s="251"/>
      <c r="U133" s="251"/>
    </row>
    <row r="134" spans="2:21" x14ac:dyDescent="0.3">
      <c r="B134" s="23"/>
      <c r="C134" s="130"/>
      <c r="D134" s="129"/>
      <c r="E134" s="131"/>
      <c r="F134" s="131"/>
      <c r="G134" s="131"/>
      <c r="H134" s="131"/>
      <c r="I134" s="131"/>
      <c r="J134" s="131"/>
      <c r="K134" s="131"/>
      <c r="L134" s="131"/>
      <c r="M134" s="131"/>
      <c r="N134" s="131"/>
      <c r="O134" s="131"/>
      <c r="Q134" s="35"/>
      <c r="S134" s="251"/>
      <c r="T134" s="251"/>
      <c r="U134" s="251"/>
    </row>
    <row r="135" spans="2:21" s="22" customFormat="1" ht="43.2" x14ac:dyDescent="0.3">
      <c r="B135" s="35"/>
      <c r="C135" s="66" t="s">
        <v>311</v>
      </c>
      <c r="D135" s="43" t="s">
        <v>141</v>
      </c>
      <c r="E135" s="132">
        <v>0</v>
      </c>
      <c r="F135" s="132">
        <v>0</v>
      </c>
      <c r="G135" s="132">
        <v>0</v>
      </c>
      <c r="H135" s="133">
        <f t="shared" ref="H135:O135" si="43">SUM(H136:H141)</f>
        <v>0</v>
      </c>
      <c r="I135" s="133">
        <f t="shared" si="43"/>
        <v>0</v>
      </c>
      <c r="J135" s="133">
        <f t="shared" si="43"/>
        <v>0</v>
      </c>
      <c r="K135" s="133">
        <f t="shared" si="43"/>
        <v>0</v>
      </c>
      <c r="L135" s="133">
        <f t="shared" si="43"/>
        <v>0</v>
      </c>
      <c r="M135" s="133">
        <f t="shared" si="43"/>
        <v>0</v>
      </c>
      <c r="N135" s="133">
        <f t="shared" si="43"/>
        <v>0</v>
      </c>
      <c r="O135" s="133">
        <f t="shared" si="43"/>
        <v>0</v>
      </c>
      <c r="Q135" s="35"/>
      <c r="S135" s="251"/>
      <c r="T135" s="251"/>
      <c r="U135" s="251"/>
    </row>
    <row r="136" spans="2:21" s="22" customFormat="1" x14ac:dyDescent="0.3">
      <c r="B136" s="35"/>
      <c r="C136" s="48" t="s">
        <v>312</v>
      </c>
      <c r="D136" s="43" t="s">
        <v>141</v>
      </c>
      <c r="E136" s="132">
        <v>0</v>
      </c>
      <c r="F136" s="132">
        <v>0</v>
      </c>
      <c r="G136" s="132">
        <v>0</v>
      </c>
      <c r="H136" s="132">
        <v>0</v>
      </c>
      <c r="I136" s="132">
        <v>0</v>
      </c>
      <c r="J136" s="132">
        <v>0</v>
      </c>
      <c r="K136" s="132">
        <v>0</v>
      </c>
      <c r="L136" s="132">
        <v>0</v>
      </c>
      <c r="M136" s="132">
        <v>0</v>
      </c>
      <c r="N136" s="132">
        <v>0</v>
      </c>
      <c r="O136" s="132">
        <v>0</v>
      </c>
      <c r="Q136" s="35"/>
      <c r="S136" s="251"/>
      <c r="T136" s="251"/>
      <c r="U136" s="251"/>
    </row>
    <row r="137" spans="2:21" s="22" customFormat="1" x14ac:dyDescent="0.3">
      <c r="B137" s="35"/>
      <c r="C137" s="48" t="s">
        <v>313</v>
      </c>
      <c r="D137" s="43" t="s">
        <v>141</v>
      </c>
      <c r="E137" s="132">
        <v>0</v>
      </c>
      <c r="F137" s="132">
        <v>0</v>
      </c>
      <c r="G137" s="132">
        <v>0</v>
      </c>
      <c r="H137" s="132">
        <v>0</v>
      </c>
      <c r="I137" s="132">
        <v>0</v>
      </c>
      <c r="J137" s="132">
        <v>0</v>
      </c>
      <c r="K137" s="132">
        <v>0</v>
      </c>
      <c r="L137" s="132">
        <v>0</v>
      </c>
      <c r="M137" s="132">
        <v>0</v>
      </c>
      <c r="N137" s="132">
        <v>0</v>
      </c>
      <c r="O137" s="132">
        <v>0</v>
      </c>
      <c r="Q137" s="35"/>
      <c r="S137" s="251"/>
      <c r="T137" s="251"/>
      <c r="U137" s="251"/>
    </row>
    <row r="138" spans="2:21" s="22" customFormat="1" x14ac:dyDescent="0.3">
      <c r="B138" s="35"/>
      <c r="C138" s="48" t="s">
        <v>314</v>
      </c>
      <c r="D138" s="43" t="s">
        <v>141</v>
      </c>
      <c r="E138" s="132">
        <v>0</v>
      </c>
      <c r="F138" s="132">
        <v>0</v>
      </c>
      <c r="G138" s="132">
        <v>0</v>
      </c>
      <c r="H138" s="132">
        <v>0</v>
      </c>
      <c r="I138" s="132">
        <v>0</v>
      </c>
      <c r="J138" s="132">
        <v>0</v>
      </c>
      <c r="K138" s="132">
        <v>0</v>
      </c>
      <c r="L138" s="132">
        <v>0</v>
      </c>
      <c r="M138" s="132">
        <v>0</v>
      </c>
      <c r="N138" s="132">
        <v>0</v>
      </c>
      <c r="O138" s="132">
        <v>0</v>
      </c>
      <c r="Q138" s="35"/>
      <c r="S138" s="251"/>
      <c r="T138" s="251"/>
      <c r="U138" s="251"/>
    </row>
    <row r="139" spans="2:21" s="22" customFormat="1" ht="28.8" x14ac:dyDescent="0.3">
      <c r="B139" s="35"/>
      <c r="C139" s="48" t="s">
        <v>321</v>
      </c>
      <c r="D139" s="43" t="s">
        <v>141</v>
      </c>
      <c r="E139" s="132">
        <v>0</v>
      </c>
      <c r="F139" s="132">
        <v>0</v>
      </c>
      <c r="G139" s="132">
        <v>0</v>
      </c>
      <c r="H139" s="132">
        <v>0</v>
      </c>
      <c r="I139" s="132">
        <v>0</v>
      </c>
      <c r="J139" s="132">
        <v>0</v>
      </c>
      <c r="K139" s="132">
        <v>0</v>
      </c>
      <c r="L139" s="132">
        <v>0</v>
      </c>
      <c r="M139" s="132">
        <v>0</v>
      </c>
      <c r="N139" s="132">
        <v>0</v>
      </c>
      <c r="O139" s="132">
        <v>0</v>
      </c>
      <c r="Q139" s="35"/>
      <c r="S139" s="251"/>
      <c r="T139" s="251"/>
      <c r="U139" s="251"/>
    </row>
    <row r="140" spans="2:21" s="22" customFormat="1" ht="28.8" x14ac:dyDescent="0.3">
      <c r="B140" s="35"/>
      <c r="C140" s="48" t="s">
        <v>316</v>
      </c>
      <c r="D140" s="43" t="s">
        <v>141</v>
      </c>
      <c r="E140" s="88">
        <f>E135-SUM(E136:E139)</f>
        <v>0</v>
      </c>
      <c r="F140" s="88">
        <f>F135-SUM(F136:F139)</f>
        <v>0</v>
      </c>
      <c r="G140" s="88">
        <f>G135-SUM(G136:G139)</f>
        <v>0</v>
      </c>
      <c r="H140" s="132">
        <v>0</v>
      </c>
      <c r="I140" s="132">
        <v>0</v>
      </c>
      <c r="J140" s="132">
        <v>0</v>
      </c>
      <c r="K140" s="132">
        <v>0</v>
      </c>
      <c r="L140" s="132">
        <v>0</v>
      </c>
      <c r="M140" s="132">
        <v>0</v>
      </c>
      <c r="N140" s="132">
        <v>0</v>
      </c>
      <c r="O140" s="132">
        <v>0</v>
      </c>
      <c r="Q140" s="35"/>
      <c r="S140" s="251"/>
      <c r="T140" s="251"/>
      <c r="U140" s="251"/>
    </row>
    <row r="141" spans="2:21" s="22" customFormat="1" ht="43.2" x14ac:dyDescent="0.3">
      <c r="B141" s="35"/>
      <c r="C141" s="48" t="s">
        <v>317</v>
      </c>
      <c r="D141" s="43" t="s">
        <v>141</v>
      </c>
      <c r="E141" s="125" t="s">
        <v>92</v>
      </c>
      <c r="F141" s="125" t="s">
        <v>92</v>
      </c>
      <c r="G141" s="125" t="s">
        <v>92</v>
      </c>
      <c r="H141" s="132">
        <v>0</v>
      </c>
      <c r="I141" s="132">
        <v>0</v>
      </c>
      <c r="J141" s="132">
        <v>0</v>
      </c>
      <c r="K141" s="132">
        <v>0</v>
      </c>
      <c r="L141" s="132">
        <v>0</v>
      </c>
      <c r="M141" s="132">
        <v>0</v>
      </c>
      <c r="N141" s="132">
        <v>0</v>
      </c>
      <c r="O141" s="132">
        <v>0</v>
      </c>
      <c r="Q141" s="35"/>
      <c r="S141" s="251"/>
      <c r="T141" s="251"/>
      <c r="U141" s="251"/>
    </row>
    <row r="142" spans="2:21" s="22" customFormat="1" x14ac:dyDescent="0.3">
      <c r="B142" s="35"/>
      <c r="C142" s="122"/>
      <c r="D142" s="123"/>
      <c r="E142" s="127"/>
      <c r="F142" s="128"/>
      <c r="G142" s="128"/>
      <c r="H142" s="128"/>
      <c r="I142" s="128"/>
      <c r="J142" s="128"/>
      <c r="K142" s="128"/>
      <c r="L142" s="128"/>
      <c r="M142" s="128"/>
      <c r="N142" s="128"/>
      <c r="O142" s="128"/>
      <c r="Q142" s="35"/>
      <c r="S142" s="251"/>
      <c r="T142" s="251"/>
      <c r="U142" s="251"/>
    </row>
    <row r="143" spans="2:21" s="22" customFormat="1" ht="43.2" x14ac:dyDescent="0.3">
      <c r="B143" s="35"/>
      <c r="C143" s="66" t="s">
        <v>318</v>
      </c>
      <c r="D143" s="51" t="s">
        <v>47</v>
      </c>
      <c r="E143" s="134" t="e">
        <f>E132/E135</f>
        <v>#DIV/0!</v>
      </c>
      <c r="F143" s="134" t="e">
        <f>F132/F135</f>
        <v>#DIV/0!</v>
      </c>
      <c r="G143" s="134" t="e">
        <f>G132/G135</f>
        <v>#DIV/0!</v>
      </c>
      <c r="H143" s="135">
        <v>0</v>
      </c>
      <c r="I143" s="135">
        <v>0</v>
      </c>
      <c r="J143" s="135">
        <v>0</v>
      </c>
      <c r="K143" s="135">
        <v>0</v>
      </c>
      <c r="L143" s="135">
        <v>0</v>
      </c>
      <c r="M143" s="135">
        <v>0</v>
      </c>
      <c r="N143" s="135">
        <v>0</v>
      </c>
      <c r="O143" s="135">
        <v>0</v>
      </c>
      <c r="Q143" s="35"/>
      <c r="S143" s="251"/>
      <c r="T143" s="251"/>
      <c r="U143" s="251"/>
    </row>
    <row r="144" spans="2:21" s="22" customFormat="1" ht="75.599999999999994" customHeight="1" x14ac:dyDescent="0.3">
      <c r="B144" s="35"/>
      <c r="C144" s="122" t="s">
        <v>319</v>
      </c>
      <c r="D144" s="123"/>
      <c r="E144" s="127"/>
      <c r="F144" s="128"/>
      <c r="G144" s="128"/>
      <c r="H144" s="136" t="str">
        <f t="shared" ref="H144:O144" si="44">IF(H132&gt;G132,"OK","Redeventa propusa trebuie sa fie mai mare decat cea din anul anterior")</f>
        <v>Redeventa propusa trebuie sa fie mai mare decat cea din anul anterior</v>
      </c>
      <c r="I144" s="136" t="str">
        <f t="shared" si="44"/>
        <v>Redeventa propusa trebuie sa fie mai mare decat cea din anul anterior</v>
      </c>
      <c r="J144" s="136" t="str">
        <f t="shared" si="44"/>
        <v>Redeventa propusa trebuie sa fie mai mare decat cea din anul anterior</v>
      </c>
      <c r="K144" s="136" t="str">
        <f t="shared" si="44"/>
        <v>Redeventa propusa trebuie sa fie mai mare decat cea din anul anterior</v>
      </c>
      <c r="L144" s="136" t="str">
        <f t="shared" si="44"/>
        <v>Redeventa propusa trebuie sa fie mai mare decat cea din anul anterior</v>
      </c>
      <c r="M144" s="136" t="str">
        <f t="shared" si="44"/>
        <v>Redeventa propusa trebuie sa fie mai mare decat cea din anul anterior</v>
      </c>
      <c r="N144" s="136" t="str">
        <f t="shared" si="44"/>
        <v>Redeventa propusa trebuie sa fie mai mare decat cea din anul anterior</v>
      </c>
      <c r="O144" s="136" t="str">
        <f t="shared" si="44"/>
        <v>Redeventa propusa trebuie sa fie mai mare decat cea din anul anterior</v>
      </c>
      <c r="Q144" s="35"/>
      <c r="S144" s="251"/>
      <c r="T144" s="251"/>
      <c r="U144" s="251"/>
    </row>
    <row r="145" spans="2:21" ht="6.6" customHeight="1" x14ac:dyDescent="0.3">
      <c r="B145" s="35"/>
      <c r="C145" s="35"/>
      <c r="D145" s="35"/>
      <c r="E145" s="35"/>
      <c r="F145" s="35"/>
      <c r="G145" s="35"/>
      <c r="H145" s="35"/>
      <c r="I145" s="35"/>
      <c r="J145" s="35"/>
      <c r="K145" s="35"/>
      <c r="L145" s="35"/>
      <c r="M145" s="35"/>
      <c r="N145" s="35"/>
      <c r="O145" s="35"/>
      <c r="P145" s="35"/>
      <c r="Q145" s="35"/>
    </row>
    <row r="147" spans="2:21" ht="8.1" customHeight="1" x14ac:dyDescent="0.3">
      <c r="B147" s="23"/>
      <c r="C147" s="23"/>
      <c r="D147" s="23"/>
      <c r="E147" s="23"/>
      <c r="F147" s="23"/>
      <c r="G147" s="23"/>
      <c r="H147" s="23"/>
      <c r="I147" s="23"/>
      <c r="J147" s="23"/>
      <c r="K147" s="23"/>
      <c r="L147" s="23"/>
      <c r="M147" s="23"/>
      <c r="N147" s="23"/>
      <c r="O147" s="23"/>
      <c r="P147" s="23"/>
      <c r="Q147" s="23"/>
    </row>
    <row r="148" spans="2:21" x14ac:dyDescent="0.3">
      <c r="B148" s="23"/>
      <c r="C148" s="120" t="str">
        <f>'Costuri operare'!C249</f>
        <v>ACTIVITATEA DE APA INDUSTRIALA</v>
      </c>
      <c r="D148" s="121"/>
      <c r="E148" s="121"/>
      <c r="F148" s="121"/>
      <c r="G148" s="121"/>
      <c r="H148" s="121"/>
      <c r="I148" s="121"/>
      <c r="J148" s="121"/>
      <c r="K148" s="121"/>
      <c r="L148" s="121"/>
      <c r="M148" s="121"/>
      <c r="N148" s="121"/>
      <c r="O148" s="121"/>
      <c r="P148" s="121"/>
      <c r="Q148" s="23"/>
    </row>
    <row r="149" spans="2:21" ht="8.1" customHeight="1" x14ac:dyDescent="0.3">
      <c r="B149" s="23"/>
      <c r="C149" s="23"/>
      <c r="D149" s="23"/>
      <c r="E149" s="23"/>
      <c r="F149" s="23"/>
      <c r="G149" s="23"/>
      <c r="H149" s="23"/>
      <c r="I149" s="23"/>
      <c r="J149" s="23"/>
      <c r="K149" s="23"/>
      <c r="L149" s="23"/>
      <c r="M149" s="23"/>
      <c r="N149" s="23"/>
      <c r="O149" s="23"/>
      <c r="P149" s="23"/>
      <c r="Q149" s="23"/>
    </row>
    <row r="150" spans="2:21" x14ac:dyDescent="0.3">
      <c r="B150" s="23"/>
      <c r="Q150" s="23"/>
    </row>
    <row r="151" spans="2:21" s="22" customFormat="1" ht="29.1" customHeight="1" x14ac:dyDescent="0.3">
      <c r="B151" s="35"/>
      <c r="C151" s="86" t="s">
        <v>300</v>
      </c>
      <c r="D151" s="86"/>
      <c r="E151" s="94">
        <f>F151-1</f>
        <v>2022</v>
      </c>
      <c r="F151" s="94">
        <f>G151-1</f>
        <v>2023</v>
      </c>
      <c r="G151" s="95">
        <f>'Date generale'!$D$8</f>
        <v>2024</v>
      </c>
      <c r="H151" s="96">
        <f t="shared" ref="H151:O151" si="45">G151+1</f>
        <v>2025</v>
      </c>
      <c r="I151" s="96">
        <f t="shared" si="45"/>
        <v>2026</v>
      </c>
      <c r="J151" s="96">
        <f t="shared" si="45"/>
        <v>2027</v>
      </c>
      <c r="K151" s="96">
        <f t="shared" si="45"/>
        <v>2028</v>
      </c>
      <c r="L151" s="96">
        <f t="shared" si="45"/>
        <v>2029</v>
      </c>
      <c r="M151" s="96">
        <f t="shared" si="45"/>
        <v>2030</v>
      </c>
      <c r="N151" s="96">
        <f t="shared" si="45"/>
        <v>2031</v>
      </c>
      <c r="O151" s="96">
        <f t="shared" si="45"/>
        <v>2032</v>
      </c>
      <c r="Q151" s="35"/>
      <c r="S151" s="249" t="s">
        <v>301</v>
      </c>
      <c r="T151" s="249"/>
      <c r="U151" s="249"/>
    </row>
    <row r="152" spans="2:21" x14ac:dyDescent="0.3">
      <c r="B152" s="23"/>
      <c r="C152" s="97"/>
      <c r="D152" s="97"/>
      <c r="E152" s="98">
        <f>F152-1</f>
        <v>-3</v>
      </c>
      <c r="F152" s="98">
        <f>G152-1</f>
        <v>-2</v>
      </c>
      <c r="G152" s="99">
        <v>-1</v>
      </c>
      <c r="H152" s="99">
        <v>0</v>
      </c>
      <c r="I152" s="99">
        <f t="shared" ref="I152:O152" si="46">H152+1</f>
        <v>1</v>
      </c>
      <c r="J152" s="99">
        <f t="shared" si="46"/>
        <v>2</v>
      </c>
      <c r="K152" s="99">
        <f t="shared" si="46"/>
        <v>3</v>
      </c>
      <c r="L152" s="99">
        <f t="shared" si="46"/>
        <v>4</v>
      </c>
      <c r="M152" s="99">
        <f t="shared" si="46"/>
        <v>5</v>
      </c>
      <c r="N152" s="99">
        <f t="shared" si="46"/>
        <v>6</v>
      </c>
      <c r="O152" s="99">
        <f t="shared" si="46"/>
        <v>7</v>
      </c>
      <c r="Q152" s="35"/>
      <c r="S152" s="98" t="s">
        <v>302</v>
      </c>
      <c r="T152" s="98" t="s">
        <v>303</v>
      </c>
      <c r="U152" s="137" t="s">
        <v>304</v>
      </c>
    </row>
    <row r="153" spans="2:21" s="24" customFormat="1" x14ac:dyDescent="0.3">
      <c r="B153" s="61"/>
      <c r="C153" s="42"/>
      <c r="D153" s="51"/>
      <c r="E153" s="62"/>
      <c r="F153" s="62"/>
      <c r="G153" s="62"/>
      <c r="H153" s="62"/>
      <c r="I153" s="62"/>
      <c r="J153" s="62"/>
      <c r="K153" s="62"/>
      <c r="L153" s="62"/>
      <c r="M153" s="62"/>
      <c r="N153" s="62"/>
      <c r="O153" s="62"/>
      <c r="Q153" s="35"/>
      <c r="S153" s="251"/>
      <c r="T153" s="251"/>
      <c r="U153" s="251"/>
    </row>
    <row r="154" spans="2:21" x14ac:dyDescent="0.3">
      <c r="B154" s="23"/>
      <c r="C154" s="66" t="s">
        <v>305</v>
      </c>
      <c r="D154" s="43" t="s">
        <v>141</v>
      </c>
      <c r="E154" s="88">
        <f>'Costuri operare'!E259</f>
        <v>0</v>
      </c>
      <c r="F154" s="88">
        <f>'Costuri operare'!F259</f>
        <v>0</v>
      </c>
      <c r="G154" s="88">
        <f>'Costuri operare'!G259</f>
        <v>0</v>
      </c>
      <c r="H154" s="87">
        <f>G154</f>
        <v>0</v>
      </c>
      <c r="I154" s="87">
        <f t="shared" ref="I154:O154" si="47">H154</f>
        <v>0</v>
      </c>
      <c r="J154" s="87">
        <f t="shared" si="47"/>
        <v>0</v>
      </c>
      <c r="K154" s="87">
        <f t="shared" si="47"/>
        <v>0</v>
      </c>
      <c r="L154" s="87">
        <f t="shared" si="47"/>
        <v>0</v>
      </c>
      <c r="M154" s="87">
        <f t="shared" si="47"/>
        <v>0</v>
      </c>
      <c r="N154" s="87">
        <f t="shared" si="47"/>
        <v>0</v>
      </c>
      <c r="O154" s="87">
        <f t="shared" si="47"/>
        <v>0</v>
      </c>
      <c r="Q154" s="35"/>
      <c r="S154" s="251"/>
      <c r="T154" s="251"/>
      <c r="U154" s="251"/>
    </row>
    <row r="155" spans="2:21" s="22" customFormat="1" x14ac:dyDescent="0.3">
      <c r="B155" s="35"/>
      <c r="C155" s="50"/>
      <c r="D155" s="43"/>
      <c r="E155" s="88"/>
      <c r="F155" s="88"/>
      <c r="G155" s="88"/>
      <c r="H155" s="88"/>
      <c r="I155" s="88"/>
      <c r="J155" s="88"/>
      <c r="K155" s="88"/>
      <c r="L155" s="88"/>
      <c r="M155" s="88"/>
      <c r="N155" s="88"/>
      <c r="O155" s="88"/>
      <c r="Q155" s="35"/>
      <c r="S155" s="251"/>
      <c r="T155" s="251"/>
      <c r="U155" s="251"/>
    </row>
    <row r="156" spans="2:21" s="22" customFormat="1" x14ac:dyDescent="0.3">
      <c r="B156" s="35"/>
      <c r="C156" s="66" t="s">
        <v>306</v>
      </c>
      <c r="D156" s="43"/>
      <c r="E156" s="88"/>
      <c r="F156" s="88"/>
      <c r="G156" s="88"/>
      <c r="H156" s="88"/>
      <c r="I156" s="88"/>
      <c r="J156" s="88"/>
      <c r="K156" s="88"/>
      <c r="L156" s="88"/>
      <c r="M156" s="88"/>
      <c r="N156" s="88"/>
      <c r="O156" s="88"/>
      <c r="Q156" s="35"/>
      <c r="S156" s="251"/>
      <c r="T156" s="251"/>
      <c r="U156" s="251"/>
    </row>
    <row r="157" spans="2:21" s="22" customFormat="1" x14ac:dyDescent="0.3">
      <c r="B157" s="35"/>
      <c r="C157" s="50" t="s">
        <v>264</v>
      </c>
      <c r="D157" s="43" t="s">
        <v>141</v>
      </c>
      <c r="E157" s="88"/>
      <c r="F157" s="88"/>
      <c r="G157" s="88"/>
      <c r="H157" s="87">
        <v>0</v>
      </c>
      <c r="I157" s="87">
        <v>0</v>
      </c>
      <c r="J157" s="87">
        <v>0</v>
      </c>
      <c r="K157" s="87">
        <v>0</v>
      </c>
      <c r="L157" s="87">
        <v>0</v>
      </c>
      <c r="M157" s="87">
        <v>0</v>
      </c>
      <c r="N157" s="87">
        <v>0</v>
      </c>
      <c r="O157" s="87">
        <v>0</v>
      </c>
      <c r="Q157" s="35"/>
      <c r="S157" s="251"/>
      <c r="T157" s="251"/>
      <c r="U157" s="251"/>
    </row>
    <row r="158" spans="2:21" s="22" customFormat="1" x14ac:dyDescent="0.3">
      <c r="B158" s="35"/>
      <c r="C158" s="50" t="s">
        <v>266</v>
      </c>
      <c r="D158" s="43" t="s">
        <v>141</v>
      </c>
      <c r="E158" s="88"/>
      <c r="F158" s="88"/>
      <c r="G158" s="88"/>
      <c r="H158" s="87">
        <v>0</v>
      </c>
      <c r="I158" s="87">
        <v>0</v>
      </c>
      <c r="J158" s="87">
        <v>0</v>
      </c>
      <c r="K158" s="87">
        <v>0</v>
      </c>
      <c r="L158" s="87">
        <v>0</v>
      </c>
      <c r="M158" s="87">
        <v>0</v>
      </c>
      <c r="N158" s="87">
        <v>0</v>
      </c>
      <c r="O158" s="87">
        <v>0</v>
      </c>
      <c r="Q158" s="35"/>
      <c r="S158" s="251"/>
      <c r="T158" s="251"/>
      <c r="U158" s="251"/>
    </row>
    <row r="159" spans="2:21" s="22" customFormat="1" x14ac:dyDescent="0.3">
      <c r="B159" s="35"/>
      <c r="C159" s="50" t="s">
        <v>267</v>
      </c>
      <c r="D159" s="43" t="s">
        <v>141</v>
      </c>
      <c r="E159" s="88"/>
      <c r="F159" s="88"/>
      <c r="G159" s="88"/>
      <c r="H159" s="87">
        <v>0</v>
      </c>
      <c r="I159" s="87">
        <v>0</v>
      </c>
      <c r="J159" s="87">
        <v>0</v>
      </c>
      <c r="K159" s="87">
        <v>0</v>
      </c>
      <c r="L159" s="87">
        <v>0</v>
      </c>
      <c r="M159" s="87">
        <v>0</v>
      </c>
      <c r="N159" s="87">
        <v>0</v>
      </c>
      <c r="O159" s="87">
        <v>0</v>
      </c>
      <c r="Q159" s="35"/>
      <c r="S159" s="251"/>
      <c r="T159" s="251"/>
      <c r="U159" s="251"/>
    </row>
    <row r="160" spans="2:21" s="22" customFormat="1" x14ac:dyDescent="0.3">
      <c r="B160" s="35"/>
      <c r="C160" s="122"/>
      <c r="D160" s="123"/>
      <c r="E160" s="124"/>
      <c r="F160" s="124"/>
      <c r="G160" s="124"/>
      <c r="H160" s="124"/>
      <c r="I160" s="124"/>
      <c r="J160" s="124"/>
      <c r="K160" s="124"/>
      <c r="L160" s="124"/>
      <c r="M160" s="124"/>
      <c r="N160" s="124"/>
      <c r="O160" s="124"/>
      <c r="Q160" s="35"/>
      <c r="S160" s="251"/>
      <c r="T160" s="251"/>
      <c r="U160" s="251"/>
    </row>
    <row r="161" spans="2:21" s="22" customFormat="1" x14ac:dyDescent="0.3">
      <c r="B161" s="35"/>
      <c r="C161" s="66" t="s">
        <v>307</v>
      </c>
      <c r="D161" s="51" t="s">
        <v>141</v>
      </c>
      <c r="E161" s="62">
        <f>E154</f>
        <v>0</v>
      </c>
      <c r="F161" s="62">
        <f>F154</f>
        <v>0</v>
      </c>
      <c r="G161" s="62">
        <f>G154</f>
        <v>0</v>
      </c>
      <c r="H161" s="62">
        <f t="shared" ref="H161:O161" si="48">H154+H157+H158+H159</f>
        <v>0</v>
      </c>
      <c r="I161" s="62">
        <f t="shared" si="48"/>
        <v>0</v>
      </c>
      <c r="J161" s="62">
        <f t="shared" si="48"/>
        <v>0</v>
      </c>
      <c r="K161" s="62">
        <f t="shared" si="48"/>
        <v>0</v>
      </c>
      <c r="L161" s="62">
        <f t="shared" si="48"/>
        <v>0</v>
      </c>
      <c r="M161" s="62">
        <f t="shared" si="48"/>
        <v>0</v>
      </c>
      <c r="N161" s="62">
        <f t="shared" si="48"/>
        <v>0</v>
      </c>
      <c r="O161" s="62">
        <f t="shared" si="48"/>
        <v>0</v>
      </c>
      <c r="Q161" s="35"/>
      <c r="S161" s="251"/>
      <c r="T161" s="251"/>
      <c r="U161" s="251"/>
    </row>
    <row r="162" spans="2:21" s="22" customFormat="1" x14ac:dyDescent="0.3">
      <c r="B162" s="35"/>
      <c r="C162" s="50" t="s">
        <v>308</v>
      </c>
      <c r="D162" s="43" t="s">
        <v>47</v>
      </c>
      <c r="E162" s="125" t="s">
        <v>92</v>
      </c>
      <c r="F162" s="126" t="e">
        <f t="shared" ref="F162:O162" si="49">F161/E161-1</f>
        <v>#DIV/0!</v>
      </c>
      <c r="G162" s="126" t="e">
        <f t="shared" si="49"/>
        <v>#DIV/0!</v>
      </c>
      <c r="H162" s="126" t="e">
        <f t="shared" si="49"/>
        <v>#DIV/0!</v>
      </c>
      <c r="I162" s="126" t="e">
        <f t="shared" si="49"/>
        <v>#DIV/0!</v>
      </c>
      <c r="J162" s="126" t="e">
        <f t="shared" si="49"/>
        <v>#DIV/0!</v>
      </c>
      <c r="K162" s="126" t="e">
        <f t="shared" si="49"/>
        <v>#DIV/0!</v>
      </c>
      <c r="L162" s="126" t="e">
        <f t="shared" si="49"/>
        <v>#DIV/0!</v>
      </c>
      <c r="M162" s="126" t="e">
        <f t="shared" si="49"/>
        <v>#DIV/0!</v>
      </c>
      <c r="N162" s="126" t="e">
        <f t="shared" si="49"/>
        <v>#DIV/0!</v>
      </c>
      <c r="O162" s="126" t="e">
        <f t="shared" si="49"/>
        <v>#DIV/0!</v>
      </c>
      <c r="Q162" s="35"/>
      <c r="S162" s="251"/>
      <c r="T162" s="251"/>
      <c r="U162" s="251"/>
    </row>
    <row r="163" spans="2:21" s="22" customFormat="1" x14ac:dyDescent="0.3">
      <c r="B163" s="35"/>
      <c r="C163" s="122"/>
      <c r="D163" s="123"/>
      <c r="E163" s="127"/>
      <c r="F163" s="128"/>
      <c r="G163" s="128"/>
      <c r="H163" s="128"/>
      <c r="I163" s="128"/>
      <c r="J163" s="128"/>
      <c r="K163" s="128"/>
      <c r="L163" s="128"/>
      <c r="M163" s="128"/>
      <c r="N163" s="128"/>
      <c r="O163" s="128"/>
      <c r="Q163" s="35"/>
      <c r="S163" s="251"/>
      <c r="T163" s="251"/>
      <c r="U163" s="251"/>
    </row>
    <row r="164" spans="2:21" s="22" customFormat="1" x14ac:dyDescent="0.3">
      <c r="B164" s="35"/>
      <c r="C164" s="86" t="s">
        <v>309</v>
      </c>
      <c r="D164" s="86"/>
      <c r="E164" s="94">
        <f>F164-1</f>
        <v>2022</v>
      </c>
      <c r="F164" s="94">
        <f>G164-1</f>
        <v>2023</v>
      </c>
      <c r="G164" s="95">
        <f>'Date generale'!$D$8</f>
        <v>2024</v>
      </c>
      <c r="H164" s="96">
        <f t="shared" ref="H164:O164" si="50">G164+1</f>
        <v>2025</v>
      </c>
      <c r="I164" s="96">
        <f t="shared" si="50"/>
        <v>2026</v>
      </c>
      <c r="J164" s="96">
        <f t="shared" si="50"/>
        <v>2027</v>
      </c>
      <c r="K164" s="96">
        <f t="shared" si="50"/>
        <v>2028</v>
      </c>
      <c r="L164" s="96">
        <f t="shared" si="50"/>
        <v>2029</v>
      </c>
      <c r="M164" s="96">
        <f t="shared" si="50"/>
        <v>2030</v>
      </c>
      <c r="N164" s="96">
        <f t="shared" si="50"/>
        <v>2031</v>
      </c>
      <c r="O164" s="96">
        <f t="shared" si="50"/>
        <v>2032</v>
      </c>
      <c r="Q164" s="35"/>
      <c r="S164" s="251"/>
      <c r="T164" s="251"/>
      <c r="U164" s="251"/>
    </row>
    <row r="165" spans="2:21" s="22" customFormat="1" x14ac:dyDescent="0.3">
      <c r="B165" s="35"/>
      <c r="C165" s="97"/>
      <c r="D165" s="97"/>
      <c r="E165" s="98">
        <f>F165-1</f>
        <v>-3</v>
      </c>
      <c r="F165" s="98">
        <f>G165-1</f>
        <v>-2</v>
      </c>
      <c r="G165" s="99">
        <v>-1</v>
      </c>
      <c r="H165" s="99">
        <v>0</v>
      </c>
      <c r="I165" s="99">
        <f t="shared" ref="I165:O165" si="51">H165+1</f>
        <v>1</v>
      </c>
      <c r="J165" s="99">
        <f t="shared" si="51"/>
        <v>2</v>
      </c>
      <c r="K165" s="99">
        <f t="shared" si="51"/>
        <v>3</v>
      </c>
      <c r="L165" s="99">
        <f t="shared" si="51"/>
        <v>4</v>
      </c>
      <c r="M165" s="99">
        <f t="shared" si="51"/>
        <v>5</v>
      </c>
      <c r="N165" s="99">
        <f t="shared" si="51"/>
        <v>6</v>
      </c>
      <c r="O165" s="99">
        <f t="shared" si="51"/>
        <v>7</v>
      </c>
      <c r="Q165" s="35"/>
      <c r="S165" s="251"/>
      <c r="T165" s="251"/>
      <c r="U165" s="251"/>
    </row>
    <row r="166" spans="2:21" s="22" customFormat="1" x14ac:dyDescent="0.3">
      <c r="B166" s="35"/>
      <c r="C166" s="122"/>
      <c r="D166" s="123"/>
      <c r="E166" s="127"/>
      <c r="F166" s="128"/>
      <c r="G166" s="128"/>
      <c r="H166" s="128"/>
      <c r="I166" s="128"/>
      <c r="J166" s="128"/>
      <c r="K166" s="128"/>
      <c r="L166" s="128"/>
      <c r="M166" s="128"/>
      <c r="N166" s="128"/>
      <c r="O166" s="128"/>
      <c r="Q166" s="35"/>
      <c r="S166" s="251"/>
      <c r="T166" s="251"/>
      <c r="U166" s="251"/>
    </row>
    <row r="167" spans="2:21" ht="30.75" customHeight="1" x14ac:dyDescent="0.3">
      <c r="B167" s="23"/>
      <c r="C167" s="66" t="s">
        <v>310</v>
      </c>
      <c r="D167" s="43" t="s">
        <v>141</v>
      </c>
      <c r="E167" s="88">
        <f>'Costuri operare'!E260</f>
        <v>0</v>
      </c>
      <c r="F167" s="88">
        <f>'Costuri operare'!F260</f>
        <v>0</v>
      </c>
      <c r="G167" s="88">
        <f>'Costuri operare'!G260</f>
        <v>0</v>
      </c>
      <c r="H167" s="88">
        <f t="shared" ref="H167:O167" si="52">H170*H178</f>
        <v>0</v>
      </c>
      <c r="I167" s="88">
        <f t="shared" si="52"/>
        <v>0</v>
      </c>
      <c r="J167" s="88">
        <f t="shared" si="52"/>
        <v>0</v>
      </c>
      <c r="K167" s="88">
        <f t="shared" si="52"/>
        <v>0</v>
      </c>
      <c r="L167" s="88">
        <f t="shared" si="52"/>
        <v>0</v>
      </c>
      <c r="M167" s="88">
        <f t="shared" si="52"/>
        <v>0</v>
      </c>
      <c r="N167" s="88">
        <f t="shared" si="52"/>
        <v>0</v>
      </c>
      <c r="O167" s="88">
        <f t="shared" si="52"/>
        <v>0</v>
      </c>
      <c r="Q167" s="35"/>
      <c r="S167" s="251"/>
      <c r="T167" s="251"/>
      <c r="U167" s="251"/>
    </row>
    <row r="168" spans="2:21" x14ac:dyDescent="0.3">
      <c r="B168" s="23"/>
      <c r="C168" s="50" t="s">
        <v>308</v>
      </c>
      <c r="D168" s="129" t="s">
        <v>47</v>
      </c>
      <c r="E168" s="125" t="s">
        <v>92</v>
      </c>
      <c r="F168" s="126" t="e">
        <f t="shared" ref="F168:O168" si="53">F167/E167-1</f>
        <v>#DIV/0!</v>
      </c>
      <c r="G168" s="126" t="e">
        <f t="shared" si="53"/>
        <v>#DIV/0!</v>
      </c>
      <c r="H168" s="126" t="e">
        <f t="shared" si="53"/>
        <v>#DIV/0!</v>
      </c>
      <c r="I168" s="126" t="e">
        <f t="shared" si="53"/>
        <v>#DIV/0!</v>
      </c>
      <c r="J168" s="126" t="e">
        <f t="shared" si="53"/>
        <v>#DIV/0!</v>
      </c>
      <c r="K168" s="126" t="e">
        <f t="shared" si="53"/>
        <v>#DIV/0!</v>
      </c>
      <c r="L168" s="126" t="e">
        <f t="shared" si="53"/>
        <v>#DIV/0!</v>
      </c>
      <c r="M168" s="126" t="e">
        <f t="shared" si="53"/>
        <v>#DIV/0!</v>
      </c>
      <c r="N168" s="126" t="e">
        <f t="shared" si="53"/>
        <v>#DIV/0!</v>
      </c>
      <c r="O168" s="126" t="e">
        <f t="shared" si="53"/>
        <v>#DIV/0!</v>
      </c>
      <c r="Q168" s="35"/>
      <c r="S168" s="251"/>
      <c r="T168" s="251"/>
      <c r="U168" s="251"/>
    </row>
    <row r="169" spans="2:21" x14ac:dyDescent="0.3">
      <c r="B169" s="23"/>
      <c r="C169" s="130"/>
      <c r="D169" s="129"/>
      <c r="E169" s="131"/>
      <c r="F169" s="131"/>
      <c r="G169" s="131"/>
      <c r="H169" s="131"/>
      <c r="I169" s="131"/>
      <c r="J169" s="131"/>
      <c r="K169" s="131"/>
      <c r="L169" s="131"/>
      <c r="M169" s="131"/>
      <c r="N169" s="131"/>
      <c r="O169" s="131"/>
      <c r="Q169" s="35"/>
      <c r="S169" s="251"/>
      <c r="T169" s="251"/>
      <c r="U169" s="251"/>
    </row>
    <row r="170" spans="2:21" s="22" customFormat="1" ht="43.2" x14ac:dyDescent="0.3">
      <c r="B170" s="35"/>
      <c r="C170" s="66" t="s">
        <v>311</v>
      </c>
      <c r="D170" s="43" t="s">
        <v>141</v>
      </c>
      <c r="E170" s="132">
        <v>0</v>
      </c>
      <c r="F170" s="132">
        <v>0</v>
      </c>
      <c r="G170" s="132">
        <v>0</v>
      </c>
      <c r="H170" s="133">
        <f t="shared" ref="H170:O170" si="54">SUM(H171:H176)</f>
        <v>0</v>
      </c>
      <c r="I170" s="133">
        <f t="shared" si="54"/>
        <v>0</v>
      </c>
      <c r="J170" s="133">
        <f t="shared" si="54"/>
        <v>0</v>
      </c>
      <c r="K170" s="133">
        <f t="shared" si="54"/>
        <v>0</v>
      </c>
      <c r="L170" s="133">
        <f t="shared" si="54"/>
        <v>0</v>
      </c>
      <c r="M170" s="133">
        <f t="shared" si="54"/>
        <v>0</v>
      </c>
      <c r="N170" s="133">
        <f t="shared" si="54"/>
        <v>0</v>
      </c>
      <c r="O170" s="133">
        <f t="shared" si="54"/>
        <v>0</v>
      </c>
      <c r="Q170" s="35"/>
      <c r="S170" s="251"/>
      <c r="T170" s="251"/>
      <c r="U170" s="251"/>
    </row>
    <row r="171" spans="2:21" s="22" customFormat="1" x14ac:dyDescent="0.3">
      <c r="B171" s="35"/>
      <c r="C171" s="48" t="s">
        <v>312</v>
      </c>
      <c r="D171" s="43" t="s">
        <v>141</v>
      </c>
      <c r="E171" s="132">
        <v>0</v>
      </c>
      <c r="F171" s="132">
        <v>0</v>
      </c>
      <c r="G171" s="132">
        <v>0</v>
      </c>
      <c r="H171" s="132">
        <v>0</v>
      </c>
      <c r="I171" s="132">
        <v>0</v>
      </c>
      <c r="J171" s="132">
        <v>0</v>
      </c>
      <c r="K171" s="132">
        <v>0</v>
      </c>
      <c r="L171" s="132">
        <v>0</v>
      </c>
      <c r="M171" s="132">
        <v>0</v>
      </c>
      <c r="N171" s="132">
        <v>0</v>
      </c>
      <c r="O171" s="132">
        <v>0</v>
      </c>
      <c r="Q171" s="35"/>
      <c r="S171" s="251"/>
      <c r="T171" s="251"/>
      <c r="U171" s="251"/>
    </row>
    <row r="172" spans="2:21" s="22" customFormat="1" x14ac:dyDescent="0.3">
      <c r="B172" s="35"/>
      <c r="C172" s="48" t="s">
        <v>313</v>
      </c>
      <c r="D172" s="43" t="s">
        <v>141</v>
      </c>
      <c r="E172" s="132">
        <v>0</v>
      </c>
      <c r="F172" s="132">
        <v>0</v>
      </c>
      <c r="G172" s="132">
        <v>0</v>
      </c>
      <c r="H172" s="132">
        <v>0</v>
      </c>
      <c r="I172" s="132">
        <v>0</v>
      </c>
      <c r="J172" s="132">
        <v>0</v>
      </c>
      <c r="K172" s="132">
        <v>0</v>
      </c>
      <c r="L172" s="132">
        <v>0</v>
      </c>
      <c r="M172" s="132">
        <v>0</v>
      </c>
      <c r="N172" s="132">
        <v>0</v>
      </c>
      <c r="O172" s="132">
        <v>0</v>
      </c>
      <c r="Q172" s="35"/>
      <c r="S172" s="251"/>
      <c r="T172" s="251"/>
      <c r="U172" s="251"/>
    </row>
    <row r="173" spans="2:21" s="22" customFormat="1" x14ac:dyDescent="0.3">
      <c r="B173" s="35"/>
      <c r="C173" s="48" t="s">
        <v>314</v>
      </c>
      <c r="D173" s="43" t="s">
        <v>141</v>
      </c>
      <c r="E173" s="132">
        <v>0</v>
      </c>
      <c r="F173" s="132">
        <v>0</v>
      </c>
      <c r="G173" s="132">
        <v>0</v>
      </c>
      <c r="H173" s="132">
        <v>0</v>
      </c>
      <c r="I173" s="132">
        <v>0</v>
      </c>
      <c r="J173" s="132">
        <v>0</v>
      </c>
      <c r="K173" s="132">
        <v>0</v>
      </c>
      <c r="L173" s="132">
        <v>0</v>
      </c>
      <c r="M173" s="132">
        <v>0</v>
      </c>
      <c r="N173" s="132">
        <v>0</v>
      </c>
      <c r="O173" s="132">
        <v>0</v>
      </c>
      <c r="Q173" s="35"/>
      <c r="S173" s="251"/>
      <c r="T173" s="251"/>
      <c r="U173" s="251"/>
    </row>
    <row r="174" spans="2:21" s="22" customFormat="1" ht="28.8" x14ac:dyDescent="0.3">
      <c r="B174" s="35"/>
      <c r="C174" s="48" t="s">
        <v>321</v>
      </c>
      <c r="D174" s="43" t="s">
        <v>141</v>
      </c>
      <c r="E174" s="132">
        <v>0</v>
      </c>
      <c r="F174" s="132">
        <v>0</v>
      </c>
      <c r="G174" s="132">
        <v>0</v>
      </c>
      <c r="H174" s="132">
        <v>0</v>
      </c>
      <c r="I174" s="132">
        <v>0</v>
      </c>
      <c r="J174" s="132">
        <v>0</v>
      </c>
      <c r="K174" s="132">
        <v>0</v>
      </c>
      <c r="L174" s="132">
        <v>0</v>
      </c>
      <c r="M174" s="132">
        <v>0</v>
      </c>
      <c r="N174" s="132">
        <v>0</v>
      </c>
      <c r="O174" s="132">
        <v>0</v>
      </c>
      <c r="Q174" s="35"/>
      <c r="S174" s="251"/>
      <c r="T174" s="251"/>
      <c r="U174" s="251"/>
    </row>
    <row r="175" spans="2:21" s="22" customFormat="1" ht="28.8" x14ac:dyDescent="0.3">
      <c r="B175" s="35"/>
      <c r="C175" s="48" t="s">
        <v>316</v>
      </c>
      <c r="D175" s="43" t="s">
        <v>141</v>
      </c>
      <c r="E175" s="88">
        <f>E170-SUM(E171:E174)</f>
        <v>0</v>
      </c>
      <c r="F175" s="88">
        <f>F170-SUM(F171:F174)</f>
        <v>0</v>
      </c>
      <c r="G175" s="88">
        <f>G170-SUM(G171:G174)</f>
        <v>0</v>
      </c>
      <c r="H175" s="87">
        <v>0</v>
      </c>
      <c r="I175" s="87">
        <v>0</v>
      </c>
      <c r="J175" s="87">
        <v>0</v>
      </c>
      <c r="K175" s="87">
        <v>0</v>
      </c>
      <c r="L175" s="87">
        <v>0</v>
      </c>
      <c r="M175" s="87">
        <v>0</v>
      </c>
      <c r="N175" s="87">
        <v>0</v>
      </c>
      <c r="O175" s="87">
        <v>0</v>
      </c>
      <c r="Q175" s="35"/>
      <c r="S175" s="251"/>
      <c r="T175" s="251"/>
      <c r="U175" s="251"/>
    </row>
    <row r="176" spans="2:21" s="22" customFormat="1" ht="43.2" x14ac:dyDescent="0.3">
      <c r="B176" s="35"/>
      <c r="C176" s="48" t="s">
        <v>317</v>
      </c>
      <c r="D176" s="43" t="s">
        <v>141</v>
      </c>
      <c r="E176" s="125" t="s">
        <v>92</v>
      </c>
      <c r="F176" s="125" t="s">
        <v>92</v>
      </c>
      <c r="G176" s="125" t="s">
        <v>92</v>
      </c>
      <c r="H176" s="87">
        <v>0</v>
      </c>
      <c r="I176" s="87">
        <v>0</v>
      </c>
      <c r="J176" s="87">
        <v>0</v>
      </c>
      <c r="K176" s="87">
        <v>0</v>
      </c>
      <c r="L176" s="87">
        <v>0</v>
      </c>
      <c r="M176" s="87">
        <v>0</v>
      </c>
      <c r="N176" s="87">
        <v>0</v>
      </c>
      <c r="O176" s="87">
        <v>0</v>
      </c>
      <c r="Q176" s="35"/>
      <c r="S176" s="251"/>
      <c r="T176" s="251"/>
      <c r="U176" s="251"/>
    </row>
    <row r="177" spans="2:21" s="22" customFormat="1" x14ac:dyDescent="0.3">
      <c r="B177" s="35"/>
      <c r="C177" s="122"/>
      <c r="D177" s="123"/>
      <c r="E177" s="127"/>
      <c r="F177" s="128"/>
      <c r="G177" s="128"/>
      <c r="H177" s="128"/>
      <c r="I177" s="128"/>
      <c r="J177" s="128"/>
      <c r="K177" s="128"/>
      <c r="L177" s="128"/>
      <c r="M177" s="128"/>
      <c r="N177" s="128"/>
      <c r="O177" s="128"/>
      <c r="Q177" s="35"/>
      <c r="S177" s="251"/>
      <c r="T177" s="251"/>
      <c r="U177" s="251"/>
    </row>
    <row r="178" spans="2:21" s="22" customFormat="1" ht="43.2" x14ac:dyDescent="0.3">
      <c r="B178" s="35"/>
      <c r="C178" s="66" t="s">
        <v>318</v>
      </c>
      <c r="D178" s="51" t="s">
        <v>47</v>
      </c>
      <c r="E178" s="134" t="e">
        <f>E167/E170</f>
        <v>#DIV/0!</v>
      </c>
      <c r="F178" s="134" t="e">
        <f>F167/F170</f>
        <v>#DIV/0!</v>
      </c>
      <c r="G178" s="134" t="e">
        <f>G167/G170</f>
        <v>#DIV/0!</v>
      </c>
      <c r="H178" s="135">
        <v>0</v>
      </c>
      <c r="I178" s="135">
        <v>0</v>
      </c>
      <c r="J178" s="135">
        <v>0</v>
      </c>
      <c r="K178" s="135">
        <v>0</v>
      </c>
      <c r="L178" s="135">
        <v>0</v>
      </c>
      <c r="M178" s="135">
        <v>0</v>
      </c>
      <c r="N178" s="135">
        <v>0</v>
      </c>
      <c r="O178" s="135">
        <v>0</v>
      </c>
      <c r="Q178" s="35"/>
      <c r="S178" s="251"/>
      <c r="T178" s="251"/>
      <c r="U178" s="251"/>
    </row>
    <row r="179" spans="2:21" s="22" customFormat="1" ht="75.599999999999994" customHeight="1" x14ac:dyDescent="0.3">
      <c r="B179" s="35"/>
      <c r="C179" s="122" t="s">
        <v>319</v>
      </c>
      <c r="D179" s="123"/>
      <c r="E179" s="127"/>
      <c r="F179" s="128"/>
      <c r="G179" s="128"/>
      <c r="H179" s="136" t="str">
        <f t="shared" ref="H179:O179" si="55">IF(H167&gt;G167,"OK","Redeventa propusa trebuie sa fie mai mare decat cea din anul anterior")</f>
        <v>Redeventa propusa trebuie sa fie mai mare decat cea din anul anterior</v>
      </c>
      <c r="I179" s="136" t="str">
        <f t="shared" si="55"/>
        <v>Redeventa propusa trebuie sa fie mai mare decat cea din anul anterior</v>
      </c>
      <c r="J179" s="136" t="str">
        <f t="shared" si="55"/>
        <v>Redeventa propusa trebuie sa fie mai mare decat cea din anul anterior</v>
      </c>
      <c r="K179" s="136" t="str">
        <f t="shared" si="55"/>
        <v>Redeventa propusa trebuie sa fie mai mare decat cea din anul anterior</v>
      </c>
      <c r="L179" s="136" t="str">
        <f t="shared" si="55"/>
        <v>Redeventa propusa trebuie sa fie mai mare decat cea din anul anterior</v>
      </c>
      <c r="M179" s="136" t="str">
        <f t="shared" si="55"/>
        <v>Redeventa propusa trebuie sa fie mai mare decat cea din anul anterior</v>
      </c>
      <c r="N179" s="136" t="str">
        <f t="shared" si="55"/>
        <v>Redeventa propusa trebuie sa fie mai mare decat cea din anul anterior</v>
      </c>
      <c r="O179" s="136" t="str">
        <f t="shared" si="55"/>
        <v>Redeventa propusa trebuie sa fie mai mare decat cea din anul anterior</v>
      </c>
      <c r="Q179" s="35"/>
      <c r="S179" s="251"/>
      <c r="T179" s="251"/>
      <c r="U179" s="251"/>
    </row>
    <row r="180" spans="2:21" ht="6.6" customHeight="1" x14ac:dyDescent="0.3">
      <c r="B180" s="35"/>
      <c r="C180" s="35"/>
      <c r="D180" s="35"/>
      <c r="E180" s="35"/>
      <c r="F180" s="35"/>
      <c r="G180" s="35"/>
      <c r="H180" s="35"/>
      <c r="I180" s="35"/>
      <c r="J180" s="35"/>
      <c r="K180" s="35"/>
      <c r="L180" s="35"/>
      <c r="M180" s="35"/>
      <c r="N180" s="35"/>
      <c r="O180" s="35"/>
      <c r="P180" s="35"/>
      <c r="Q180" s="35"/>
    </row>
    <row r="182" spans="2:21" ht="8.1" customHeight="1" x14ac:dyDescent="0.3">
      <c r="B182" s="23"/>
      <c r="C182" s="23"/>
      <c r="D182" s="23"/>
      <c r="E182" s="23"/>
      <c r="F182" s="23"/>
      <c r="G182" s="23"/>
      <c r="H182" s="23"/>
      <c r="I182" s="23"/>
      <c r="J182" s="23"/>
      <c r="K182" s="23"/>
      <c r="L182" s="23"/>
      <c r="M182" s="23"/>
      <c r="N182" s="23"/>
      <c r="O182" s="23"/>
      <c r="P182" s="23"/>
      <c r="Q182" s="23"/>
    </row>
    <row r="183" spans="2:21" x14ac:dyDescent="0.3">
      <c r="B183" s="23"/>
      <c r="C183" s="24" t="str">
        <f>'Costuri operare'!C311</f>
        <v>ACTIVITATEA DE TRANSPORT SI EPURARE A APELOR UZATE PRELUATE DIN ALTE SISTEME DE OPERARE</v>
      </c>
      <c r="Q183" s="23"/>
    </row>
    <row r="184" spans="2:21" ht="8.1" customHeight="1" x14ac:dyDescent="0.3">
      <c r="B184" s="23"/>
      <c r="C184" s="23"/>
      <c r="D184" s="23"/>
      <c r="E184" s="23"/>
      <c r="F184" s="23"/>
      <c r="G184" s="23"/>
      <c r="H184" s="23"/>
      <c r="I184" s="23"/>
      <c r="J184" s="23"/>
      <c r="K184" s="23"/>
      <c r="L184" s="23"/>
      <c r="M184" s="23"/>
      <c r="N184" s="23"/>
      <c r="O184" s="23"/>
      <c r="P184" s="23"/>
      <c r="Q184" s="23"/>
    </row>
    <row r="185" spans="2:21" x14ac:dyDescent="0.3">
      <c r="B185" s="23"/>
      <c r="Q185" s="23"/>
    </row>
    <row r="186" spans="2:21" s="22" customFormat="1" ht="29.1" customHeight="1" x14ac:dyDescent="0.3">
      <c r="B186" s="35"/>
      <c r="C186" s="89" t="s">
        <v>300</v>
      </c>
      <c r="D186" s="89"/>
      <c r="E186" s="111">
        <f>F186-1</f>
        <v>2022</v>
      </c>
      <c r="F186" s="111">
        <f>G186-1</f>
        <v>2023</v>
      </c>
      <c r="G186" s="112">
        <f>'Date generale'!$D$8</f>
        <v>2024</v>
      </c>
      <c r="H186" s="113">
        <f t="shared" ref="H186:O186" si="56">G186+1</f>
        <v>2025</v>
      </c>
      <c r="I186" s="113">
        <f t="shared" si="56"/>
        <v>2026</v>
      </c>
      <c r="J186" s="113">
        <f t="shared" si="56"/>
        <v>2027</v>
      </c>
      <c r="K186" s="113">
        <f t="shared" si="56"/>
        <v>2028</v>
      </c>
      <c r="L186" s="113">
        <f t="shared" si="56"/>
        <v>2029</v>
      </c>
      <c r="M186" s="113">
        <f t="shared" si="56"/>
        <v>2030</v>
      </c>
      <c r="N186" s="113">
        <f t="shared" si="56"/>
        <v>2031</v>
      </c>
      <c r="O186" s="113">
        <f t="shared" si="56"/>
        <v>2032</v>
      </c>
      <c r="Q186" s="35"/>
      <c r="S186" s="250" t="s">
        <v>301</v>
      </c>
      <c r="T186" s="250"/>
      <c r="U186" s="250"/>
    </row>
    <row r="187" spans="2:21" x14ac:dyDescent="0.3">
      <c r="B187" s="23"/>
      <c r="C187" s="114"/>
      <c r="D187" s="114"/>
      <c r="E187" s="115">
        <f>F187-1</f>
        <v>-3</v>
      </c>
      <c r="F187" s="115">
        <f>G187-1</f>
        <v>-2</v>
      </c>
      <c r="G187" s="116">
        <v>-1</v>
      </c>
      <c r="H187" s="116">
        <v>0</v>
      </c>
      <c r="I187" s="116">
        <f t="shared" ref="I187:O187" si="57">H187+1</f>
        <v>1</v>
      </c>
      <c r="J187" s="116">
        <f t="shared" si="57"/>
        <v>2</v>
      </c>
      <c r="K187" s="116">
        <f t="shared" si="57"/>
        <v>3</v>
      </c>
      <c r="L187" s="116">
        <f t="shared" si="57"/>
        <v>4</v>
      </c>
      <c r="M187" s="116">
        <f t="shared" si="57"/>
        <v>5</v>
      </c>
      <c r="N187" s="116">
        <f t="shared" si="57"/>
        <v>6</v>
      </c>
      <c r="O187" s="116">
        <f t="shared" si="57"/>
        <v>7</v>
      </c>
      <c r="Q187" s="35"/>
      <c r="S187" s="115" t="s">
        <v>302</v>
      </c>
      <c r="T187" s="115" t="s">
        <v>303</v>
      </c>
      <c r="U187" s="138" t="s">
        <v>304</v>
      </c>
    </row>
    <row r="188" spans="2:21" s="24" customFormat="1" x14ac:dyDescent="0.3">
      <c r="B188" s="61"/>
      <c r="C188" s="42"/>
      <c r="D188" s="51"/>
      <c r="E188" s="62"/>
      <c r="F188" s="62"/>
      <c r="G188" s="62"/>
      <c r="H188" s="62"/>
      <c r="I188" s="62"/>
      <c r="J188" s="62"/>
      <c r="K188" s="62"/>
      <c r="L188" s="62"/>
      <c r="M188" s="62"/>
      <c r="N188" s="62"/>
      <c r="O188" s="62"/>
      <c r="Q188" s="35"/>
      <c r="S188" s="251"/>
      <c r="T188" s="251"/>
      <c r="U188" s="251"/>
    </row>
    <row r="189" spans="2:21" x14ac:dyDescent="0.3">
      <c r="B189" s="23"/>
      <c r="C189" s="66" t="s">
        <v>305</v>
      </c>
      <c r="D189" s="43" t="s">
        <v>141</v>
      </c>
      <c r="E189" s="88">
        <f>'Costuri operare'!E319</f>
        <v>0</v>
      </c>
      <c r="F189" s="88">
        <f>'Costuri operare'!F319</f>
        <v>0</v>
      </c>
      <c r="G189" s="88">
        <f>'Costuri operare'!G319</f>
        <v>0</v>
      </c>
      <c r="H189" s="87">
        <f>G189</f>
        <v>0</v>
      </c>
      <c r="I189" s="87">
        <f t="shared" ref="I189:O189" si="58">H189</f>
        <v>0</v>
      </c>
      <c r="J189" s="87">
        <f t="shared" si="58"/>
        <v>0</v>
      </c>
      <c r="K189" s="87">
        <f t="shared" si="58"/>
        <v>0</v>
      </c>
      <c r="L189" s="87">
        <f t="shared" si="58"/>
        <v>0</v>
      </c>
      <c r="M189" s="87">
        <f t="shared" si="58"/>
        <v>0</v>
      </c>
      <c r="N189" s="87">
        <f t="shared" si="58"/>
        <v>0</v>
      </c>
      <c r="O189" s="87">
        <f t="shared" si="58"/>
        <v>0</v>
      </c>
      <c r="Q189" s="35"/>
      <c r="S189" s="251"/>
      <c r="T189" s="251"/>
      <c r="U189" s="251"/>
    </row>
    <row r="190" spans="2:21" s="22" customFormat="1" x14ac:dyDescent="0.3">
      <c r="B190" s="35"/>
      <c r="C190" s="50"/>
      <c r="D190" s="43"/>
      <c r="E190" s="88"/>
      <c r="F190" s="88"/>
      <c r="G190" s="88"/>
      <c r="H190" s="88"/>
      <c r="I190" s="88"/>
      <c r="J190" s="88"/>
      <c r="K190" s="88"/>
      <c r="L190" s="88"/>
      <c r="M190" s="88"/>
      <c r="N190" s="88"/>
      <c r="O190" s="88"/>
      <c r="Q190" s="35"/>
      <c r="S190" s="251"/>
      <c r="T190" s="251"/>
      <c r="U190" s="251"/>
    </row>
    <row r="191" spans="2:21" s="22" customFormat="1" x14ac:dyDescent="0.3">
      <c r="B191" s="35"/>
      <c r="C191" s="66" t="s">
        <v>306</v>
      </c>
      <c r="D191" s="43"/>
      <c r="E191" s="88"/>
      <c r="F191" s="88"/>
      <c r="G191" s="88"/>
      <c r="H191" s="88"/>
      <c r="I191" s="88"/>
      <c r="J191" s="88"/>
      <c r="K191" s="88"/>
      <c r="L191" s="88"/>
      <c r="M191" s="88"/>
      <c r="N191" s="88"/>
      <c r="O191" s="88"/>
      <c r="Q191" s="35"/>
      <c r="S191" s="251"/>
      <c r="T191" s="251"/>
      <c r="U191" s="251"/>
    </row>
    <row r="192" spans="2:21" s="22" customFormat="1" x14ac:dyDescent="0.3">
      <c r="B192" s="35"/>
      <c r="C192" s="50" t="s">
        <v>264</v>
      </c>
      <c r="D192" s="43" t="s">
        <v>141</v>
      </c>
      <c r="E192" s="88"/>
      <c r="F192" s="88"/>
      <c r="G192" s="88"/>
      <c r="H192" s="87">
        <v>0</v>
      </c>
      <c r="I192" s="87">
        <v>0</v>
      </c>
      <c r="J192" s="87">
        <v>0</v>
      </c>
      <c r="K192" s="87">
        <v>0</v>
      </c>
      <c r="L192" s="87">
        <v>0</v>
      </c>
      <c r="M192" s="87">
        <v>0</v>
      </c>
      <c r="N192" s="87">
        <v>0</v>
      </c>
      <c r="O192" s="87">
        <v>0</v>
      </c>
      <c r="Q192" s="35"/>
      <c r="S192" s="251"/>
      <c r="T192" s="251"/>
      <c r="U192" s="251"/>
    </row>
    <row r="193" spans="2:21" s="22" customFormat="1" x14ac:dyDescent="0.3">
      <c r="B193" s="35"/>
      <c r="C193" s="50" t="s">
        <v>266</v>
      </c>
      <c r="D193" s="43" t="s">
        <v>141</v>
      </c>
      <c r="E193" s="88"/>
      <c r="F193" s="88"/>
      <c r="G193" s="88"/>
      <c r="H193" s="87">
        <v>0</v>
      </c>
      <c r="I193" s="87">
        <v>0</v>
      </c>
      <c r="J193" s="87">
        <v>0</v>
      </c>
      <c r="K193" s="87">
        <v>0</v>
      </c>
      <c r="L193" s="87">
        <v>0</v>
      </c>
      <c r="M193" s="87">
        <v>0</v>
      </c>
      <c r="N193" s="87">
        <v>0</v>
      </c>
      <c r="O193" s="87">
        <v>0</v>
      </c>
      <c r="Q193" s="35"/>
      <c r="S193" s="251"/>
      <c r="T193" s="251"/>
      <c r="U193" s="251"/>
    </row>
    <row r="194" spans="2:21" s="22" customFormat="1" x14ac:dyDescent="0.3">
      <c r="B194" s="35"/>
      <c r="C194" s="50" t="s">
        <v>267</v>
      </c>
      <c r="D194" s="43" t="s">
        <v>141</v>
      </c>
      <c r="E194" s="88"/>
      <c r="F194" s="88"/>
      <c r="G194" s="88"/>
      <c r="H194" s="87">
        <v>0</v>
      </c>
      <c r="I194" s="87">
        <v>0</v>
      </c>
      <c r="J194" s="87">
        <v>0</v>
      </c>
      <c r="K194" s="87">
        <v>0</v>
      </c>
      <c r="L194" s="87">
        <v>0</v>
      </c>
      <c r="M194" s="87">
        <v>0</v>
      </c>
      <c r="N194" s="87">
        <v>0</v>
      </c>
      <c r="O194" s="87">
        <v>0</v>
      </c>
      <c r="Q194" s="35"/>
      <c r="S194" s="251"/>
      <c r="T194" s="251"/>
      <c r="U194" s="251"/>
    </row>
    <row r="195" spans="2:21" s="22" customFormat="1" x14ac:dyDescent="0.3">
      <c r="B195" s="35"/>
      <c r="C195" s="122"/>
      <c r="D195" s="123"/>
      <c r="E195" s="124"/>
      <c r="F195" s="124"/>
      <c r="G195" s="124"/>
      <c r="H195" s="124"/>
      <c r="I195" s="124"/>
      <c r="J195" s="124"/>
      <c r="K195" s="124"/>
      <c r="L195" s="124"/>
      <c r="M195" s="124"/>
      <c r="N195" s="124"/>
      <c r="O195" s="124"/>
      <c r="Q195" s="35"/>
      <c r="S195" s="251"/>
      <c r="T195" s="251"/>
      <c r="U195" s="251"/>
    </row>
    <row r="196" spans="2:21" s="22" customFormat="1" x14ac:dyDescent="0.3">
      <c r="B196" s="35"/>
      <c r="C196" s="66" t="s">
        <v>307</v>
      </c>
      <c r="D196" s="51" t="s">
        <v>141</v>
      </c>
      <c r="E196" s="62">
        <f>E189</f>
        <v>0</v>
      </c>
      <c r="F196" s="62">
        <f>F189</f>
        <v>0</v>
      </c>
      <c r="G196" s="62">
        <f>G189</f>
        <v>0</v>
      </c>
      <c r="H196" s="62">
        <f t="shared" ref="H196:O196" si="59">H189+H192+H193+H194</f>
        <v>0</v>
      </c>
      <c r="I196" s="62">
        <f t="shared" si="59"/>
        <v>0</v>
      </c>
      <c r="J196" s="62">
        <f t="shared" si="59"/>
        <v>0</v>
      </c>
      <c r="K196" s="62">
        <f t="shared" si="59"/>
        <v>0</v>
      </c>
      <c r="L196" s="62">
        <f t="shared" si="59"/>
        <v>0</v>
      </c>
      <c r="M196" s="62">
        <f t="shared" si="59"/>
        <v>0</v>
      </c>
      <c r="N196" s="62">
        <f t="shared" si="59"/>
        <v>0</v>
      </c>
      <c r="O196" s="62">
        <f t="shared" si="59"/>
        <v>0</v>
      </c>
      <c r="Q196" s="35"/>
      <c r="S196" s="251"/>
      <c r="T196" s="251"/>
      <c r="U196" s="251"/>
    </row>
    <row r="197" spans="2:21" s="22" customFormat="1" x14ac:dyDescent="0.3">
      <c r="B197" s="35"/>
      <c r="C197" s="50" t="s">
        <v>308</v>
      </c>
      <c r="D197" s="43" t="s">
        <v>47</v>
      </c>
      <c r="E197" s="125" t="s">
        <v>92</v>
      </c>
      <c r="F197" s="126" t="e">
        <f t="shared" ref="F197:O197" si="60">F196/E196-1</f>
        <v>#DIV/0!</v>
      </c>
      <c r="G197" s="126" t="e">
        <f t="shared" si="60"/>
        <v>#DIV/0!</v>
      </c>
      <c r="H197" s="126" t="e">
        <f t="shared" si="60"/>
        <v>#DIV/0!</v>
      </c>
      <c r="I197" s="126" t="e">
        <f t="shared" si="60"/>
        <v>#DIV/0!</v>
      </c>
      <c r="J197" s="126" t="e">
        <f t="shared" si="60"/>
        <v>#DIV/0!</v>
      </c>
      <c r="K197" s="126" t="e">
        <f t="shared" si="60"/>
        <v>#DIV/0!</v>
      </c>
      <c r="L197" s="126" t="e">
        <f t="shared" si="60"/>
        <v>#DIV/0!</v>
      </c>
      <c r="M197" s="126" t="e">
        <f t="shared" si="60"/>
        <v>#DIV/0!</v>
      </c>
      <c r="N197" s="126" t="e">
        <f t="shared" si="60"/>
        <v>#DIV/0!</v>
      </c>
      <c r="O197" s="126" t="e">
        <f t="shared" si="60"/>
        <v>#DIV/0!</v>
      </c>
      <c r="Q197" s="35"/>
      <c r="S197" s="251"/>
      <c r="T197" s="251"/>
      <c r="U197" s="251"/>
    </row>
    <row r="198" spans="2:21" s="22" customFormat="1" x14ac:dyDescent="0.3">
      <c r="B198" s="35"/>
      <c r="C198" s="122"/>
      <c r="D198" s="123"/>
      <c r="E198" s="127"/>
      <c r="F198" s="128"/>
      <c r="G198" s="128"/>
      <c r="H198" s="128"/>
      <c r="I198" s="128"/>
      <c r="J198" s="128"/>
      <c r="K198" s="128"/>
      <c r="L198" s="128"/>
      <c r="M198" s="128"/>
      <c r="N198" s="128"/>
      <c r="O198" s="128"/>
      <c r="Q198" s="35"/>
      <c r="S198" s="251"/>
      <c r="T198" s="251"/>
      <c r="U198" s="251"/>
    </row>
    <row r="199" spans="2:21" s="22" customFormat="1" x14ac:dyDescent="0.3">
      <c r="B199" s="35"/>
      <c r="C199" s="89" t="s">
        <v>309</v>
      </c>
      <c r="D199" s="89"/>
      <c r="E199" s="111">
        <f>F199-1</f>
        <v>2022</v>
      </c>
      <c r="F199" s="111">
        <f>G199-1</f>
        <v>2023</v>
      </c>
      <c r="G199" s="112">
        <f>'Date generale'!$D$8</f>
        <v>2024</v>
      </c>
      <c r="H199" s="113">
        <f t="shared" ref="H199:O199" si="61">G199+1</f>
        <v>2025</v>
      </c>
      <c r="I199" s="113">
        <f t="shared" si="61"/>
        <v>2026</v>
      </c>
      <c r="J199" s="113">
        <f t="shared" si="61"/>
        <v>2027</v>
      </c>
      <c r="K199" s="113">
        <f t="shared" si="61"/>
        <v>2028</v>
      </c>
      <c r="L199" s="113">
        <f t="shared" si="61"/>
        <v>2029</v>
      </c>
      <c r="M199" s="113">
        <f t="shared" si="61"/>
        <v>2030</v>
      </c>
      <c r="N199" s="113">
        <f t="shared" si="61"/>
        <v>2031</v>
      </c>
      <c r="O199" s="113">
        <f t="shared" si="61"/>
        <v>2032</v>
      </c>
      <c r="Q199" s="35"/>
      <c r="S199" s="251"/>
      <c r="T199" s="251"/>
      <c r="U199" s="251"/>
    </row>
    <row r="200" spans="2:21" s="22" customFormat="1" x14ac:dyDescent="0.3">
      <c r="B200" s="35"/>
      <c r="C200" s="114"/>
      <c r="D200" s="114"/>
      <c r="E200" s="115">
        <f>F200-1</f>
        <v>-3</v>
      </c>
      <c r="F200" s="115">
        <f>G200-1</f>
        <v>-2</v>
      </c>
      <c r="G200" s="116">
        <v>-1</v>
      </c>
      <c r="H200" s="116">
        <v>0</v>
      </c>
      <c r="I200" s="116">
        <f t="shared" ref="I200:O200" si="62">H200+1</f>
        <v>1</v>
      </c>
      <c r="J200" s="116">
        <f t="shared" si="62"/>
        <v>2</v>
      </c>
      <c r="K200" s="116">
        <f t="shared" si="62"/>
        <v>3</v>
      </c>
      <c r="L200" s="116">
        <f t="shared" si="62"/>
        <v>4</v>
      </c>
      <c r="M200" s="116">
        <f t="shared" si="62"/>
        <v>5</v>
      </c>
      <c r="N200" s="116">
        <f t="shared" si="62"/>
        <v>6</v>
      </c>
      <c r="O200" s="116">
        <f t="shared" si="62"/>
        <v>7</v>
      </c>
      <c r="Q200" s="35"/>
      <c r="S200" s="251"/>
      <c r="T200" s="251"/>
      <c r="U200" s="251"/>
    </row>
    <row r="201" spans="2:21" s="22" customFormat="1" x14ac:dyDescent="0.3">
      <c r="B201" s="35"/>
      <c r="C201" s="122"/>
      <c r="D201" s="123"/>
      <c r="E201" s="127"/>
      <c r="F201" s="128"/>
      <c r="G201" s="128"/>
      <c r="H201" s="128"/>
      <c r="I201" s="128"/>
      <c r="J201" s="128"/>
      <c r="K201" s="128"/>
      <c r="L201" s="128"/>
      <c r="M201" s="128"/>
      <c r="N201" s="128"/>
      <c r="O201" s="128"/>
      <c r="Q201" s="35"/>
      <c r="S201" s="251"/>
      <c r="T201" s="251"/>
      <c r="U201" s="251"/>
    </row>
    <row r="202" spans="2:21" x14ac:dyDescent="0.3">
      <c r="B202" s="23"/>
      <c r="C202" s="66" t="s">
        <v>310</v>
      </c>
      <c r="D202" s="43" t="s">
        <v>141</v>
      </c>
      <c r="E202" s="88">
        <f>'Costuri operare'!E320</f>
        <v>0</v>
      </c>
      <c r="F202" s="88">
        <f>'Costuri operare'!F320</f>
        <v>0</v>
      </c>
      <c r="G202" s="88">
        <f>'Costuri operare'!G320</f>
        <v>0</v>
      </c>
      <c r="H202" s="88">
        <f t="shared" ref="H202:O202" si="63">H205*H213</f>
        <v>0</v>
      </c>
      <c r="I202" s="88">
        <f t="shared" si="63"/>
        <v>0</v>
      </c>
      <c r="J202" s="88">
        <f t="shared" si="63"/>
        <v>0</v>
      </c>
      <c r="K202" s="88">
        <f t="shared" si="63"/>
        <v>0</v>
      </c>
      <c r="L202" s="88">
        <f t="shared" si="63"/>
        <v>0</v>
      </c>
      <c r="M202" s="88">
        <f t="shared" si="63"/>
        <v>0</v>
      </c>
      <c r="N202" s="88">
        <f t="shared" si="63"/>
        <v>0</v>
      </c>
      <c r="O202" s="88">
        <f t="shared" si="63"/>
        <v>0</v>
      </c>
      <c r="Q202" s="35"/>
      <c r="S202" s="251"/>
      <c r="T202" s="251"/>
      <c r="U202" s="251"/>
    </row>
    <row r="203" spans="2:21" x14ac:dyDescent="0.3">
      <c r="B203" s="23"/>
      <c r="C203" s="50" t="s">
        <v>308</v>
      </c>
      <c r="D203" s="129" t="s">
        <v>47</v>
      </c>
      <c r="E203" s="125" t="s">
        <v>92</v>
      </c>
      <c r="F203" s="126" t="e">
        <f t="shared" ref="F203:O203" si="64">F202/E202-1</f>
        <v>#DIV/0!</v>
      </c>
      <c r="G203" s="126" t="e">
        <f t="shared" si="64"/>
        <v>#DIV/0!</v>
      </c>
      <c r="H203" s="126" t="e">
        <f t="shared" si="64"/>
        <v>#DIV/0!</v>
      </c>
      <c r="I203" s="126" t="e">
        <f t="shared" si="64"/>
        <v>#DIV/0!</v>
      </c>
      <c r="J203" s="126" t="e">
        <f t="shared" si="64"/>
        <v>#DIV/0!</v>
      </c>
      <c r="K203" s="126" t="e">
        <f t="shared" si="64"/>
        <v>#DIV/0!</v>
      </c>
      <c r="L203" s="126" t="e">
        <f t="shared" si="64"/>
        <v>#DIV/0!</v>
      </c>
      <c r="M203" s="126" t="e">
        <f t="shared" si="64"/>
        <v>#DIV/0!</v>
      </c>
      <c r="N203" s="126" t="e">
        <f t="shared" si="64"/>
        <v>#DIV/0!</v>
      </c>
      <c r="O203" s="126" t="e">
        <f t="shared" si="64"/>
        <v>#DIV/0!</v>
      </c>
      <c r="Q203" s="35"/>
      <c r="S203" s="251"/>
      <c r="T203" s="251"/>
      <c r="U203" s="251"/>
    </row>
    <row r="204" spans="2:21" x14ac:dyDescent="0.3">
      <c r="B204" s="23"/>
      <c r="C204" s="130"/>
      <c r="D204" s="129"/>
      <c r="E204" s="131"/>
      <c r="F204" s="131"/>
      <c r="G204" s="131"/>
      <c r="H204" s="131"/>
      <c r="I204" s="131"/>
      <c r="J204" s="131"/>
      <c r="K204" s="131"/>
      <c r="L204" s="131"/>
      <c r="M204" s="131"/>
      <c r="N204" s="131"/>
      <c r="O204" s="131"/>
      <c r="Q204" s="35"/>
      <c r="S204" s="251"/>
      <c r="T204" s="251"/>
      <c r="U204" s="251"/>
    </row>
    <row r="205" spans="2:21" s="22" customFormat="1" ht="43.2" x14ac:dyDescent="0.3">
      <c r="B205" s="35"/>
      <c r="C205" s="66" t="s">
        <v>311</v>
      </c>
      <c r="D205" s="43" t="s">
        <v>141</v>
      </c>
      <c r="E205" s="132">
        <v>0</v>
      </c>
      <c r="F205" s="132">
        <v>0</v>
      </c>
      <c r="G205" s="132">
        <v>0</v>
      </c>
      <c r="H205" s="133">
        <f t="shared" ref="H205:O205" si="65">SUM(H206:H211)</f>
        <v>0</v>
      </c>
      <c r="I205" s="133">
        <f t="shared" si="65"/>
        <v>0</v>
      </c>
      <c r="J205" s="133">
        <f t="shared" si="65"/>
        <v>0</v>
      </c>
      <c r="K205" s="133">
        <f t="shared" si="65"/>
        <v>0</v>
      </c>
      <c r="L205" s="133">
        <f t="shared" si="65"/>
        <v>0</v>
      </c>
      <c r="M205" s="133">
        <f t="shared" si="65"/>
        <v>0</v>
      </c>
      <c r="N205" s="133">
        <f t="shared" si="65"/>
        <v>0</v>
      </c>
      <c r="O205" s="133">
        <f t="shared" si="65"/>
        <v>0</v>
      </c>
      <c r="Q205" s="35"/>
      <c r="S205" s="251"/>
      <c r="T205" s="251"/>
      <c r="U205" s="251"/>
    </row>
    <row r="206" spans="2:21" s="22" customFormat="1" x14ac:dyDescent="0.3">
      <c r="B206" s="35"/>
      <c r="C206" s="48" t="s">
        <v>312</v>
      </c>
      <c r="D206" s="43" t="s">
        <v>141</v>
      </c>
      <c r="E206" s="132">
        <v>0</v>
      </c>
      <c r="F206" s="132">
        <v>0</v>
      </c>
      <c r="G206" s="132">
        <v>0</v>
      </c>
      <c r="H206" s="132">
        <v>0</v>
      </c>
      <c r="I206" s="132">
        <v>0</v>
      </c>
      <c r="J206" s="132">
        <v>0</v>
      </c>
      <c r="K206" s="132">
        <v>0</v>
      </c>
      <c r="L206" s="132">
        <v>0</v>
      </c>
      <c r="M206" s="132">
        <v>0</v>
      </c>
      <c r="N206" s="132">
        <v>0</v>
      </c>
      <c r="O206" s="132">
        <v>0</v>
      </c>
      <c r="Q206" s="35"/>
      <c r="S206" s="251"/>
      <c r="T206" s="251"/>
      <c r="U206" s="251"/>
    </row>
    <row r="207" spans="2:21" s="22" customFormat="1" x14ac:dyDescent="0.3">
      <c r="B207" s="35"/>
      <c r="C207" s="48" t="s">
        <v>313</v>
      </c>
      <c r="D207" s="43" t="s">
        <v>141</v>
      </c>
      <c r="E207" s="132">
        <v>0</v>
      </c>
      <c r="F207" s="132">
        <v>0</v>
      </c>
      <c r="G207" s="132">
        <v>0</v>
      </c>
      <c r="H207" s="132">
        <v>0</v>
      </c>
      <c r="I207" s="132">
        <v>0</v>
      </c>
      <c r="J207" s="132">
        <v>0</v>
      </c>
      <c r="K207" s="132">
        <v>0</v>
      </c>
      <c r="L207" s="132">
        <v>0</v>
      </c>
      <c r="M207" s="132">
        <v>0</v>
      </c>
      <c r="N207" s="132">
        <v>0</v>
      </c>
      <c r="O207" s="132">
        <v>0</v>
      </c>
      <c r="Q207" s="35"/>
      <c r="S207" s="251"/>
      <c r="T207" s="251"/>
      <c r="U207" s="251"/>
    </row>
    <row r="208" spans="2:21" s="22" customFormat="1" x14ac:dyDescent="0.3">
      <c r="B208" s="35"/>
      <c r="C208" s="48" t="s">
        <v>314</v>
      </c>
      <c r="D208" s="43" t="s">
        <v>141</v>
      </c>
      <c r="E208" s="132">
        <v>0</v>
      </c>
      <c r="F208" s="132">
        <v>0</v>
      </c>
      <c r="G208" s="132">
        <v>0</v>
      </c>
      <c r="H208" s="132">
        <v>0</v>
      </c>
      <c r="I208" s="132">
        <v>0</v>
      </c>
      <c r="J208" s="132">
        <v>0</v>
      </c>
      <c r="K208" s="132">
        <v>0</v>
      </c>
      <c r="L208" s="132">
        <v>0</v>
      </c>
      <c r="M208" s="132">
        <v>0</v>
      </c>
      <c r="N208" s="132">
        <v>0</v>
      </c>
      <c r="O208" s="132">
        <v>0</v>
      </c>
      <c r="Q208" s="35"/>
      <c r="S208" s="251"/>
      <c r="T208" s="251"/>
      <c r="U208" s="251"/>
    </row>
    <row r="209" spans="2:21" s="22" customFormat="1" ht="28.8" x14ac:dyDescent="0.3">
      <c r="B209" s="35"/>
      <c r="C209" s="48" t="s">
        <v>321</v>
      </c>
      <c r="D209" s="43" t="s">
        <v>141</v>
      </c>
      <c r="E209" s="132">
        <v>0</v>
      </c>
      <c r="F209" s="132">
        <v>0</v>
      </c>
      <c r="G209" s="132">
        <v>0</v>
      </c>
      <c r="H209" s="132">
        <v>0</v>
      </c>
      <c r="I209" s="132">
        <v>0</v>
      </c>
      <c r="J209" s="132">
        <v>0</v>
      </c>
      <c r="K209" s="132">
        <v>0</v>
      </c>
      <c r="L209" s="132">
        <v>0</v>
      </c>
      <c r="M209" s="132">
        <v>0</v>
      </c>
      <c r="N209" s="132">
        <v>0</v>
      </c>
      <c r="O209" s="132">
        <v>0</v>
      </c>
      <c r="Q209" s="35"/>
      <c r="S209" s="251"/>
      <c r="T209" s="251"/>
      <c r="U209" s="251"/>
    </row>
    <row r="210" spans="2:21" s="22" customFormat="1" ht="28.8" x14ac:dyDescent="0.3">
      <c r="B210" s="35"/>
      <c r="C210" s="48" t="s">
        <v>316</v>
      </c>
      <c r="D210" s="43" t="s">
        <v>141</v>
      </c>
      <c r="E210" s="88">
        <f>E205-SUM(E206:E209)</f>
        <v>0</v>
      </c>
      <c r="F210" s="88">
        <f>F205-SUM(F206:F209)</f>
        <v>0</v>
      </c>
      <c r="G210" s="88">
        <f>G205-SUM(G206:G209)</f>
        <v>0</v>
      </c>
      <c r="H210" s="87">
        <v>0</v>
      </c>
      <c r="I210" s="87">
        <v>0</v>
      </c>
      <c r="J210" s="87">
        <v>0</v>
      </c>
      <c r="K210" s="87">
        <v>0</v>
      </c>
      <c r="L210" s="87">
        <v>0</v>
      </c>
      <c r="M210" s="87">
        <v>0</v>
      </c>
      <c r="N210" s="87">
        <v>0</v>
      </c>
      <c r="O210" s="87">
        <v>0</v>
      </c>
      <c r="Q210" s="35"/>
      <c r="S210" s="251"/>
      <c r="T210" s="251"/>
      <c r="U210" s="251"/>
    </row>
    <row r="211" spans="2:21" s="22" customFormat="1" ht="43.2" x14ac:dyDescent="0.3">
      <c r="B211" s="35"/>
      <c r="C211" s="48" t="s">
        <v>317</v>
      </c>
      <c r="D211" s="43" t="s">
        <v>141</v>
      </c>
      <c r="E211" s="125" t="s">
        <v>92</v>
      </c>
      <c r="F211" s="125" t="s">
        <v>92</v>
      </c>
      <c r="G211" s="125" t="s">
        <v>92</v>
      </c>
      <c r="H211" s="87">
        <v>0</v>
      </c>
      <c r="I211" s="87">
        <v>0</v>
      </c>
      <c r="J211" s="87">
        <v>0</v>
      </c>
      <c r="K211" s="87">
        <v>0</v>
      </c>
      <c r="L211" s="87">
        <v>0</v>
      </c>
      <c r="M211" s="87">
        <v>0</v>
      </c>
      <c r="N211" s="87">
        <v>0</v>
      </c>
      <c r="O211" s="87">
        <v>0</v>
      </c>
      <c r="Q211" s="35"/>
      <c r="S211" s="251"/>
      <c r="T211" s="251"/>
      <c r="U211" s="251"/>
    </row>
    <row r="212" spans="2:21" s="22" customFormat="1" x14ac:dyDescent="0.3">
      <c r="B212" s="35"/>
      <c r="C212" s="122"/>
      <c r="D212" s="123"/>
      <c r="E212" s="127"/>
      <c r="F212" s="128"/>
      <c r="G212" s="128"/>
      <c r="H212" s="128"/>
      <c r="I212" s="128"/>
      <c r="J212" s="128"/>
      <c r="K212" s="128"/>
      <c r="L212" s="128"/>
      <c r="M212" s="128"/>
      <c r="N212" s="128"/>
      <c r="O212" s="128"/>
      <c r="Q212" s="35"/>
      <c r="S212" s="251"/>
      <c r="T212" s="251"/>
      <c r="U212" s="251"/>
    </row>
    <row r="213" spans="2:21" s="22" customFormat="1" ht="43.2" x14ac:dyDescent="0.3">
      <c r="B213" s="35"/>
      <c r="C213" s="66" t="s">
        <v>318</v>
      </c>
      <c r="D213" s="51" t="s">
        <v>47</v>
      </c>
      <c r="E213" s="134" t="e">
        <f>E202/E205</f>
        <v>#DIV/0!</v>
      </c>
      <c r="F213" s="134" t="e">
        <f>F202/F205</f>
        <v>#DIV/0!</v>
      </c>
      <c r="G213" s="134" t="e">
        <f>G202/G205</f>
        <v>#DIV/0!</v>
      </c>
      <c r="H213" s="135">
        <v>0</v>
      </c>
      <c r="I213" s="135">
        <v>0</v>
      </c>
      <c r="J213" s="135">
        <v>0</v>
      </c>
      <c r="K213" s="135">
        <v>0</v>
      </c>
      <c r="L213" s="135">
        <v>0</v>
      </c>
      <c r="M213" s="135">
        <v>0</v>
      </c>
      <c r="N213" s="135">
        <v>0</v>
      </c>
      <c r="O213" s="135">
        <v>0</v>
      </c>
      <c r="Q213" s="35"/>
      <c r="S213" s="251"/>
      <c r="T213" s="251"/>
      <c r="U213" s="251"/>
    </row>
    <row r="214" spans="2:21" s="22" customFormat="1" ht="75.599999999999994" customHeight="1" x14ac:dyDescent="0.3">
      <c r="B214" s="35"/>
      <c r="C214" s="122" t="s">
        <v>319</v>
      </c>
      <c r="D214" s="123"/>
      <c r="E214" s="127"/>
      <c r="F214" s="128"/>
      <c r="G214" s="128"/>
      <c r="H214" s="136" t="str">
        <f t="shared" ref="H214:O214" si="66">IF(H202&gt;G202,"OK","Redeventa propusa trebuie sa fie mai mare decat cea din anul anterior")</f>
        <v>Redeventa propusa trebuie sa fie mai mare decat cea din anul anterior</v>
      </c>
      <c r="I214" s="136" t="str">
        <f t="shared" si="66"/>
        <v>Redeventa propusa trebuie sa fie mai mare decat cea din anul anterior</v>
      </c>
      <c r="J214" s="136" t="str">
        <f t="shared" si="66"/>
        <v>Redeventa propusa trebuie sa fie mai mare decat cea din anul anterior</v>
      </c>
      <c r="K214" s="136" t="str">
        <f t="shared" si="66"/>
        <v>Redeventa propusa trebuie sa fie mai mare decat cea din anul anterior</v>
      </c>
      <c r="L214" s="136" t="str">
        <f t="shared" si="66"/>
        <v>Redeventa propusa trebuie sa fie mai mare decat cea din anul anterior</v>
      </c>
      <c r="M214" s="136" t="str">
        <f t="shared" si="66"/>
        <v>Redeventa propusa trebuie sa fie mai mare decat cea din anul anterior</v>
      </c>
      <c r="N214" s="136" t="str">
        <f t="shared" si="66"/>
        <v>Redeventa propusa trebuie sa fie mai mare decat cea din anul anterior</v>
      </c>
      <c r="O214" s="136" t="str">
        <f t="shared" si="66"/>
        <v>Redeventa propusa trebuie sa fie mai mare decat cea din anul anterior</v>
      </c>
      <c r="Q214" s="35"/>
      <c r="S214" s="251"/>
      <c r="T214" s="251"/>
      <c r="U214" s="251"/>
    </row>
    <row r="215" spans="2:21" ht="6.6" customHeight="1" x14ac:dyDescent="0.3">
      <c r="B215" s="35"/>
      <c r="C215" s="35"/>
      <c r="D215" s="35"/>
      <c r="E215" s="35"/>
      <c r="F215" s="35"/>
      <c r="G215" s="35"/>
      <c r="H215" s="35"/>
      <c r="I215" s="35"/>
      <c r="J215" s="35"/>
      <c r="K215" s="35"/>
      <c r="L215" s="35"/>
      <c r="M215" s="35"/>
      <c r="N215" s="35"/>
      <c r="O215" s="35"/>
      <c r="P215" s="35"/>
      <c r="Q215" s="35"/>
    </row>
    <row r="217" spans="2:21" ht="8.1" customHeight="1" x14ac:dyDescent="0.3">
      <c r="B217" s="23"/>
      <c r="C217" s="23"/>
      <c r="D217" s="23"/>
      <c r="E217" s="23"/>
      <c r="F217" s="23"/>
      <c r="G217" s="23"/>
      <c r="H217" s="23"/>
      <c r="I217" s="23"/>
      <c r="J217" s="23"/>
      <c r="K217" s="23"/>
      <c r="L217" s="23"/>
      <c r="M217" s="23"/>
      <c r="N217" s="23"/>
      <c r="O217" s="23"/>
      <c r="P217" s="23"/>
      <c r="Q217" s="23"/>
    </row>
    <row r="218" spans="2:21" x14ac:dyDescent="0.3">
      <c r="B218" s="23"/>
      <c r="C218" s="24" t="str">
        <f>'Costuri operare'!C365</f>
        <v>ACTIVITATEA DE CANALIZARE - CANALIZAREA APELOR UZATE MENAJERE</v>
      </c>
      <c r="Q218" s="23"/>
    </row>
    <row r="219" spans="2:21" ht="8.1" customHeight="1" x14ac:dyDescent="0.3">
      <c r="B219" s="23"/>
      <c r="C219" s="23"/>
      <c r="D219" s="23"/>
      <c r="E219" s="23"/>
      <c r="F219" s="23"/>
      <c r="G219" s="23"/>
      <c r="H219" s="23"/>
      <c r="I219" s="23"/>
      <c r="J219" s="23"/>
      <c r="K219" s="23"/>
      <c r="L219" s="23"/>
      <c r="M219" s="23"/>
      <c r="N219" s="23"/>
      <c r="O219" s="23"/>
      <c r="P219" s="23"/>
      <c r="Q219" s="23"/>
    </row>
    <row r="220" spans="2:21" x14ac:dyDescent="0.3">
      <c r="B220" s="23"/>
      <c r="Q220" s="23"/>
    </row>
    <row r="221" spans="2:21" s="22" customFormat="1" ht="29.1" customHeight="1" x14ac:dyDescent="0.3">
      <c r="B221" s="35"/>
      <c r="C221" s="89" t="s">
        <v>300</v>
      </c>
      <c r="D221" s="89"/>
      <c r="E221" s="111">
        <f>F221-1</f>
        <v>2022</v>
      </c>
      <c r="F221" s="111">
        <f>G221-1</f>
        <v>2023</v>
      </c>
      <c r="G221" s="112">
        <f>'Date generale'!$D$8</f>
        <v>2024</v>
      </c>
      <c r="H221" s="113">
        <f t="shared" ref="H221:O221" si="67">G221+1</f>
        <v>2025</v>
      </c>
      <c r="I221" s="113">
        <f t="shared" si="67"/>
        <v>2026</v>
      </c>
      <c r="J221" s="113">
        <f t="shared" si="67"/>
        <v>2027</v>
      </c>
      <c r="K221" s="113">
        <f t="shared" si="67"/>
        <v>2028</v>
      </c>
      <c r="L221" s="113">
        <f t="shared" si="67"/>
        <v>2029</v>
      </c>
      <c r="M221" s="113">
        <f t="shared" si="67"/>
        <v>2030</v>
      </c>
      <c r="N221" s="113">
        <f t="shared" si="67"/>
        <v>2031</v>
      </c>
      <c r="O221" s="113">
        <f t="shared" si="67"/>
        <v>2032</v>
      </c>
      <c r="Q221" s="35"/>
      <c r="S221" s="250" t="s">
        <v>301</v>
      </c>
      <c r="T221" s="250"/>
      <c r="U221" s="250"/>
    </row>
    <row r="222" spans="2:21" x14ac:dyDescent="0.3">
      <c r="B222" s="23"/>
      <c r="C222" s="114"/>
      <c r="D222" s="114"/>
      <c r="E222" s="115">
        <f>F222-1</f>
        <v>-3</v>
      </c>
      <c r="F222" s="115">
        <f>G222-1</f>
        <v>-2</v>
      </c>
      <c r="G222" s="116">
        <v>-1</v>
      </c>
      <c r="H222" s="116">
        <v>0</v>
      </c>
      <c r="I222" s="116">
        <f t="shared" ref="I222:O222" si="68">H222+1</f>
        <v>1</v>
      </c>
      <c r="J222" s="116">
        <f t="shared" si="68"/>
        <v>2</v>
      </c>
      <c r="K222" s="116">
        <f t="shared" si="68"/>
        <v>3</v>
      </c>
      <c r="L222" s="116">
        <f t="shared" si="68"/>
        <v>4</v>
      </c>
      <c r="M222" s="116">
        <f t="shared" si="68"/>
        <v>5</v>
      </c>
      <c r="N222" s="116">
        <f t="shared" si="68"/>
        <v>6</v>
      </c>
      <c r="O222" s="116">
        <f t="shared" si="68"/>
        <v>7</v>
      </c>
      <c r="Q222" s="35"/>
      <c r="S222" s="115" t="s">
        <v>302</v>
      </c>
      <c r="T222" s="115" t="s">
        <v>303</v>
      </c>
      <c r="U222" s="138" t="s">
        <v>304</v>
      </c>
    </row>
    <row r="223" spans="2:21" s="24" customFormat="1" x14ac:dyDescent="0.3">
      <c r="B223" s="61"/>
      <c r="C223" s="42"/>
      <c r="D223" s="51"/>
      <c r="E223" s="62"/>
      <c r="F223" s="62"/>
      <c r="G223" s="62"/>
      <c r="H223" s="62"/>
      <c r="I223" s="62"/>
      <c r="J223" s="62"/>
      <c r="K223" s="62"/>
      <c r="L223" s="62"/>
      <c r="M223" s="62"/>
      <c r="N223" s="62"/>
      <c r="O223" s="62"/>
      <c r="Q223" s="35"/>
      <c r="S223" s="251"/>
      <c r="T223" s="251"/>
      <c r="U223" s="251"/>
    </row>
    <row r="224" spans="2:21" x14ac:dyDescent="0.3">
      <c r="B224" s="23"/>
      <c r="C224" s="66" t="s">
        <v>305</v>
      </c>
      <c r="D224" s="43" t="s">
        <v>141</v>
      </c>
      <c r="E224" s="88">
        <f>'Costuri operare'!E373</f>
        <v>0</v>
      </c>
      <c r="F224" s="88">
        <f>'Costuri operare'!F373</f>
        <v>0</v>
      </c>
      <c r="G224" s="88">
        <f>'Costuri operare'!G373</f>
        <v>0</v>
      </c>
      <c r="H224" s="87">
        <f>G224</f>
        <v>0</v>
      </c>
      <c r="I224" s="87">
        <f t="shared" ref="I224:O224" si="69">H224</f>
        <v>0</v>
      </c>
      <c r="J224" s="87">
        <f t="shared" si="69"/>
        <v>0</v>
      </c>
      <c r="K224" s="87">
        <f t="shared" si="69"/>
        <v>0</v>
      </c>
      <c r="L224" s="87">
        <f t="shared" si="69"/>
        <v>0</v>
      </c>
      <c r="M224" s="87">
        <f t="shared" si="69"/>
        <v>0</v>
      </c>
      <c r="N224" s="87">
        <f t="shared" si="69"/>
        <v>0</v>
      </c>
      <c r="O224" s="87">
        <f t="shared" si="69"/>
        <v>0</v>
      </c>
      <c r="Q224" s="35"/>
      <c r="S224" s="251"/>
      <c r="T224" s="251"/>
      <c r="U224" s="251"/>
    </row>
    <row r="225" spans="2:21" s="22" customFormat="1" x14ac:dyDescent="0.3">
      <c r="B225" s="35"/>
      <c r="C225" s="50"/>
      <c r="D225" s="43"/>
      <c r="E225" s="88"/>
      <c r="F225" s="88"/>
      <c r="G225" s="88"/>
      <c r="H225" s="88"/>
      <c r="I225" s="88"/>
      <c r="J225" s="88"/>
      <c r="K225" s="88"/>
      <c r="L225" s="88"/>
      <c r="M225" s="88"/>
      <c r="N225" s="88"/>
      <c r="O225" s="88"/>
      <c r="Q225" s="35"/>
      <c r="S225" s="251"/>
      <c r="T225" s="251"/>
      <c r="U225" s="251"/>
    </row>
    <row r="226" spans="2:21" s="22" customFormat="1" x14ac:dyDescent="0.3">
      <c r="B226" s="35"/>
      <c r="C226" s="66" t="s">
        <v>306</v>
      </c>
      <c r="D226" s="43"/>
      <c r="E226" s="88"/>
      <c r="F226" s="88"/>
      <c r="G226" s="88"/>
      <c r="H226" s="88"/>
      <c r="I226" s="88"/>
      <c r="J226" s="88"/>
      <c r="K226" s="88"/>
      <c r="L226" s="88"/>
      <c r="M226" s="88"/>
      <c r="N226" s="88"/>
      <c r="O226" s="88"/>
      <c r="Q226" s="35"/>
      <c r="S226" s="251"/>
      <c r="T226" s="251"/>
      <c r="U226" s="251"/>
    </row>
    <row r="227" spans="2:21" s="22" customFormat="1" x14ac:dyDescent="0.3">
      <c r="B227" s="35"/>
      <c r="C227" s="50" t="s">
        <v>264</v>
      </c>
      <c r="D227" s="43" t="s">
        <v>141</v>
      </c>
      <c r="E227" s="88"/>
      <c r="F227" s="88"/>
      <c r="G227" s="88"/>
      <c r="H227" s="87">
        <v>0</v>
      </c>
      <c r="I227" s="87">
        <v>0</v>
      </c>
      <c r="J227" s="87">
        <v>0</v>
      </c>
      <c r="K227" s="87">
        <v>0</v>
      </c>
      <c r="L227" s="87">
        <v>0</v>
      </c>
      <c r="M227" s="87">
        <v>0</v>
      </c>
      <c r="N227" s="87">
        <v>0</v>
      </c>
      <c r="O227" s="87">
        <v>0</v>
      </c>
      <c r="Q227" s="35"/>
      <c r="S227" s="251"/>
      <c r="T227" s="251"/>
      <c r="U227" s="251"/>
    </row>
    <row r="228" spans="2:21" s="22" customFormat="1" x14ac:dyDescent="0.3">
      <c r="B228" s="35"/>
      <c r="C228" s="50" t="s">
        <v>266</v>
      </c>
      <c r="D228" s="43" t="s">
        <v>141</v>
      </c>
      <c r="E228" s="88"/>
      <c r="F228" s="88"/>
      <c r="G228" s="88"/>
      <c r="H228" s="87">
        <v>0</v>
      </c>
      <c r="I228" s="87">
        <v>0</v>
      </c>
      <c r="J228" s="87">
        <v>0</v>
      </c>
      <c r="K228" s="87">
        <v>0</v>
      </c>
      <c r="L228" s="87">
        <v>0</v>
      </c>
      <c r="M228" s="87">
        <v>0</v>
      </c>
      <c r="N228" s="87">
        <v>0</v>
      </c>
      <c r="O228" s="87">
        <v>0</v>
      </c>
      <c r="Q228" s="35"/>
      <c r="S228" s="251"/>
      <c r="T228" s="251"/>
      <c r="U228" s="251"/>
    </row>
    <row r="229" spans="2:21" s="22" customFormat="1" x14ac:dyDescent="0.3">
      <c r="B229" s="35"/>
      <c r="C229" s="50" t="s">
        <v>267</v>
      </c>
      <c r="D229" s="43" t="s">
        <v>141</v>
      </c>
      <c r="E229" s="88"/>
      <c r="F229" s="88"/>
      <c r="G229" s="88"/>
      <c r="H229" s="87">
        <v>0</v>
      </c>
      <c r="I229" s="87">
        <v>0</v>
      </c>
      <c r="J229" s="87">
        <v>0</v>
      </c>
      <c r="K229" s="87">
        <v>0</v>
      </c>
      <c r="L229" s="87">
        <v>0</v>
      </c>
      <c r="M229" s="87">
        <v>0</v>
      </c>
      <c r="N229" s="87">
        <v>0</v>
      </c>
      <c r="O229" s="87">
        <v>0</v>
      </c>
      <c r="Q229" s="35"/>
      <c r="S229" s="251"/>
      <c r="T229" s="251"/>
      <c r="U229" s="251"/>
    </row>
    <row r="230" spans="2:21" s="22" customFormat="1" x14ac:dyDescent="0.3">
      <c r="B230" s="35"/>
      <c r="C230" s="122"/>
      <c r="D230" s="123"/>
      <c r="E230" s="124"/>
      <c r="F230" s="124"/>
      <c r="G230" s="124"/>
      <c r="H230" s="124"/>
      <c r="I230" s="124"/>
      <c r="J230" s="124"/>
      <c r="K230" s="124"/>
      <c r="L230" s="124"/>
      <c r="M230" s="124"/>
      <c r="N230" s="124"/>
      <c r="O230" s="124"/>
      <c r="Q230" s="35"/>
      <c r="S230" s="251"/>
      <c r="T230" s="251"/>
      <c r="U230" s="251"/>
    </row>
    <row r="231" spans="2:21" s="22" customFormat="1" x14ac:dyDescent="0.3">
      <c r="B231" s="35"/>
      <c r="C231" s="66" t="s">
        <v>307</v>
      </c>
      <c r="D231" s="51" t="s">
        <v>141</v>
      </c>
      <c r="E231" s="62">
        <f>E224</f>
        <v>0</v>
      </c>
      <c r="F231" s="62">
        <f>F224</f>
        <v>0</v>
      </c>
      <c r="G231" s="62">
        <f>G224</f>
        <v>0</v>
      </c>
      <c r="H231" s="62">
        <f t="shared" ref="H231:O231" si="70">H224+H227+H228+H229</f>
        <v>0</v>
      </c>
      <c r="I231" s="62">
        <f t="shared" si="70"/>
        <v>0</v>
      </c>
      <c r="J231" s="62">
        <f t="shared" si="70"/>
        <v>0</v>
      </c>
      <c r="K231" s="62">
        <f t="shared" si="70"/>
        <v>0</v>
      </c>
      <c r="L231" s="62">
        <f t="shared" si="70"/>
        <v>0</v>
      </c>
      <c r="M231" s="62">
        <f t="shared" si="70"/>
        <v>0</v>
      </c>
      <c r="N231" s="62">
        <f t="shared" si="70"/>
        <v>0</v>
      </c>
      <c r="O231" s="62">
        <f t="shared" si="70"/>
        <v>0</v>
      </c>
      <c r="Q231" s="35"/>
      <c r="S231" s="251"/>
      <c r="T231" s="251"/>
      <c r="U231" s="251"/>
    </row>
    <row r="232" spans="2:21" s="22" customFormat="1" x14ac:dyDescent="0.3">
      <c r="B232" s="35"/>
      <c r="C232" s="50" t="s">
        <v>308</v>
      </c>
      <c r="D232" s="43" t="s">
        <v>47</v>
      </c>
      <c r="E232" s="125" t="s">
        <v>92</v>
      </c>
      <c r="F232" s="126" t="e">
        <f t="shared" ref="F232:O232" si="71">F231/E231-1</f>
        <v>#DIV/0!</v>
      </c>
      <c r="G232" s="126" t="e">
        <f t="shared" si="71"/>
        <v>#DIV/0!</v>
      </c>
      <c r="H232" s="126" t="e">
        <f t="shared" si="71"/>
        <v>#DIV/0!</v>
      </c>
      <c r="I232" s="126" t="e">
        <f t="shared" si="71"/>
        <v>#DIV/0!</v>
      </c>
      <c r="J232" s="126" t="e">
        <f t="shared" si="71"/>
        <v>#DIV/0!</v>
      </c>
      <c r="K232" s="126" t="e">
        <f t="shared" si="71"/>
        <v>#DIV/0!</v>
      </c>
      <c r="L232" s="126" t="e">
        <f t="shared" si="71"/>
        <v>#DIV/0!</v>
      </c>
      <c r="M232" s="126" t="e">
        <f t="shared" si="71"/>
        <v>#DIV/0!</v>
      </c>
      <c r="N232" s="126" t="e">
        <f t="shared" si="71"/>
        <v>#DIV/0!</v>
      </c>
      <c r="O232" s="126" t="e">
        <f t="shared" si="71"/>
        <v>#DIV/0!</v>
      </c>
      <c r="Q232" s="35"/>
      <c r="S232" s="251"/>
      <c r="T232" s="251"/>
      <c r="U232" s="251"/>
    </row>
    <row r="233" spans="2:21" s="22" customFormat="1" x14ac:dyDescent="0.3">
      <c r="B233" s="35"/>
      <c r="C233" s="122"/>
      <c r="D233" s="123"/>
      <c r="E233" s="127"/>
      <c r="F233" s="128"/>
      <c r="G233" s="128"/>
      <c r="H233" s="128"/>
      <c r="I233" s="128"/>
      <c r="J233" s="128"/>
      <c r="K233" s="128"/>
      <c r="L233" s="128"/>
      <c r="M233" s="128"/>
      <c r="N233" s="128"/>
      <c r="O233" s="128"/>
      <c r="Q233" s="35"/>
      <c r="S233" s="251"/>
      <c r="T233" s="251"/>
      <c r="U233" s="251"/>
    </row>
    <row r="234" spans="2:21" s="22" customFormat="1" x14ac:dyDescent="0.3">
      <c r="B234" s="35"/>
      <c r="C234" s="89" t="s">
        <v>309</v>
      </c>
      <c r="D234" s="89"/>
      <c r="E234" s="111">
        <f>F234-1</f>
        <v>2022</v>
      </c>
      <c r="F234" s="111">
        <f>G234-1</f>
        <v>2023</v>
      </c>
      <c r="G234" s="112">
        <f>'Date generale'!$D$8</f>
        <v>2024</v>
      </c>
      <c r="H234" s="113">
        <f t="shared" ref="H234:O234" si="72">G234+1</f>
        <v>2025</v>
      </c>
      <c r="I234" s="113">
        <f t="shared" si="72"/>
        <v>2026</v>
      </c>
      <c r="J234" s="113">
        <f t="shared" si="72"/>
        <v>2027</v>
      </c>
      <c r="K234" s="113">
        <f t="shared" si="72"/>
        <v>2028</v>
      </c>
      <c r="L234" s="113">
        <f t="shared" si="72"/>
        <v>2029</v>
      </c>
      <c r="M234" s="113">
        <f t="shared" si="72"/>
        <v>2030</v>
      </c>
      <c r="N234" s="113">
        <f t="shared" si="72"/>
        <v>2031</v>
      </c>
      <c r="O234" s="113">
        <f t="shared" si="72"/>
        <v>2032</v>
      </c>
      <c r="Q234" s="35"/>
      <c r="S234" s="251"/>
      <c r="T234" s="251"/>
      <c r="U234" s="251"/>
    </row>
    <row r="235" spans="2:21" s="22" customFormat="1" x14ac:dyDescent="0.3">
      <c r="B235" s="35"/>
      <c r="C235" s="114"/>
      <c r="D235" s="114"/>
      <c r="E235" s="115">
        <f>F235-1</f>
        <v>-3</v>
      </c>
      <c r="F235" s="115">
        <f>G235-1</f>
        <v>-2</v>
      </c>
      <c r="G235" s="116">
        <v>-1</v>
      </c>
      <c r="H235" s="116">
        <v>0</v>
      </c>
      <c r="I235" s="116">
        <f t="shared" ref="I235:O235" si="73">H235+1</f>
        <v>1</v>
      </c>
      <c r="J235" s="116">
        <f t="shared" si="73"/>
        <v>2</v>
      </c>
      <c r="K235" s="116">
        <f t="shared" si="73"/>
        <v>3</v>
      </c>
      <c r="L235" s="116">
        <f t="shared" si="73"/>
        <v>4</v>
      </c>
      <c r="M235" s="116">
        <f t="shared" si="73"/>
        <v>5</v>
      </c>
      <c r="N235" s="116">
        <f t="shared" si="73"/>
        <v>6</v>
      </c>
      <c r="O235" s="116">
        <f t="shared" si="73"/>
        <v>7</v>
      </c>
      <c r="Q235" s="35"/>
      <c r="S235" s="251"/>
      <c r="T235" s="251"/>
      <c r="U235" s="251"/>
    </row>
    <row r="236" spans="2:21" s="22" customFormat="1" x14ac:dyDescent="0.3">
      <c r="B236" s="35"/>
      <c r="C236" s="122"/>
      <c r="D236" s="123"/>
      <c r="E236" s="127"/>
      <c r="F236" s="128"/>
      <c r="G236" s="128"/>
      <c r="H236" s="128"/>
      <c r="I236" s="128"/>
      <c r="J236" s="128"/>
      <c r="K236" s="128"/>
      <c r="L236" s="128"/>
      <c r="M236" s="128"/>
      <c r="N236" s="128"/>
      <c r="O236" s="128"/>
      <c r="Q236" s="35"/>
      <c r="S236" s="251"/>
      <c r="T236" s="251"/>
      <c r="U236" s="251"/>
    </row>
    <row r="237" spans="2:21" x14ac:dyDescent="0.3">
      <c r="B237" s="23"/>
      <c r="C237" s="66" t="s">
        <v>310</v>
      </c>
      <c r="D237" s="43" t="s">
        <v>141</v>
      </c>
      <c r="E237" s="88">
        <f>'Costuri operare'!E374</f>
        <v>0</v>
      </c>
      <c r="F237" s="88">
        <f>'Costuri operare'!F374</f>
        <v>0</v>
      </c>
      <c r="G237" s="88">
        <f>'Costuri operare'!G374</f>
        <v>0</v>
      </c>
      <c r="H237" s="88">
        <f t="shared" ref="H237:O237" si="74">H240*H248</f>
        <v>0</v>
      </c>
      <c r="I237" s="88">
        <f t="shared" si="74"/>
        <v>0</v>
      </c>
      <c r="J237" s="88">
        <f t="shared" si="74"/>
        <v>0</v>
      </c>
      <c r="K237" s="88">
        <f t="shared" si="74"/>
        <v>0</v>
      </c>
      <c r="L237" s="88">
        <f t="shared" si="74"/>
        <v>0</v>
      </c>
      <c r="M237" s="88">
        <f t="shared" si="74"/>
        <v>0</v>
      </c>
      <c r="N237" s="88">
        <f t="shared" si="74"/>
        <v>0</v>
      </c>
      <c r="O237" s="88">
        <f t="shared" si="74"/>
        <v>0</v>
      </c>
      <c r="Q237" s="35"/>
      <c r="S237" s="251"/>
      <c r="T237" s="251"/>
      <c r="U237" s="251"/>
    </row>
    <row r="238" spans="2:21" x14ac:dyDescent="0.3">
      <c r="B238" s="23"/>
      <c r="C238" s="50" t="s">
        <v>308</v>
      </c>
      <c r="D238" s="129" t="s">
        <v>47</v>
      </c>
      <c r="E238" s="125" t="s">
        <v>92</v>
      </c>
      <c r="F238" s="126" t="e">
        <f t="shared" ref="F238:O238" si="75">F237/E237-1</f>
        <v>#DIV/0!</v>
      </c>
      <c r="G238" s="126" t="e">
        <f t="shared" si="75"/>
        <v>#DIV/0!</v>
      </c>
      <c r="H238" s="126" t="e">
        <f t="shared" si="75"/>
        <v>#DIV/0!</v>
      </c>
      <c r="I238" s="126" t="e">
        <f t="shared" si="75"/>
        <v>#DIV/0!</v>
      </c>
      <c r="J238" s="126" t="e">
        <f t="shared" si="75"/>
        <v>#DIV/0!</v>
      </c>
      <c r="K238" s="126" t="e">
        <f t="shared" si="75"/>
        <v>#DIV/0!</v>
      </c>
      <c r="L238" s="126" t="e">
        <f t="shared" si="75"/>
        <v>#DIV/0!</v>
      </c>
      <c r="M238" s="126" t="e">
        <f t="shared" si="75"/>
        <v>#DIV/0!</v>
      </c>
      <c r="N238" s="126" t="e">
        <f t="shared" si="75"/>
        <v>#DIV/0!</v>
      </c>
      <c r="O238" s="126" t="e">
        <f t="shared" si="75"/>
        <v>#DIV/0!</v>
      </c>
      <c r="Q238" s="35"/>
      <c r="S238" s="251"/>
      <c r="T238" s="251"/>
      <c r="U238" s="251"/>
    </row>
    <row r="239" spans="2:21" x14ac:dyDescent="0.3">
      <c r="B239" s="23"/>
      <c r="C239" s="130"/>
      <c r="D239" s="129"/>
      <c r="E239" s="131"/>
      <c r="F239" s="131"/>
      <c r="G239" s="131"/>
      <c r="H239" s="131"/>
      <c r="I239" s="131"/>
      <c r="J239" s="131"/>
      <c r="K239" s="131"/>
      <c r="L239" s="131"/>
      <c r="M239" s="131"/>
      <c r="N239" s="131"/>
      <c r="O239" s="131"/>
      <c r="Q239" s="35"/>
      <c r="S239" s="251"/>
      <c r="T239" s="251"/>
      <c r="U239" s="251"/>
    </row>
    <row r="240" spans="2:21" s="22" customFormat="1" ht="43.2" x14ac:dyDescent="0.3">
      <c r="B240" s="35"/>
      <c r="C240" s="66" t="s">
        <v>311</v>
      </c>
      <c r="D240" s="43" t="s">
        <v>141</v>
      </c>
      <c r="E240" s="132">
        <v>0</v>
      </c>
      <c r="F240" s="132">
        <v>0</v>
      </c>
      <c r="G240" s="132">
        <v>0</v>
      </c>
      <c r="H240" s="133">
        <f t="shared" ref="H240:O240" si="76">SUM(H241:H246)</f>
        <v>0</v>
      </c>
      <c r="I240" s="133">
        <f t="shared" si="76"/>
        <v>0</v>
      </c>
      <c r="J240" s="133">
        <f t="shared" si="76"/>
        <v>0</v>
      </c>
      <c r="K240" s="133">
        <f t="shared" si="76"/>
        <v>0</v>
      </c>
      <c r="L240" s="133">
        <f t="shared" si="76"/>
        <v>0</v>
      </c>
      <c r="M240" s="133">
        <f t="shared" si="76"/>
        <v>0</v>
      </c>
      <c r="N240" s="133">
        <f t="shared" si="76"/>
        <v>0</v>
      </c>
      <c r="O240" s="133">
        <f t="shared" si="76"/>
        <v>0</v>
      </c>
      <c r="Q240" s="35"/>
      <c r="S240" s="251"/>
      <c r="T240" s="251"/>
      <c r="U240" s="251"/>
    </row>
    <row r="241" spans="2:21" s="22" customFormat="1" x14ac:dyDescent="0.3">
      <c r="B241" s="35"/>
      <c r="C241" s="48" t="s">
        <v>312</v>
      </c>
      <c r="D241" s="43" t="s">
        <v>141</v>
      </c>
      <c r="E241" s="132">
        <v>0</v>
      </c>
      <c r="F241" s="132">
        <v>0</v>
      </c>
      <c r="G241" s="132">
        <v>0</v>
      </c>
      <c r="H241" s="132">
        <v>0</v>
      </c>
      <c r="I241" s="132">
        <v>0</v>
      </c>
      <c r="J241" s="132">
        <v>0</v>
      </c>
      <c r="K241" s="132">
        <v>0</v>
      </c>
      <c r="L241" s="132">
        <v>0</v>
      </c>
      <c r="M241" s="132">
        <v>0</v>
      </c>
      <c r="N241" s="132">
        <v>0</v>
      </c>
      <c r="O241" s="132">
        <v>0</v>
      </c>
      <c r="Q241" s="35"/>
      <c r="S241" s="251"/>
      <c r="T241" s="251"/>
      <c r="U241" s="251"/>
    </row>
    <row r="242" spans="2:21" s="22" customFormat="1" x14ac:dyDescent="0.3">
      <c r="B242" s="35"/>
      <c r="C242" s="48" t="s">
        <v>313</v>
      </c>
      <c r="D242" s="43" t="s">
        <v>141</v>
      </c>
      <c r="E242" s="132">
        <v>0</v>
      </c>
      <c r="F242" s="132">
        <v>0</v>
      </c>
      <c r="G242" s="132">
        <v>0</v>
      </c>
      <c r="H242" s="132">
        <v>0</v>
      </c>
      <c r="I242" s="132">
        <v>0</v>
      </c>
      <c r="J242" s="132">
        <v>0</v>
      </c>
      <c r="K242" s="132">
        <v>0</v>
      </c>
      <c r="L242" s="132">
        <v>0</v>
      </c>
      <c r="M242" s="132">
        <v>0</v>
      </c>
      <c r="N242" s="132">
        <v>0</v>
      </c>
      <c r="O242" s="132">
        <v>0</v>
      </c>
      <c r="Q242" s="35"/>
      <c r="S242" s="251"/>
      <c r="T242" s="251"/>
      <c r="U242" s="251"/>
    </row>
    <row r="243" spans="2:21" s="22" customFormat="1" x14ac:dyDescent="0.3">
      <c r="B243" s="35"/>
      <c r="C243" s="48" t="s">
        <v>314</v>
      </c>
      <c r="D243" s="43" t="s">
        <v>141</v>
      </c>
      <c r="E243" s="132">
        <v>0</v>
      </c>
      <c r="F243" s="132">
        <v>0</v>
      </c>
      <c r="G243" s="132">
        <v>0</v>
      </c>
      <c r="H243" s="132">
        <v>0</v>
      </c>
      <c r="I243" s="132">
        <v>0</v>
      </c>
      <c r="J243" s="132">
        <v>0</v>
      </c>
      <c r="K243" s="132">
        <v>0</v>
      </c>
      <c r="L243" s="132">
        <v>0</v>
      </c>
      <c r="M243" s="132">
        <v>0</v>
      </c>
      <c r="N243" s="132">
        <v>0</v>
      </c>
      <c r="O243" s="132">
        <v>0</v>
      </c>
      <c r="Q243" s="35"/>
      <c r="S243" s="251"/>
      <c r="T243" s="251"/>
      <c r="U243" s="251"/>
    </row>
    <row r="244" spans="2:21" s="22" customFormat="1" ht="28.8" x14ac:dyDescent="0.3">
      <c r="B244" s="35"/>
      <c r="C244" s="48" t="s">
        <v>321</v>
      </c>
      <c r="D244" s="43" t="s">
        <v>141</v>
      </c>
      <c r="E244" s="132">
        <v>0</v>
      </c>
      <c r="F244" s="132">
        <v>0</v>
      </c>
      <c r="G244" s="132">
        <v>0</v>
      </c>
      <c r="H244" s="132">
        <v>0</v>
      </c>
      <c r="I244" s="132">
        <v>0</v>
      </c>
      <c r="J244" s="132">
        <v>0</v>
      </c>
      <c r="K244" s="132">
        <v>0</v>
      </c>
      <c r="L244" s="132">
        <v>0</v>
      </c>
      <c r="M244" s="132">
        <v>0</v>
      </c>
      <c r="N244" s="132">
        <v>0</v>
      </c>
      <c r="O244" s="132">
        <v>0</v>
      </c>
      <c r="Q244" s="35"/>
      <c r="S244" s="251"/>
      <c r="T244" s="251"/>
      <c r="U244" s="251"/>
    </row>
    <row r="245" spans="2:21" s="22" customFormat="1" ht="28.8" x14ac:dyDescent="0.3">
      <c r="B245" s="35"/>
      <c r="C245" s="48" t="s">
        <v>316</v>
      </c>
      <c r="D245" s="43" t="s">
        <v>141</v>
      </c>
      <c r="E245" s="88">
        <f>E240-SUM(E241:E244)</f>
        <v>0</v>
      </c>
      <c r="F245" s="88">
        <f>F240-SUM(F241:F244)</f>
        <v>0</v>
      </c>
      <c r="G245" s="88">
        <f>G240-SUM(G241:G244)</f>
        <v>0</v>
      </c>
      <c r="H245" s="132">
        <v>0</v>
      </c>
      <c r="I245" s="132">
        <v>0</v>
      </c>
      <c r="J245" s="132">
        <v>0</v>
      </c>
      <c r="K245" s="132">
        <v>0</v>
      </c>
      <c r="L245" s="132">
        <v>0</v>
      </c>
      <c r="M245" s="132">
        <v>0</v>
      </c>
      <c r="N245" s="132">
        <v>0</v>
      </c>
      <c r="O245" s="132">
        <v>0</v>
      </c>
      <c r="Q245" s="35"/>
      <c r="S245" s="251"/>
      <c r="T245" s="251"/>
      <c r="U245" s="251"/>
    </row>
    <row r="246" spans="2:21" s="22" customFormat="1" ht="43.2" x14ac:dyDescent="0.3">
      <c r="B246" s="35"/>
      <c r="C246" s="48" t="s">
        <v>317</v>
      </c>
      <c r="D246" s="43" t="s">
        <v>141</v>
      </c>
      <c r="E246" s="125" t="s">
        <v>92</v>
      </c>
      <c r="F246" s="125" t="s">
        <v>92</v>
      </c>
      <c r="G246" s="125" t="s">
        <v>92</v>
      </c>
      <c r="H246" s="132">
        <v>0</v>
      </c>
      <c r="I246" s="132">
        <v>0</v>
      </c>
      <c r="J246" s="132">
        <v>0</v>
      </c>
      <c r="K246" s="132">
        <v>0</v>
      </c>
      <c r="L246" s="132">
        <v>0</v>
      </c>
      <c r="M246" s="132">
        <v>0</v>
      </c>
      <c r="N246" s="132">
        <v>0</v>
      </c>
      <c r="O246" s="132">
        <v>0</v>
      </c>
      <c r="Q246" s="35"/>
      <c r="S246" s="251"/>
      <c r="T246" s="251"/>
      <c r="U246" s="251"/>
    </row>
    <row r="247" spans="2:21" s="22" customFormat="1" x14ac:dyDescent="0.3">
      <c r="B247" s="35"/>
      <c r="C247" s="122"/>
      <c r="D247" s="123"/>
      <c r="E247" s="127"/>
      <c r="F247" s="128"/>
      <c r="G247" s="128"/>
      <c r="H247" s="128"/>
      <c r="I247" s="128"/>
      <c r="J247" s="128"/>
      <c r="K247" s="128"/>
      <c r="L247" s="128"/>
      <c r="M247" s="128"/>
      <c r="N247" s="128"/>
      <c r="O247" s="128"/>
      <c r="Q247" s="35"/>
      <c r="S247" s="251"/>
      <c r="T247" s="251"/>
      <c r="U247" s="251"/>
    </row>
    <row r="248" spans="2:21" s="22" customFormat="1" ht="43.2" x14ac:dyDescent="0.3">
      <c r="B248" s="35"/>
      <c r="C248" s="66" t="s">
        <v>318</v>
      </c>
      <c r="D248" s="51" t="s">
        <v>47</v>
      </c>
      <c r="E248" s="134" t="e">
        <f>E237/E240</f>
        <v>#DIV/0!</v>
      </c>
      <c r="F248" s="134" t="e">
        <f>F237/F240</f>
        <v>#DIV/0!</v>
      </c>
      <c r="G248" s="134" t="e">
        <f>G237/G240</f>
        <v>#DIV/0!</v>
      </c>
      <c r="H248" s="135">
        <v>0</v>
      </c>
      <c r="I248" s="135">
        <v>0</v>
      </c>
      <c r="J248" s="135">
        <v>0</v>
      </c>
      <c r="K248" s="135">
        <v>0</v>
      </c>
      <c r="L248" s="135">
        <v>0</v>
      </c>
      <c r="M248" s="135">
        <v>0</v>
      </c>
      <c r="N248" s="135">
        <v>0</v>
      </c>
      <c r="O248" s="135">
        <v>0</v>
      </c>
      <c r="Q248" s="35"/>
      <c r="S248" s="251"/>
      <c r="T248" s="251"/>
      <c r="U248" s="251"/>
    </row>
    <row r="249" spans="2:21" s="22" customFormat="1" ht="75.599999999999994" customHeight="1" x14ac:dyDescent="0.3">
      <c r="B249" s="35"/>
      <c r="C249" s="122" t="s">
        <v>319</v>
      </c>
      <c r="D249" s="123"/>
      <c r="E249" s="127"/>
      <c r="F249" s="128"/>
      <c r="G249" s="128"/>
      <c r="H249" s="136" t="str">
        <f t="shared" ref="H249:O249" si="77">IF(H237&gt;G237,"OK","Redeventa propusa trebuie sa fie mai mare decat cea din anul anterior")</f>
        <v>Redeventa propusa trebuie sa fie mai mare decat cea din anul anterior</v>
      </c>
      <c r="I249" s="136" t="str">
        <f t="shared" si="77"/>
        <v>Redeventa propusa trebuie sa fie mai mare decat cea din anul anterior</v>
      </c>
      <c r="J249" s="136" t="str">
        <f t="shared" si="77"/>
        <v>Redeventa propusa trebuie sa fie mai mare decat cea din anul anterior</v>
      </c>
      <c r="K249" s="136" t="str">
        <f t="shared" si="77"/>
        <v>Redeventa propusa trebuie sa fie mai mare decat cea din anul anterior</v>
      </c>
      <c r="L249" s="136" t="str">
        <f t="shared" si="77"/>
        <v>Redeventa propusa trebuie sa fie mai mare decat cea din anul anterior</v>
      </c>
      <c r="M249" s="136" t="str">
        <f t="shared" si="77"/>
        <v>Redeventa propusa trebuie sa fie mai mare decat cea din anul anterior</v>
      </c>
      <c r="N249" s="136" t="str">
        <f t="shared" si="77"/>
        <v>Redeventa propusa trebuie sa fie mai mare decat cea din anul anterior</v>
      </c>
      <c r="O249" s="136" t="str">
        <f t="shared" si="77"/>
        <v>Redeventa propusa trebuie sa fie mai mare decat cea din anul anterior</v>
      </c>
      <c r="Q249" s="35"/>
      <c r="S249" s="251"/>
      <c r="T249" s="251"/>
      <c r="U249" s="251"/>
    </row>
    <row r="250" spans="2:21" ht="6.6" customHeight="1" x14ac:dyDescent="0.3">
      <c r="B250" s="35"/>
      <c r="C250" s="35"/>
      <c r="D250" s="35"/>
      <c r="E250" s="35"/>
      <c r="F250" s="35"/>
      <c r="G250" s="35"/>
      <c r="H250" s="35"/>
      <c r="I250" s="35"/>
      <c r="J250" s="35"/>
      <c r="K250" s="35"/>
      <c r="L250" s="35"/>
      <c r="M250" s="35"/>
      <c r="N250" s="35"/>
      <c r="O250" s="35"/>
      <c r="P250" s="35"/>
      <c r="Q250" s="35"/>
    </row>
    <row r="252" spans="2:21" ht="8.1" customHeight="1" x14ac:dyDescent="0.3">
      <c r="B252" s="23"/>
      <c r="C252" s="23"/>
      <c r="D252" s="23"/>
      <c r="E252" s="23"/>
      <c r="F252" s="23"/>
      <c r="G252" s="23"/>
      <c r="H252" s="23"/>
      <c r="I252" s="23"/>
      <c r="J252" s="23"/>
      <c r="K252" s="23"/>
      <c r="L252" s="23"/>
      <c r="M252" s="23"/>
      <c r="N252" s="23"/>
      <c r="O252" s="23"/>
      <c r="P252" s="23"/>
      <c r="Q252" s="23"/>
    </row>
    <row r="253" spans="2:21" x14ac:dyDescent="0.3">
      <c r="B253" s="23"/>
      <c r="C253" s="24" t="str">
        <f>'Costuri operare'!C419</f>
        <v>ACTIVITATEA DE CANALIZARE - SERVICIUL PUBLIC INTELIGENT ALTERNATIV PENTRU PROCESAREA APELOR UZATE</v>
      </c>
      <c r="Q253" s="23"/>
    </row>
    <row r="254" spans="2:21" ht="8.1" customHeight="1" x14ac:dyDescent="0.3">
      <c r="B254" s="23"/>
      <c r="C254" s="23"/>
      <c r="D254" s="23"/>
      <c r="E254" s="23"/>
      <c r="F254" s="23"/>
      <c r="G254" s="23"/>
      <c r="H254" s="23"/>
      <c r="I254" s="23"/>
      <c r="J254" s="23"/>
      <c r="K254" s="23"/>
      <c r="L254" s="23"/>
      <c r="M254" s="23"/>
      <c r="N254" s="23"/>
      <c r="O254" s="23"/>
      <c r="P254" s="23"/>
      <c r="Q254" s="23"/>
    </row>
    <row r="255" spans="2:21" x14ac:dyDescent="0.3">
      <c r="B255" s="23"/>
      <c r="Q255" s="23"/>
    </row>
    <row r="256" spans="2:21" s="22" customFormat="1" ht="29.1" customHeight="1" x14ac:dyDescent="0.3">
      <c r="B256" s="35"/>
      <c r="C256" s="89" t="s">
        <v>300</v>
      </c>
      <c r="D256" s="89"/>
      <c r="E256" s="111">
        <f>F256-1</f>
        <v>2022</v>
      </c>
      <c r="F256" s="111">
        <f>G256-1</f>
        <v>2023</v>
      </c>
      <c r="G256" s="112">
        <f>'Date generale'!$D$8</f>
        <v>2024</v>
      </c>
      <c r="H256" s="113">
        <f t="shared" ref="H256:O256" si="78">G256+1</f>
        <v>2025</v>
      </c>
      <c r="I256" s="113">
        <f t="shared" si="78"/>
        <v>2026</v>
      </c>
      <c r="J256" s="113">
        <f t="shared" si="78"/>
        <v>2027</v>
      </c>
      <c r="K256" s="113">
        <f t="shared" si="78"/>
        <v>2028</v>
      </c>
      <c r="L256" s="113">
        <f t="shared" si="78"/>
        <v>2029</v>
      </c>
      <c r="M256" s="113">
        <f t="shared" si="78"/>
        <v>2030</v>
      </c>
      <c r="N256" s="113">
        <f t="shared" si="78"/>
        <v>2031</v>
      </c>
      <c r="O256" s="113">
        <f t="shared" si="78"/>
        <v>2032</v>
      </c>
      <c r="Q256" s="35"/>
      <c r="S256" s="250" t="s">
        <v>301</v>
      </c>
      <c r="T256" s="250"/>
      <c r="U256" s="250"/>
    </row>
    <row r="257" spans="2:21" x14ac:dyDescent="0.3">
      <c r="B257" s="23"/>
      <c r="C257" s="114"/>
      <c r="D257" s="114"/>
      <c r="E257" s="115">
        <f>F257-1</f>
        <v>-3</v>
      </c>
      <c r="F257" s="115">
        <f>G257-1</f>
        <v>-2</v>
      </c>
      <c r="G257" s="116">
        <v>-1</v>
      </c>
      <c r="H257" s="116">
        <v>0</v>
      </c>
      <c r="I257" s="116">
        <f t="shared" ref="I257:O257" si="79">H257+1</f>
        <v>1</v>
      </c>
      <c r="J257" s="116">
        <f t="shared" si="79"/>
        <v>2</v>
      </c>
      <c r="K257" s="116">
        <f t="shared" si="79"/>
        <v>3</v>
      </c>
      <c r="L257" s="116">
        <f t="shared" si="79"/>
        <v>4</v>
      </c>
      <c r="M257" s="116">
        <f t="shared" si="79"/>
        <v>5</v>
      </c>
      <c r="N257" s="116">
        <f t="shared" si="79"/>
        <v>6</v>
      </c>
      <c r="O257" s="116">
        <f t="shared" si="79"/>
        <v>7</v>
      </c>
      <c r="Q257" s="35"/>
      <c r="S257" s="115" t="s">
        <v>302</v>
      </c>
      <c r="T257" s="115" t="s">
        <v>303</v>
      </c>
      <c r="U257" s="138" t="s">
        <v>304</v>
      </c>
    </row>
    <row r="258" spans="2:21" s="24" customFormat="1" x14ac:dyDescent="0.3">
      <c r="B258" s="61"/>
      <c r="C258" s="42"/>
      <c r="D258" s="51"/>
      <c r="E258" s="62"/>
      <c r="F258" s="62"/>
      <c r="G258" s="62"/>
      <c r="H258" s="62"/>
      <c r="I258" s="62"/>
      <c r="J258" s="62"/>
      <c r="K258" s="62"/>
      <c r="L258" s="62"/>
      <c r="M258" s="62"/>
      <c r="N258" s="62"/>
      <c r="O258" s="62"/>
      <c r="Q258" s="35"/>
      <c r="S258" s="251"/>
      <c r="T258" s="251"/>
      <c r="U258" s="251"/>
    </row>
    <row r="259" spans="2:21" x14ac:dyDescent="0.3">
      <c r="B259" s="23"/>
      <c r="C259" s="66" t="s">
        <v>305</v>
      </c>
      <c r="D259" s="43" t="s">
        <v>141</v>
      </c>
      <c r="E259" s="88">
        <f>'Costuri operare'!E427</f>
        <v>0</v>
      </c>
      <c r="F259" s="88">
        <f>'Costuri operare'!F427</f>
        <v>0</v>
      </c>
      <c r="G259" s="88">
        <f>'Costuri operare'!G427</f>
        <v>0</v>
      </c>
      <c r="H259" s="87">
        <f>G259</f>
        <v>0</v>
      </c>
      <c r="I259" s="87">
        <f t="shared" ref="I259:O259" si="80">H259</f>
        <v>0</v>
      </c>
      <c r="J259" s="87">
        <f t="shared" si="80"/>
        <v>0</v>
      </c>
      <c r="K259" s="87">
        <f t="shared" si="80"/>
        <v>0</v>
      </c>
      <c r="L259" s="87">
        <f t="shared" si="80"/>
        <v>0</v>
      </c>
      <c r="M259" s="87">
        <f t="shared" si="80"/>
        <v>0</v>
      </c>
      <c r="N259" s="87">
        <f t="shared" si="80"/>
        <v>0</v>
      </c>
      <c r="O259" s="87">
        <f t="shared" si="80"/>
        <v>0</v>
      </c>
      <c r="Q259" s="35"/>
      <c r="S259" s="251"/>
      <c r="T259" s="251"/>
      <c r="U259" s="251"/>
    </row>
    <row r="260" spans="2:21" s="22" customFormat="1" x14ac:dyDescent="0.3">
      <c r="B260" s="35"/>
      <c r="C260" s="50"/>
      <c r="D260" s="43"/>
      <c r="E260" s="88"/>
      <c r="F260" s="88"/>
      <c r="G260" s="88"/>
      <c r="H260" s="88"/>
      <c r="I260" s="88"/>
      <c r="J260" s="88"/>
      <c r="K260" s="88"/>
      <c r="L260" s="88"/>
      <c r="M260" s="88"/>
      <c r="N260" s="88"/>
      <c r="O260" s="88"/>
      <c r="Q260" s="35"/>
      <c r="S260" s="251"/>
      <c r="T260" s="251"/>
      <c r="U260" s="251"/>
    </row>
    <row r="261" spans="2:21" s="22" customFormat="1" x14ac:dyDescent="0.3">
      <c r="B261" s="35"/>
      <c r="C261" s="66" t="s">
        <v>306</v>
      </c>
      <c r="D261" s="43"/>
      <c r="E261" s="88"/>
      <c r="F261" s="88"/>
      <c r="G261" s="88"/>
      <c r="H261" s="88"/>
      <c r="I261" s="88"/>
      <c r="J261" s="88"/>
      <c r="K261" s="88"/>
      <c r="L261" s="88"/>
      <c r="M261" s="88"/>
      <c r="N261" s="88"/>
      <c r="O261" s="88"/>
      <c r="Q261" s="35"/>
      <c r="S261" s="251"/>
      <c r="T261" s="251"/>
      <c r="U261" s="251"/>
    </row>
    <row r="262" spans="2:21" s="22" customFormat="1" x14ac:dyDescent="0.3">
      <c r="B262" s="35"/>
      <c r="C262" s="50" t="s">
        <v>264</v>
      </c>
      <c r="D262" s="43" t="s">
        <v>141</v>
      </c>
      <c r="E262" s="88"/>
      <c r="F262" s="88"/>
      <c r="G262" s="88"/>
      <c r="H262" s="87">
        <v>0</v>
      </c>
      <c r="I262" s="87">
        <v>0</v>
      </c>
      <c r="J262" s="87">
        <v>0</v>
      </c>
      <c r="K262" s="87">
        <v>0</v>
      </c>
      <c r="L262" s="87">
        <v>0</v>
      </c>
      <c r="M262" s="87">
        <v>0</v>
      </c>
      <c r="N262" s="87">
        <v>0</v>
      </c>
      <c r="O262" s="87">
        <v>0</v>
      </c>
      <c r="Q262" s="35"/>
      <c r="S262" s="251"/>
      <c r="T262" s="251"/>
      <c r="U262" s="251"/>
    </row>
    <row r="263" spans="2:21" s="22" customFormat="1" x14ac:dyDescent="0.3">
      <c r="B263" s="35"/>
      <c r="C263" s="50" t="s">
        <v>266</v>
      </c>
      <c r="D263" s="43" t="s">
        <v>141</v>
      </c>
      <c r="E263" s="88"/>
      <c r="F263" s="88"/>
      <c r="G263" s="88"/>
      <c r="H263" s="87">
        <v>0</v>
      </c>
      <c r="I263" s="87">
        <v>0</v>
      </c>
      <c r="J263" s="87">
        <v>0</v>
      </c>
      <c r="K263" s="87">
        <v>0</v>
      </c>
      <c r="L263" s="87">
        <v>0</v>
      </c>
      <c r="M263" s="87">
        <v>0</v>
      </c>
      <c r="N263" s="87">
        <v>0</v>
      </c>
      <c r="O263" s="87">
        <v>0</v>
      </c>
      <c r="Q263" s="35"/>
      <c r="S263" s="251"/>
      <c r="T263" s="251"/>
      <c r="U263" s="251"/>
    </row>
    <row r="264" spans="2:21" s="22" customFormat="1" x14ac:dyDescent="0.3">
      <c r="B264" s="35"/>
      <c r="C264" s="50" t="s">
        <v>267</v>
      </c>
      <c r="D264" s="43" t="s">
        <v>141</v>
      </c>
      <c r="E264" s="88"/>
      <c r="F264" s="88"/>
      <c r="G264" s="88"/>
      <c r="H264" s="87">
        <v>0</v>
      </c>
      <c r="I264" s="87">
        <v>0</v>
      </c>
      <c r="J264" s="87">
        <v>0</v>
      </c>
      <c r="K264" s="87">
        <v>0</v>
      </c>
      <c r="L264" s="87">
        <v>0</v>
      </c>
      <c r="M264" s="87">
        <v>0</v>
      </c>
      <c r="N264" s="87">
        <v>0</v>
      </c>
      <c r="O264" s="87">
        <v>0</v>
      </c>
      <c r="Q264" s="35"/>
      <c r="S264" s="251"/>
      <c r="T264" s="251"/>
      <c r="U264" s="251"/>
    </row>
    <row r="265" spans="2:21" s="22" customFormat="1" x14ac:dyDescent="0.3">
      <c r="B265" s="35"/>
      <c r="C265" s="122"/>
      <c r="D265" s="123"/>
      <c r="E265" s="124"/>
      <c r="F265" s="124"/>
      <c r="G265" s="124"/>
      <c r="H265" s="124"/>
      <c r="I265" s="124"/>
      <c r="J265" s="124"/>
      <c r="K265" s="124"/>
      <c r="L265" s="124"/>
      <c r="M265" s="124"/>
      <c r="N265" s="124"/>
      <c r="O265" s="124"/>
      <c r="Q265" s="35"/>
      <c r="S265" s="251"/>
      <c r="T265" s="251"/>
      <c r="U265" s="251"/>
    </row>
    <row r="266" spans="2:21" s="22" customFormat="1" x14ac:dyDescent="0.3">
      <c r="B266" s="35"/>
      <c r="C266" s="66" t="s">
        <v>307</v>
      </c>
      <c r="D266" s="51" t="s">
        <v>141</v>
      </c>
      <c r="E266" s="62">
        <f>E259</f>
        <v>0</v>
      </c>
      <c r="F266" s="62">
        <f>F259</f>
        <v>0</v>
      </c>
      <c r="G266" s="62">
        <f>G259</f>
        <v>0</v>
      </c>
      <c r="H266" s="62">
        <f t="shared" ref="H266:O266" si="81">H259+H262+H263+H264</f>
        <v>0</v>
      </c>
      <c r="I266" s="62">
        <f t="shared" si="81"/>
        <v>0</v>
      </c>
      <c r="J266" s="62">
        <f t="shared" si="81"/>
        <v>0</v>
      </c>
      <c r="K266" s="62">
        <f t="shared" si="81"/>
        <v>0</v>
      </c>
      <c r="L266" s="62">
        <f t="shared" si="81"/>
        <v>0</v>
      </c>
      <c r="M266" s="62">
        <f t="shared" si="81"/>
        <v>0</v>
      </c>
      <c r="N266" s="62">
        <f t="shared" si="81"/>
        <v>0</v>
      </c>
      <c r="O266" s="62">
        <f t="shared" si="81"/>
        <v>0</v>
      </c>
      <c r="Q266" s="35"/>
      <c r="S266" s="251"/>
      <c r="T266" s="251"/>
      <c r="U266" s="251"/>
    </row>
    <row r="267" spans="2:21" s="22" customFormat="1" x14ac:dyDescent="0.3">
      <c r="B267" s="35"/>
      <c r="C267" s="50" t="s">
        <v>308</v>
      </c>
      <c r="D267" s="43" t="s">
        <v>47</v>
      </c>
      <c r="E267" s="125" t="s">
        <v>92</v>
      </c>
      <c r="F267" s="126" t="e">
        <f t="shared" ref="F267:O267" si="82">F266/E266-1</f>
        <v>#DIV/0!</v>
      </c>
      <c r="G267" s="126" t="e">
        <f t="shared" si="82"/>
        <v>#DIV/0!</v>
      </c>
      <c r="H267" s="126" t="e">
        <f t="shared" si="82"/>
        <v>#DIV/0!</v>
      </c>
      <c r="I267" s="126" t="e">
        <f t="shared" si="82"/>
        <v>#DIV/0!</v>
      </c>
      <c r="J267" s="126" t="e">
        <f t="shared" si="82"/>
        <v>#DIV/0!</v>
      </c>
      <c r="K267" s="126" t="e">
        <f t="shared" si="82"/>
        <v>#DIV/0!</v>
      </c>
      <c r="L267" s="126" t="e">
        <f t="shared" si="82"/>
        <v>#DIV/0!</v>
      </c>
      <c r="M267" s="126" t="e">
        <f t="shared" si="82"/>
        <v>#DIV/0!</v>
      </c>
      <c r="N267" s="126" t="e">
        <f t="shared" si="82"/>
        <v>#DIV/0!</v>
      </c>
      <c r="O267" s="126" t="e">
        <f t="shared" si="82"/>
        <v>#DIV/0!</v>
      </c>
      <c r="Q267" s="35"/>
      <c r="S267" s="251"/>
      <c r="T267" s="251"/>
      <c r="U267" s="251"/>
    </row>
    <row r="268" spans="2:21" s="22" customFormat="1" x14ac:dyDescent="0.3">
      <c r="B268" s="35"/>
      <c r="C268" s="122"/>
      <c r="D268" s="123"/>
      <c r="E268" s="127"/>
      <c r="F268" s="128"/>
      <c r="G268" s="128"/>
      <c r="H268" s="128"/>
      <c r="I268" s="128"/>
      <c r="J268" s="128"/>
      <c r="K268" s="128"/>
      <c r="L268" s="128"/>
      <c r="M268" s="128"/>
      <c r="N268" s="128"/>
      <c r="O268" s="128"/>
      <c r="Q268" s="35"/>
      <c r="S268" s="251"/>
      <c r="T268" s="251"/>
      <c r="U268" s="251"/>
    </row>
    <row r="269" spans="2:21" s="22" customFormat="1" x14ac:dyDescent="0.3">
      <c r="B269" s="35"/>
      <c r="C269" s="89" t="s">
        <v>309</v>
      </c>
      <c r="D269" s="89"/>
      <c r="E269" s="111">
        <f>F269-1</f>
        <v>2022</v>
      </c>
      <c r="F269" s="111">
        <f>G269-1</f>
        <v>2023</v>
      </c>
      <c r="G269" s="112">
        <f>'Date generale'!$D$8</f>
        <v>2024</v>
      </c>
      <c r="H269" s="113">
        <f t="shared" ref="H269:O269" si="83">G269+1</f>
        <v>2025</v>
      </c>
      <c r="I269" s="113">
        <f t="shared" si="83"/>
        <v>2026</v>
      </c>
      <c r="J269" s="113">
        <f t="shared" si="83"/>
        <v>2027</v>
      </c>
      <c r="K269" s="113">
        <f t="shared" si="83"/>
        <v>2028</v>
      </c>
      <c r="L269" s="113">
        <f t="shared" si="83"/>
        <v>2029</v>
      </c>
      <c r="M269" s="113">
        <f t="shared" si="83"/>
        <v>2030</v>
      </c>
      <c r="N269" s="113">
        <f t="shared" si="83"/>
        <v>2031</v>
      </c>
      <c r="O269" s="113">
        <f t="shared" si="83"/>
        <v>2032</v>
      </c>
      <c r="Q269" s="35"/>
      <c r="S269" s="251"/>
      <c r="T269" s="251"/>
      <c r="U269" s="251"/>
    </row>
    <row r="270" spans="2:21" s="22" customFormat="1" x14ac:dyDescent="0.3">
      <c r="B270" s="35"/>
      <c r="C270" s="114"/>
      <c r="D270" s="114"/>
      <c r="E270" s="115">
        <f>F270-1</f>
        <v>-3</v>
      </c>
      <c r="F270" s="115">
        <f>G270-1</f>
        <v>-2</v>
      </c>
      <c r="G270" s="116">
        <v>-1</v>
      </c>
      <c r="H270" s="116">
        <v>0</v>
      </c>
      <c r="I270" s="116">
        <f t="shared" ref="I270:O270" si="84">H270+1</f>
        <v>1</v>
      </c>
      <c r="J270" s="116">
        <f t="shared" si="84"/>
        <v>2</v>
      </c>
      <c r="K270" s="116">
        <f t="shared" si="84"/>
        <v>3</v>
      </c>
      <c r="L270" s="116">
        <f t="shared" si="84"/>
        <v>4</v>
      </c>
      <c r="M270" s="116">
        <f t="shared" si="84"/>
        <v>5</v>
      </c>
      <c r="N270" s="116">
        <f t="shared" si="84"/>
        <v>6</v>
      </c>
      <c r="O270" s="116">
        <f t="shared" si="84"/>
        <v>7</v>
      </c>
      <c r="Q270" s="35"/>
      <c r="S270" s="251"/>
      <c r="T270" s="251"/>
      <c r="U270" s="251"/>
    </row>
    <row r="271" spans="2:21" s="22" customFormat="1" x14ac:dyDescent="0.3">
      <c r="B271" s="35"/>
      <c r="C271" s="122"/>
      <c r="D271" s="123"/>
      <c r="E271" s="127"/>
      <c r="F271" s="128"/>
      <c r="G271" s="128"/>
      <c r="H271" s="128"/>
      <c r="I271" s="128"/>
      <c r="J271" s="128"/>
      <c r="K271" s="128"/>
      <c r="L271" s="128"/>
      <c r="M271" s="128"/>
      <c r="N271" s="128"/>
      <c r="O271" s="128"/>
      <c r="Q271" s="35"/>
      <c r="S271" s="251"/>
      <c r="T271" s="251"/>
      <c r="U271" s="251"/>
    </row>
    <row r="272" spans="2:21" x14ac:dyDescent="0.3">
      <c r="B272" s="23"/>
      <c r="C272" s="66" t="s">
        <v>310</v>
      </c>
      <c r="D272" s="43" t="s">
        <v>141</v>
      </c>
      <c r="E272" s="88">
        <f>'Costuri operare'!E428</f>
        <v>0</v>
      </c>
      <c r="F272" s="88">
        <f>'Costuri operare'!F428</f>
        <v>0</v>
      </c>
      <c r="G272" s="88">
        <f>'Costuri operare'!G428</f>
        <v>0</v>
      </c>
      <c r="H272" s="88">
        <f t="shared" ref="H272:O272" si="85">H275*H283</f>
        <v>0</v>
      </c>
      <c r="I272" s="88">
        <f t="shared" si="85"/>
        <v>0</v>
      </c>
      <c r="J272" s="88">
        <f t="shared" si="85"/>
        <v>0</v>
      </c>
      <c r="K272" s="88">
        <f t="shared" si="85"/>
        <v>0</v>
      </c>
      <c r="L272" s="88">
        <f t="shared" si="85"/>
        <v>0</v>
      </c>
      <c r="M272" s="88">
        <f t="shared" si="85"/>
        <v>0</v>
      </c>
      <c r="N272" s="88">
        <f t="shared" si="85"/>
        <v>0</v>
      </c>
      <c r="O272" s="88">
        <f t="shared" si="85"/>
        <v>0</v>
      </c>
      <c r="Q272" s="35"/>
      <c r="S272" s="251"/>
      <c r="T272" s="251"/>
      <c r="U272" s="251"/>
    </row>
    <row r="273" spans="2:21" x14ac:dyDescent="0.3">
      <c r="B273" s="23"/>
      <c r="C273" s="50" t="s">
        <v>308</v>
      </c>
      <c r="D273" s="129" t="s">
        <v>47</v>
      </c>
      <c r="E273" s="125" t="s">
        <v>92</v>
      </c>
      <c r="F273" s="126" t="e">
        <f t="shared" ref="F273:O273" si="86">F272/E272-1</f>
        <v>#DIV/0!</v>
      </c>
      <c r="G273" s="126" t="e">
        <f t="shared" si="86"/>
        <v>#DIV/0!</v>
      </c>
      <c r="H273" s="126" t="e">
        <f t="shared" si="86"/>
        <v>#DIV/0!</v>
      </c>
      <c r="I273" s="126" t="e">
        <f t="shared" si="86"/>
        <v>#DIV/0!</v>
      </c>
      <c r="J273" s="126" t="e">
        <f t="shared" si="86"/>
        <v>#DIV/0!</v>
      </c>
      <c r="K273" s="126" t="e">
        <f t="shared" si="86"/>
        <v>#DIV/0!</v>
      </c>
      <c r="L273" s="126" t="e">
        <f t="shared" si="86"/>
        <v>#DIV/0!</v>
      </c>
      <c r="M273" s="126" t="e">
        <f t="shared" si="86"/>
        <v>#DIV/0!</v>
      </c>
      <c r="N273" s="126" t="e">
        <f t="shared" si="86"/>
        <v>#DIV/0!</v>
      </c>
      <c r="O273" s="126" t="e">
        <f t="shared" si="86"/>
        <v>#DIV/0!</v>
      </c>
      <c r="Q273" s="35"/>
      <c r="S273" s="251"/>
      <c r="T273" s="251"/>
      <c r="U273" s="251"/>
    </row>
    <row r="274" spans="2:21" x14ac:dyDescent="0.3">
      <c r="B274" s="23"/>
      <c r="C274" s="130"/>
      <c r="D274" s="129"/>
      <c r="E274" s="131"/>
      <c r="F274" s="131"/>
      <c r="G274" s="131"/>
      <c r="H274" s="131"/>
      <c r="I274" s="131"/>
      <c r="J274" s="131"/>
      <c r="K274" s="131"/>
      <c r="L274" s="131"/>
      <c r="M274" s="131"/>
      <c r="N274" s="131"/>
      <c r="O274" s="131"/>
      <c r="Q274" s="35"/>
      <c r="S274" s="251"/>
      <c r="T274" s="251"/>
      <c r="U274" s="251"/>
    </row>
    <row r="275" spans="2:21" s="22" customFormat="1" ht="43.2" x14ac:dyDescent="0.3">
      <c r="B275" s="35"/>
      <c r="C275" s="66" t="s">
        <v>311</v>
      </c>
      <c r="D275" s="43" t="s">
        <v>141</v>
      </c>
      <c r="E275" s="132">
        <v>0</v>
      </c>
      <c r="F275" s="132">
        <v>0</v>
      </c>
      <c r="G275" s="132">
        <v>0</v>
      </c>
      <c r="H275" s="133">
        <f t="shared" ref="H275:O275" si="87">SUM(H276:H281)</f>
        <v>0</v>
      </c>
      <c r="I275" s="133">
        <f t="shared" si="87"/>
        <v>0</v>
      </c>
      <c r="J275" s="133">
        <f t="shared" si="87"/>
        <v>0</v>
      </c>
      <c r="K275" s="133">
        <f t="shared" si="87"/>
        <v>0</v>
      </c>
      <c r="L275" s="133">
        <f t="shared" si="87"/>
        <v>0</v>
      </c>
      <c r="M275" s="133">
        <f t="shared" si="87"/>
        <v>0</v>
      </c>
      <c r="N275" s="133">
        <f t="shared" si="87"/>
        <v>0</v>
      </c>
      <c r="O275" s="133">
        <f t="shared" si="87"/>
        <v>0</v>
      </c>
      <c r="Q275" s="35"/>
      <c r="S275" s="251"/>
      <c r="T275" s="251"/>
      <c r="U275" s="251"/>
    </row>
    <row r="276" spans="2:21" s="22" customFormat="1" x14ac:dyDescent="0.3">
      <c r="B276" s="35"/>
      <c r="C276" s="48" t="s">
        <v>312</v>
      </c>
      <c r="D276" s="43" t="s">
        <v>141</v>
      </c>
      <c r="E276" s="132">
        <v>0</v>
      </c>
      <c r="F276" s="132">
        <v>0</v>
      </c>
      <c r="G276" s="132">
        <v>0</v>
      </c>
      <c r="H276" s="132">
        <v>0</v>
      </c>
      <c r="I276" s="132">
        <v>0</v>
      </c>
      <c r="J276" s="132">
        <v>0</v>
      </c>
      <c r="K276" s="132">
        <v>0</v>
      </c>
      <c r="L276" s="132">
        <v>0</v>
      </c>
      <c r="M276" s="132">
        <v>0</v>
      </c>
      <c r="N276" s="132">
        <v>0</v>
      </c>
      <c r="O276" s="132">
        <v>0</v>
      </c>
      <c r="Q276" s="35"/>
      <c r="S276" s="251"/>
      <c r="T276" s="251"/>
      <c r="U276" s="251"/>
    </row>
    <row r="277" spans="2:21" s="22" customFormat="1" x14ac:dyDescent="0.3">
      <c r="B277" s="35"/>
      <c r="C277" s="48" t="s">
        <v>313</v>
      </c>
      <c r="D277" s="43" t="s">
        <v>141</v>
      </c>
      <c r="E277" s="132">
        <v>0</v>
      </c>
      <c r="F277" s="132">
        <v>0</v>
      </c>
      <c r="G277" s="132">
        <v>0</v>
      </c>
      <c r="H277" s="132">
        <v>0</v>
      </c>
      <c r="I277" s="132">
        <v>0</v>
      </c>
      <c r="J277" s="132">
        <v>0</v>
      </c>
      <c r="K277" s="132">
        <v>0</v>
      </c>
      <c r="L277" s="132">
        <v>0</v>
      </c>
      <c r="M277" s="132">
        <v>0</v>
      </c>
      <c r="N277" s="132">
        <v>0</v>
      </c>
      <c r="O277" s="132">
        <v>0</v>
      </c>
      <c r="Q277" s="35"/>
      <c r="S277" s="251"/>
      <c r="T277" s="251"/>
      <c r="U277" s="251"/>
    </row>
    <row r="278" spans="2:21" s="22" customFormat="1" x14ac:dyDescent="0.3">
      <c r="B278" s="35"/>
      <c r="C278" s="48" t="s">
        <v>314</v>
      </c>
      <c r="D278" s="43" t="s">
        <v>141</v>
      </c>
      <c r="E278" s="132">
        <v>0</v>
      </c>
      <c r="F278" s="132">
        <v>0</v>
      </c>
      <c r="G278" s="132">
        <v>0</v>
      </c>
      <c r="H278" s="132">
        <v>0</v>
      </c>
      <c r="I278" s="132">
        <v>0</v>
      </c>
      <c r="J278" s="132">
        <v>0</v>
      </c>
      <c r="K278" s="132">
        <v>0</v>
      </c>
      <c r="L278" s="132">
        <v>0</v>
      </c>
      <c r="M278" s="132">
        <v>0</v>
      </c>
      <c r="N278" s="132">
        <v>0</v>
      </c>
      <c r="O278" s="132">
        <v>0</v>
      </c>
      <c r="Q278" s="35"/>
      <c r="S278" s="251"/>
      <c r="T278" s="251"/>
      <c r="U278" s="251"/>
    </row>
    <row r="279" spans="2:21" s="22" customFormat="1" ht="28.8" x14ac:dyDescent="0.3">
      <c r="B279" s="35"/>
      <c r="C279" s="48" t="s">
        <v>321</v>
      </c>
      <c r="D279" s="43" t="s">
        <v>141</v>
      </c>
      <c r="E279" s="132">
        <v>0</v>
      </c>
      <c r="F279" s="132">
        <v>0</v>
      </c>
      <c r="G279" s="132">
        <v>0</v>
      </c>
      <c r="H279" s="132">
        <v>0</v>
      </c>
      <c r="I279" s="132">
        <v>0</v>
      </c>
      <c r="J279" s="132">
        <v>0</v>
      </c>
      <c r="K279" s="132">
        <v>0</v>
      </c>
      <c r="L279" s="132">
        <v>0</v>
      </c>
      <c r="M279" s="132">
        <v>0</v>
      </c>
      <c r="N279" s="132">
        <v>0</v>
      </c>
      <c r="O279" s="132">
        <v>0</v>
      </c>
      <c r="Q279" s="35"/>
      <c r="S279" s="251"/>
      <c r="T279" s="251"/>
      <c r="U279" s="251"/>
    </row>
    <row r="280" spans="2:21" s="22" customFormat="1" ht="28.8" x14ac:dyDescent="0.3">
      <c r="B280" s="35"/>
      <c r="C280" s="48" t="s">
        <v>316</v>
      </c>
      <c r="D280" s="43" t="s">
        <v>141</v>
      </c>
      <c r="E280" s="88">
        <f>E275-SUM(E276:E279)</f>
        <v>0</v>
      </c>
      <c r="F280" s="88">
        <f>F275-SUM(F276:F279)</f>
        <v>0</v>
      </c>
      <c r="G280" s="88">
        <f>G275-SUM(G276:G279)</f>
        <v>0</v>
      </c>
      <c r="H280" s="87">
        <v>0</v>
      </c>
      <c r="I280" s="87">
        <v>0</v>
      </c>
      <c r="J280" s="87">
        <v>0</v>
      </c>
      <c r="K280" s="87">
        <v>0</v>
      </c>
      <c r="L280" s="87">
        <v>0</v>
      </c>
      <c r="M280" s="87">
        <v>0</v>
      </c>
      <c r="N280" s="87">
        <v>0</v>
      </c>
      <c r="O280" s="87">
        <v>0</v>
      </c>
      <c r="Q280" s="35"/>
      <c r="S280" s="251"/>
      <c r="T280" s="251"/>
      <c r="U280" s="251"/>
    </row>
    <row r="281" spans="2:21" s="22" customFormat="1" ht="43.2" x14ac:dyDescent="0.3">
      <c r="B281" s="35"/>
      <c r="C281" s="48" t="s">
        <v>317</v>
      </c>
      <c r="D281" s="43" t="s">
        <v>141</v>
      </c>
      <c r="E281" s="125" t="s">
        <v>92</v>
      </c>
      <c r="F281" s="125" t="s">
        <v>92</v>
      </c>
      <c r="G281" s="125" t="s">
        <v>92</v>
      </c>
      <c r="H281" s="87">
        <v>0</v>
      </c>
      <c r="I281" s="87">
        <v>0</v>
      </c>
      <c r="J281" s="87">
        <v>0</v>
      </c>
      <c r="K281" s="87">
        <v>0</v>
      </c>
      <c r="L281" s="87">
        <v>0</v>
      </c>
      <c r="M281" s="87">
        <v>0</v>
      </c>
      <c r="N281" s="87">
        <v>0</v>
      </c>
      <c r="O281" s="87">
        <v>0</v>
      </c>
      <c r="Q281" s="35"/>
      <c r="S281" s="251"/>
      <c r="T281" s="251"/>
      <c r="U281" s="251"/>
    </row>
    <row r="282" spans="2:21" s="22" customFormat="1" x14ac:dyDescent="0.3">
      <c r="B282" s="35"/>
      <c r="C282" s="122"/>
      <c r="D282" s="123"/>
      <c r="E282" s="127"/>
      <c r="F282" s="128"/>
      <c r="G282" s="128"/>
      <c r="H282" s="128"/>
      <c r="I282" s="128"/>
      <c r="J282" s="128"/>
      <c r="K282" s="128"/>
      <c r="L282" s="128"/>
      <c r="M282" s="128"/>
      <c r="N282" s="128"/>
      <c r="O282" s="128"/>
      <c r="Q282" s="35"/>
      <c r="S282" s="251"/>
      <c r="T282" s="251"/>
      <c r="U282" s="251"/>
    </row>
    <row r="283" spans="2:21" s="22" customFormat="1" ht="43.2" x14ac:dyDescent="0.3">
      <c r="B283" s="35"/>
      <c r="C283" s="66" t="s">
        <v>318</v>
      </c>
      <c r="D283" s="51" t="s">
        <v>47</v>
      </c>
      <c r="E283" s="134" t="e">
        <f>E272/E275</f>
        <v>#DIV/0!</v>
      </c>
      <c r="F283" s="134" t="e">
        <f>F272/F275</f>
        <v>#DIV/0!</v>
      </c>
      <c r="G283" s="134" t="e">
        <f>G272/G275</f>
        <v>#DIV/0!</v>
      </c>
      <c r="H283" s="135">
        <v>0</v>
      </c>
      <c r="I283" s="135">
        <v>0</v>
      </c>
      <c r="J283" s="135">
        <v>0</v>
      </c>
      <c r="K283" s="135">
        <v>0</v>
      </c>
      <c r="L283" s="135">
        <v>0</v>
      </c>
      <c r="M283" s="135">
        <v>0</v>
      </c>
      <c r="N283" s="135">
        <v>0</v>
      </c>
      <c r="O283" s="135">
        <v>0</v>
      </c>
      <c r="Q283" s="35"/>
      <c r="S283" s="251"/>
      <c r="T283" s="251"/>
      <c r="U283" s="251"/>
    </row>
    <row r="284" spans="2:21" s="22" customFormat="1" ht="75.599999999999994" customHeight="1" x14ac:dyDescent="0.3">
      <c r="B284" s="35"/>
      <c r="C284" s="122" t="s">
        <v>319</v>
      </c>
      <c r="D284" s="123"/>
      <c r="E284" s="127"/>
      <c r="F284" s="128"/>
      <c r="G284" s="128"/>
      <c r="H284" s="136" t="str">
        <f t="shared" ref="H284:O284" si="88">IF(H272&gt;G272,"OK","Redeventa propusa trebuie sa fie mai mare decat cea din anul anterior")</f>
        <v>Redeventa propusa trebuie sa fie mai mare decat cea din anul anterior</v>
      </c>
      <c r="I284" s="136" t="str">
        <f t="shared" si="88"/>
        <v>Redeventa propusa trebuie sa fie mai mare decat cea din anul anterior</v>
      </c>
      <c r="J284" s="136" t="str">
        <f t="shared" si="88"/>
        <v>Redeventa propusa trebuie sa fie mai mare decat cea din anul anterior</v>
      </c>
      <c r="K284" s="136" t="str">
        <f t="shared" si="88"/>
        <v>Redeventa propusa trebuie sa fie mai mare decat cea din anul anterior</v>
      </c>
      <c r="L284" s="136" t="str">
        <f t="shared" si="88"/>
        <v>Redeventa propusa trebuie sa fie mai mare decat cea din anul anterior</v>
      </c>
      <c r="M284" s="136" t="str">
        <f t="shared" si="88"/>
        <v>Redeventa propusa trebuie sa fie mai mare decat cea din anul anterior</v>
      </c>
      <c r="N284" s="136" t="str">
        <f t="shared" si="88"/>
        <v>Redeventa propusa trebuie sa fie mai mare decat cea din anul anterior</v>
      </c>
      <c r="O284" s="136" t="str">
        <f t="shared" si="88"/>
        <v>Redeventa propusa trebuie sa fie mai mare decat cea din anul anterior</v>
      </c>
      <c r="Q284" s="35"/>
      <c r="S284" s="251"/>
      <c r="T284" s="251"/>
      <c r="U284" s="251"/>
    </row>
    <row r="285" spans="2:21" ht="6.6" customHeight="1" x14ac:dyDescent="0.3">
      <c r="B285" s="35"/>
      <c r="C285" s="35"/>
      <c r="D285" s="35"/>
      <c r="E285" s="35"/>
      <c r="F285" s="35"/>
      <c r="G285" s="35"/>
      <c r="H285" s="35"/>
      <c r="I285" s="35"/>
      <c r="J285" s="35"/>
      <c r="K285" s="35"/>
      <c r="L285" s="35"/>
      <c r="M285" s="35"/>
      <c r="N285" s="35"/>
      <c r="O285" s="35"/>
      <c r="P285" s="35"/>
      <c r="Q285" s="35"/>
    </row>
    <row r="287" spans="2:21" ht="8.1" customHeight="1" x14ac:dyDescent="0.3">
      <c r="B287" s="23"/>
      <c r="C287" s="23"/>
      <c r="D287" s="23"/>
      <c r="E287" s="23"/>
      <c r="F287" s="23"/>
      <c r="G287" s="23"/>
      <c r="H287" s="23"/>
      <c r="I287" s="23"/>
      <c r="J287" s="23"/>
      <c r="K287" s="23"/>
      <c r="L287" s="23"/>
      <c r="M287" s="23"/>
      <c r="N287" s="23"/>
      <c r="O287" s="23"/>
      <c r="P287" s="23"/>
      <c r="Q287" s="23"/>
    </row>
    <row r="288" spans="2:21" x14ac:dyDescent="0.3">
      <c r="B288" s="23"/>
      <c r="C288" s="24" t="str">
        <f>'Costuri operare'!C473</f>
        <v>ACTIVITATEA DE CANALIZARE - CANALIZARE APE PLUVIALE</v>
      </c>
      <c r="Q288" s="23"/>
    </row>
    <row r="289" spans="2:21" ht="8.1" customHeight="1" x14ac:dyDescent="0.3">
      <c r="B289" s="23"/>
      <c r="C289" s="23"/>
      <c r="D289" s="23"/>
      <c r="E289" s="23"/>
      <c r="F289" s="23"/>
      <c r="G289" s="23"/>
      <c r="H289" s="23"/>
      <c r="I289" s="23"/>
      <c r="J289" s="23"/>
      <c r="K289" s="23"/>
      <c r="L289" s="23"/>
      <c r="M289" s="23"/>
      <c r="N289" s="23"/>
      <c r="O289" s="23"/>
      <c r="P289" s="23"/>
      <c r="Q289" s="23"/>
    </row>
    <row r="290" spans="2:21" x14ac:dyDescent="0.3">
      <c r="B290" s="23"/>
      <c r="Q290" s="23"/>
    </row>
    <row r="291" spans="2:21" s="22" customFormat="1" ht="29.1" customHeight="1" x14ac:dyDescent="0.3">
      <c r="B291" s="35"/>
      <c r="C291" s="89" t="s">
        <v>300</v>
      </c>
      <c r="D291" s="89"/>
      <c r="E291" s="111">
        <f>F291-1</f>
        <v>2022</v>
      </c>
      <c r="F291" s="111">
        <f>G291-1</f>
        <v>2023</v>
      </c>
      <c r="G291" s="112">
        <f>'Date generale'!$D$8</f>
        <v>2024</v>
      </c>
      <c r="H291" s="113">
        <f t="shared" ref="H291:O291" si="89">G291+1</f>
        <v>2025</v>
      </c>
      <c r="I291" s="113">
        <f t="shared" si="89"/>
        <v>2026</v>
      </c>
      <c r="J291" s="113">
        <f t="shared" si="89"/>
        <v>2027</v>
      </c>
      <c r="K291" s="113">
        <f t="shared" si="89"/>
        <v>2028</v>
      </c>
      <c r="L291" s="113">
        <f t="shared" si="89"/>
        <v>2029</v>
      </c>
      <c r="M291" s="113">
        <f t="shared" si="89"/>
        <v>2030</v>
      </c>
      <c r="N291" s="113">
        <f t="shared" si="89"/>
        <v>2031</v>
      </c>
      <c r="O291" s="113">
        <f t="shared" si="89"/>
        <v>2032</v>
      </c>
      <c r="Q291" s="35"/>
      <c r="S291" s="250" t="s">
        <v>301</v>
      </c>
      <c r="T291" s="250"/>
      <c r="U291" s="250"/>
    </row>
    <row r="292" spans="2:21" x14ac:dyDescent="0.3">
      <c r="B292" s="23"/>
      <c r="C292" s="114"/>
      <c r="D292" s="114"/>
      <c r="E292" s="115">
        <f>F292-1</f>
        <v>-3</v>
      </c>
      <c r="F292" s="115">
        <f>G292-1</f>
        <v>-2</v>
      </c>
      <c r="G292" s="116">
        <v>-1</v>
      </c>
      <c r="H292" s="116">
        <v>0</v>
      </c>
      <c r="I292" s="116">
        <f t="shared" ref="I292:O292" si="90">H292+1</f>
        <v>1</v>
      </c>
      <c r="J292" s="116">
        <f t="shared" si="90"/>
        <v>2</v>
      </c>
      <c r="K292" s="116">
        <f t="shared" si="90"/>
        <v>3</v>
      </c>
      <c r="L292" s="116">
        <f t="shared" si="90"/>
        <v>4</v>
      </c>
      <c r="M292" s="116">
        <f t="shared" si="90"/>
        <v>5</v>
      </c>
      <c r="N292" s="116">
        <f t="shared" si="90"/>
        <v>6</v>
      </c>
      <c r="O292" s="116">
        <f t="shared" si="90"/>
        <v>7</v>
      </c>
      <c r="Q292" s="35"/>
      <c r="S292" s="115" t="s">
        <v>302</v>
      </c>
      <c r="T292" s="115" t="s">
        <v>303</v>
      </c>
      <c r="U292" s="138" t="s">
        <v>304</v>
      </c>
    </row>
    <row r="293" spans="2:21" s="24" customFormat="1" x14ac:dyDescent="0.3">
      <c r="B293" s="61"/>
      <c r="C293" s="42"/>
      <c r="D293" s="51"/>
      <c r="E293" s="62"/>
      <c r="F293" s="62"/>
      <c r="G293" s="62"/>
      <c r="H293" s="62"/>
      <c r="I293" s="62"/>
      <c r="J293" s="62"/>
      <c r="K293" s="62"/>
      <c r="L293" s="62"/>
      <c r="M293" s="62"/>
      <c r="N293" s="62"/>
      <c r="O293" s="62"/>
      <c r="Q293" s="35"/>
      <c r="S293" s="251"/>
      <c r="T293" s="251"/>
      <c r="U293" s="251"/>
    </row>
    <row r="294" spans="2:21" x14ac:dyDescent="0.3">
      <c r="B294" s="23"/>
      <c r="C294" s="66" t="s">
        <v>305</v>
      </c>
      <c r="D294" s="43" t="s">
        <v>141</v>
      </c>
      <c r="E294" s="88">
        <f>'Costuri operare'!E481</f>
        <v>0</v>
      </c>
      <c r="F294" s="88">
        <f>'Costuri operare'!F481</f>
        <v>0</v>
      </c>
      <c r="G294" s="88">
        <f>'Costuri operare'!G481</f>
        <v>0</v>
      </c>
      <c r="H294" s="87">
        <f>G294</f>
        <v>0</v>
      </c>
      <c r="I294" s="87">
        <f t="shared" ref="I294:O294" si="91">H294</f>
        <v>0</v>
      </c>
      <c r="J294" s="87">
        <f t="shared" si="91"/>
        <v>0</v>
      </c>
      <c r="K294" s="87">
        <f t="shared" si="91"/>
        <v>0</v>
      </c>
      <c r="L294" s="87">
        <f t="shared" si="91"/>
        <v>0</v>
      </c>
      <c r="M294" s="87">
        <f t="shared" si="91"/>
        <v>0</v>
      </c>
      <c r="N294" s="87">
        <f t="shared" si="91"/>
        <v>0</v>
      </c>
      <c r="O294" s="87">
        <f t="shared" si="91"/>
        <v>0</v>
      </c>
      <c r="Q294" s="35"/>
      <c r="S294" s="251"/>
      <c r="T294" s="251"/>
      <c r="U294" s="251"/>
    </row>
    <row r="295" spans="2:21" s="22" customFormat="1" x14ac:dyDescent="0.3">
      <c r="B295" s="35"/>
      <c r="C295" s="50"/>
      <c r="D295" s="43"/>
      <c r="E295" s="88"/>
      <c r="F295" s="88"/>
      <c r="G295" s="88"/>
      <c r="H295" s="88"/>
      <c r="I295" s="88"/>
      <c r="J295" s="88"/>
      <c r="K295" s="88"/>
      <c r="L295" s="88"/>
      <c r="M295" s="88"/>
      <c r="N295" s="88"/>
      <c r="O295" s="88"/>
      <c r="Q295" s="35"/>
      <c r="S295" s="251"/>
      <c r="T295" s="251"/>
      <c r="U295" s="251"/>
    </row>
    <row r="296" spans="2:21" s="22" customFormat="1" x14ac:dyDescent="0.3">
      <c r="B296" s="35"/>
      <c r="C296" s="66" t="s">
        <v>306</v>
      </c>
      <c r="D296" s="43"/>
      <c r="E296" s="88"/>
      <c r="F296" s="88"/>
      <c r="G296" s="88"/>
      <c r="H296" s="88"/>
      <c r="I296" s="88"/>
      <c r="J296" s="88"/>
      <c r="K296" s="88"/>
      <c r="L296" s="88"/>
      <c r="M296" s="88"/>
      <c r="N296" s="88"/>
      <c r="O296" s="88"/>
      <c r="Q296" s="35"/>
      <c r="S296" s="251"/>
      <c r="T296" s="251"/>
      <c r="U296" s="251"/>
    </row>
    <row r="297" spans="2:21" s="22" customFormat="1" x14ac:dyDescent="0.3">
      <c r="B297" s="35"/>
      <c r="C297" s="50" t="s">
        <v>264</v>
      </c>
      <c r="D297" s="43" t="s">
        <v>141</v>
      </c>
      <c r="E297" s="88"/>
      <c r="F297" s="88"/>
      <c r="G297" s="88"/>
      <c r="H297" s="87">
        <v>0</v>
      </c>
      <c r="I297" s="87">
        <v>0</v>
      </c>
      <c r="J297" s="87">
        <v>0</v>
      </c>
      <c r="K297" s="87">
        <v>0</v>
      </c>
      <c r="L297" s="87">
        <v>0</v>
      </c>
      <c r="M297" s="87">
        <v>0</v>
      </c>
      <c r="N297" s="87">
        <v>0</v>
      </c>
      <c r="O297" s="87">
        <v>0</v>
      </c>
      <c r="Q297" s="35"/>
      <c r="S297" s="251"/>
      <c r="T297" s="251"/>
      <c r="U297" s="251"/>
    </row>
    <row r="298" spans="2:21" s="22" customFormat="1" x14ac:dyDescent="0.3">
      <c r="B298" s="35"/>
      <c r="C298" s="50" t="s">
        <v>266</v>
      </c>
      <c r="D298" s="43" t="s">
        <v>141</v>
      </c>
      <c r="E298" s="88"/>
      <c r="F298" s="88"/>
      <c r="G298" s="88"/>
      <c r="H298" s="87">
        <v>0</v>
      </c>
      <c r="I298" s="87">
        <v>0</v>
      </c>
      <c r="J298" s="87">
        <v>0</v>
      </c>
      <c r="K298" s="87">
        <v>0</v>
      </c>
      <c r="L298" s="87">
        <v>0</v>
      </c>
      <c r="M298" s="87">
        <v>0</v>
      </c>
      <c r="N298" s="87">
        <v>0</v>
      </c>
      <c r="O298" s="87">
        <v>0</v>
      </c>
      <c r="Q298" s="35"/>
      <c r="S298" s="251"/>
      <c r="T298" s="251"/>
      <c r="U298" s="251"/>
    </row>
    <row r="299" spans="2:21" s="22" customFormat="1" x14ac:dyDescent="0.3">
      <c r="B299" s="35"/>
      <c r="C299" s="50" t="s">
        <v>267</v>
      </c>
      <c r="D299" s="43" t="s">
        <v>141</v>
      </c>
      <c r="E299" s="88"/>
      <c r="F299" s="88"/>
      <c r="G299" s="88"/>
      <c r="H299" s="87">
        <v>0</v>
      </c>
      <c r="I299" s="87">
        <v>0</v>
      </c>
      <c r="J299" s="87">
        <v>0</v>
      </c>
      <c r="K299" s="87">
        <v>0</v>
      </c>
      <c r="L299" s="87">
        <v>0</v>
      </c>
      <c r="M299" s="87">
        <v>0</v>
      </c>
      <c r="N299" s="87">
        <v>0</v>
      </c>
      <c r="O299" s="87">
        <v>0</v>
      </c>
      <c r="Q299" s="35"/>
      <c r="S299" s="251"/>
      <c r="T299" s="251"/>
      <c r="U299" s="251"/>
    </row>
    <row r="300" spans="2:21" s="22" customFormat="1" x14ac:dyDescent="0.3">
      <c r="B300" s="35"/>
      <c r="C300" s="122"/>
      <c r="D300" s="123"/>
      <c r="E300" s="124"/>
      <c r="F300" s="124"/>
      <c r="G300" s="124"/>
      <c r="H300" s="124"/>
      <c r="I300" s="124"/>
      <c r="J300" s="124"/>
      <c r="K300" s="124"/>
      <c r="L300" s="124"/>
      <c r="M300" s="124"/>
      <c r="N300" s="124"/>
      <c r="O300" s="124"/>
      <c r="Q300" s="35"/>
      <c r="S300" s="251"/>
      <c r="T300" s="251"/>
      <c r="U300" s="251"/>
    </row>
    <row r="301" spans="2:21" s="22" customFormat="1" x14ac:dyDescent="0.3">
      <c r="B301" s="35"/>
      <c r="C301" s="66" t="s">
        <v>307</v>
      </c>
      <c r="D301" s="51" t="s">
        <v>141</v>
      </c>
      <c r="E301" s="62">
        <f>E294</f>
        <v>0</v>
      </c>
      <c r="F301" s="62">
        <f>F294</f>
        <v>0</v>
      </c>
      <c r="G301" s="62">
        <f>G294</f>
        <v>0</v>
      </c>
      <c r="H301" s="62">
        <f t="shared" ref="H301:O301" si="92">H294+H297+H298+H299</f>
        <v>0</v>
      </c>
      <c r="I301" s="62">
        <f t="shared" si="92"/>
        <v>0</v>
      </c>
      <c r="J301" s="62">
        <f t="shared" si="92"/>
        <v>0</v>
      </c>
      <c r="K301" s="62">
        <f t="shared" si="92"/>
        <v>0</v>
      </c>
      <c r="L301" s="62">
        <f t="shared" si="92"/>
        <v>0</v>
      </c>
      <c r="M301" s="62">
        <f t="shared" si="92"/>
        <v>0</v>
      </c>
      <c r="N301" s="62">
        <f t="shared" si="92"/>
        <v>0</v>
      </c>
      <c r="O301" s="62">
        <f t="shared" si="92"/>
        <v>0</v>
      </c>
      <c r="Q301" s="35"/>
      <c r="S301" s="251"/>
      <c r="T301" s="251"/>
      <c r="U301" s="251"/>
    </row>
    <row r="302" spans="2:21" s="22" customFormat="1" x14ac:dyDescent="0.3">
      <c r="B302" s="35"/>
      <c r="C302" s="50" t="s">
        <v>308</v>
      </c>
      <c r="D302" s="43" t="s">
        <v>47</v>
      </c>
      <c r="E302" s="125" t="s">
        <v>92</v>
      </c>
      <c r="F302" s="126" t="e">
        <f t="shared" ref="F302:O302" si="93">F301/E301-1</f>
        <v>#DIV/0!</v>
      </c>
      <c r="G302" s="126" t="e">
        <f t="shared" si="93"/>
        <v>#DIV/0!</v>
      </c>
      <c r="H302" s="126" t="e">
        <f t="shared" si="93"/>
        <v>#DIV/0!</v>
      </c>
      <c r="I302" s="126" t="e">
        <f t="shared" si="93"/>
        <v>#DIV/0!</v>
      </c>
      <c r="J302" s="126" t="e">
        <f t="shared" si="93"/>
        <v>#DIV/0!</v>
      </c>
      <c r="K302" s="126" t="e">
        <f t="shared" si="93"/>
        <v>#DIV/0!</v>
      </c>
      <c r="L302" s="126" t="e">
        <f t="shared" si="93"/>
        <v>#DIV/0!</v>
      </c>
      <c r="M302" s="126" t="e">
        <f t="shared" si="93"/>
        <v>#DIV/0!</v>
      </c>
      <c r="N302" s="126" t="e">
        <f t="shared" si="93"/>
        <v>#DIV/0!</v>
      </c>
      <c r="O302" s="126" t="e">
        <f t="shared" si="93"/>
        <v>#DIV/0!</v>
      </c>
      <c r="Q302" s="35"/>
      <c r="S302" s="251"/>
      <c r="T302" s="251"/>
      <c r="U302" s="251"/>
    </row>
    <row r="303" spans="2:21" s="22" customFormat="1" x14ac:dyDescent="0.3">
      <c r="B303" s="35"/>
      <c r="C303" s="122"/>
      <c r="D303" s="123"/>
      <c r="E303" s="127"/>
      <c r="F303" s="128"/>
      <c r="G303" s="128"/>
      <c r="H303" s="128"/>
      <c r="I303" s="128"/>
      <c r="J303" s="128"/>
      <c r="K303" s="128"/>
      <c r="L303" s="128"/>
      <c r="M303" s="128"/>
      <c r="N303" s="128"/>
      <c r="O303" s="128"/>
      <c r="Q303" s="35"/>
      <c r="S303" s="251"/>
      <c r="T303" s="251"/>
      <c r="U303" s="251"/>
    </row>
    <row r="304" spans="2:21" s="22" customFormat="1" x14ac:dyDescent="0.3">
      <c r="B304" s="35"/>
      <c r="C304" s="89" t="s">
        <v>309</v>
      </c>
      <c r="D304" s="89"/>
      <c r="E304" s="111">
        <f>F304-1</f>
        <v>2022</v>
      </c>
      <c r="F304" s="111">
        <f>G304-1</f>
        <v>2023</v>
      </c>
      <c r="G304" s="112">
        <f>'Date generale'!$D$8</f>
        <v>2024</v>
      </c>
      <c r="H304" s="113">
        <f t="shared" ref="H304:O304" si="94">G304+1</f>
        <v>2025</v>
      </c>
      <c r="I304" s="113">
        <f t="shared" si="94"/>
        <v>2026</v>
      </c>
      <c r="J304" s="113">
        <f t="shared" si="94"/>
        <v>2027</v>
      </c>
      <c r="K304" s="113">
        <f t="shared" si="94"/>
        <v>2028</v>
      </c>
      <c r="L304" s="113">
        <f t="shared" si="94"/>
        <v>2029</v>
      </c>
      <c r="M304" s="113">
        <f t="shared" si="94"/>
        <v>2030</v>
      </c>
      <c r="N304" s="113">
        <f t="shared" si="94"/>
        <v>2031</v>
      </c>
      <c r="O304" s="113">
        <f t="shared" si="94"/>
        <v>2032</v>
      </c>
      <c r="Q304" s="35"/>
      <c r="S304" s="251"/>
      <c r="T304" s="251"/>
      <c r="U304" s="251"/>
    </row>
    <row r="305" spans="2:21" s="22" customFormat="1" x14ac:dyDescent="0.3">
      <c r="B305" s="35"/>
      <c r="C305" s="114"/>
      <c r="D305" s="114"/>
      <c r="E305" s="115">
        <f>F305-1</f>
        <v>-3</v>
      </c>
      <c r="F305" s="115">
        <f>G305-1</f>
        <v>-2</v>
      </c>
      <c r="G305" s="116">
        <v>-1</v>
      </c>
      <c r="H305" s="116">
        <v>0</v>
      </c>
      <c r="I305" s="116">
        <f t="shared" ref="I305:O305" si="95">H305+1</f>
        <v>1</v>
      </c>
      <c r="J305" s="116">
        <f t="shared" si="95"/>
        <v>2</v>
      </c>
      <c r="K305" s="116">
        <f t="shared" si="95"/>
        <v>3</v>
      </c>
      <c r="L305" s="116">
        <f t="shared" si="95"/>
        <v>4</v>
      </c>
      <c r="M305" s="116">
        <f t="shared" si="95"/>
        <v>5</v>
      </c>
      <c r="N305" s="116">
        <f t="shared" si="95"/>
        <v>6</v>
      </c>
      <c r="O305" s="116">
        <f t="shared" si="95"/>
        <v>7</v>
      </c>
      <c r="Q305" s="35"/>
      <c r="S305" s="251"/>
      <c r="T305" s="251"/>
      <c r="U305" s="251"/>
    </row>
    <row r="306" spans="2:21" s="22" customFormat="1" x14ac:dyDescent="0.3">
      <c r="B306" s="35"/>
      <c r="C306" s="122"/>
      <c r="D306" s="123"/>
      <c r="E306" s="127"/>
      <c r="F306" s="128"/>
      <c r="G306" s="128"/>
      <c r="H306" s="128"/>
      <c r="I306" s="128"/>
      <c r="J306" s="128"/>
      <c r="K306" s="128"/>
      <c r="L306" s="128"/>
      <c r="M306" s="128"/>
      <c r="N306" s="128"/>
      <c r="O306" s="128"/>
      <c r="Q306" s="35"/>
      <c r="S306" s="251"/>
      <c r="T306" s="251"/>
      <c r="U306" s="251"/>
    </row>
    <row r="307" spans="2:21" x14ac:dyDescent="0.3">
      <c r="B307" s="23"/>
      <c r="C307" s="66" t="s">
        <v>310</v>
      </c>
      <c r="D307" s="43" t="s">
        <v>141</v>
      </c>
      <c r="E307" s="88">
        <f>'Costuri operare'!E482</f>
        <v>0</v>
      </c>
      <c r="F307" s="88">
        <f>'Costuri operare'!F482</f>
        <v>0</v>
      </c>
      <c r="G307" s="88">
        <f>'Costuri operare'!G482</f>
        <v>0</v>
      </c>
      <c r="H307" s="88">
        <f t="shared" ref="H307:O307" si="96">H310*H318</f>
        <v>0</v>
      </c>
      <c r="I307" s="88">
        <f t="shared" si="96"/>
        <v>0</v>
      </c>
      <c r="J307" s="88">
        <f t="shared" si="96"/>
        <v>0</v>
      </c>
      <c r="K307" s="88">
        <f t="shared" si="96"/>
        <v>0</v>
      </c>
      <c r="L307" s="88">
        <f t="shared" si="96"/>
        <v>0</v>
      </c>
      <c r="M307" s="88">
        <f t="shared" si="96"/>
        <v>0</v>
      </c>
      <c r="N307" s="88">
        <f t="shared" si="96"/>
        <v>0</v>
      </c>
      <c r="O307" s="88">
        <f t="shared" si="96"/>
        <v>0</v>
      </c>
      <c r="Q307" s="35"/>
      <c r="S307" s="251"/>
      <c r="T307" s="251"/>
      <c r="U307" s="251"/>
    </row>
    <row r="308" spans="2:21" x14ac:dyDescent="0.3">
      <c r="B308" s="23"/>
      <c r="C308" s="50" t="s">
        <v>308</v>
      </c>
      <c r="D308" s="129" t="s">
        <v>47</v>
      </c>
      <c r="E308" s="125" t="s">
        <v>92</v>
      </c>
      <c r="F308" s="126" t="e">
        <f t="shared" ref="F308:O308" si="97">F307/E307-1</f>
        <v>#DIV/0!</v>
      </c>
      <c r="G308" s="126" t="e">
        <f t="shared" si="97"/>
        <v>#DIV/0!</v>
      </c>
      <c r="H308" s="126" t="e">
        <f t="shared" si="97"/>
        <v>#DIV/0!</v>
      </c>
      <c r="I308" s="126" t="e">
        <f t="shared" si="97"/>
        <v>#DIV/0!</v>
      </c>
      <c r="J308" s="126" t="e">
        <f t="shared" si="97"/>
        <v>#DIV/0!</v>
      </c>
      <c r="K308" s="126" t="e">
        <f t="shared" si="97"/>
        <v>#DIV/0!</v>
      </c>
      <c r="L308" s="126" t="e">
        <f t="shared" si="97"/>
        <v>#DIV/0!</v>
      </c>
      <c r="M308" s="126" t="e">
        <f t="shared" si="97"/>
        <v>#DIV/0!</v>
      </c>
      <c r="N308" s="126" t="e">
        <f t="shared" si="97"/>
        <v>#DIV/0!</v>
      </c>
      <c r="O308" s="126" t="e">
        <f t="shared" si="97"/>
        <v>#DIV/0!</v>
      </c>
      <c r="Q308" s="35"/>
      <c r="S308" s="251"/>
      <c r="T308" s="251"/>
      <c r="U308" s="251"/>
    </row>
    <row r="309" spans="2:21" x14ac:dyDescent="0.3">
      <c r="B309" s="23"/>
      <c r="C309" s="130"/>
      <c r="D309" s="129"/>
      <c r="E309" s="131"/>
      <c r="F309" s="131"/>
      <c r="G309" s="131"/>
      <c r="H309" s="131"/>
      <c r="I309" s="131"/>
      <c r="J309" s="131"/>
      <c r="K309" s="131"/>
      <c r="L309" s="131"/>
      <c r="M309" s="131"/>
      <c r="N309" s="131"/>
      <c r="O309" s="131"/>
      <c r="Q309" s="35"/>
      <c r="S309" s="251"/>
      <c r="T309" s="251"/>
      <c r="U309" s="251"/>
    </row>
    <row r="310" spans="2:21" s="22" customFormat="1" ht="43.2" x14ac:dyDescent="0.3">
      <c r="B310" s="35"/>
      <c r="C310" s="66" t="s">
        <v>311</v>
      </c>
      <c r="D310" s="43" t="s">
        <v>141</v>
      </c>
      <c r="E310" s="132">
        <v>0</v>
      </c>
      <c r="F310" s="132">
        <v>0</v>
      </c>
      <c r="G310" s="132">
        <v>0</v>
      </c>
      <c r="H310" s="133">
        <f t="shared" ref="H310:O310" si="98">SUM(H311:H316)</f>
        <v>0</v>
      </c>
      <c r="I310" s="133">
        <f t="shared" si="98"/>
        <v>0</v>
      </c>
      <c r="J310" s="133">
        <f t="shared" si="98"/>
        <v>0</v>
      </c>
      <c r="K310" s="133">
        <f t="shared" si="98"/>
        <v>0</v>
      </c>
      <c r="L310" s="133">
        <f t="shared" si="98"/>
        <v>0</v>
      </c>
      <c r="M310" s="133">
        <f t="shared" si="98"/>
        <v>0</v>
      </c>
      <c r="N310" s="133">
        <f t="shared" si="98"/>
        <v>0</v>
      </c>
      <c r="O310" s="133">
        <f t="shared" si="98"/>
        <v>0</v>
      </c>
      <c r="Q310" s="35"/>
      <c r="S310" s="251"/>
      <c r="T310" s="251"/>
      <c r="U310" s="251"/>
    </row>
    <row r="311" spans="2:21" s="22" customFormat="1" x14ac:dyDescent="0.3">
      <c r="B311" s="35"/>
      <c r="C311" s="48" t="s">
        <v>312</v>
      </c>
      <c r="D311" s="43" t="s">
        <v>141</v>
      </c>
      <c r="E311" s="132">
        <v>0</v>
      </c>
      <c r="F311" s="132">
        <v>0</v>
      </c>
      <c r="G311" s="132">
        <v>0</v>
      </c>
      <c r="H311" s="132">
        <v>0</v>
      </c>
      <c r="I311" s="132">
        <v>0</v>
      </c>
      <c r="J311" s="132">
        <v>0</v>
      </c>
      <c r="K311" s="132">
        <v>0</v>
      </c>
      <c r="L311" s="132">
        <v>0</v>
      </c>
      <c r="M311" s="132">
        <v>0</v>
      </c>
      <c r="N311" s="132">
        <v>0</v>
      </c>
      <c r="O311" s="132">
        <v>0</v>
      </c>
      <c r="Q311" s="35"/>
      <c r="S311" s="251"/>
      <c r="T311" s="251"/>
      <c r="U311" s="251"/>
    </row>
    <row r="312" spans="2:21" s="22" customFormat="1" x14ac:dyDescent="0.3">
      <c r="B312" s="35"/>
      <c r="C312" s="48" t="s">
        <v>313</v>
      </c>
      <c r="D312" s="43" t="s">
        <v>141</v>
      </c>
      <c r="E312" s="132">
        <v>0</v>
      </c>
      <c r="F312" s="132">
        <v>0</v>
      </c>
      <c r="G312" s="132">
        <v>0</v>
      </c>
      <c r="H312" s="132">
        <v>0</v>
      </c>
      <c r="I312" s="132">
        <v>0</v>
      </c>
      <c r="J312" s="132">
        <v>0</v>
      </c>
      <c r="K312" s="132">
        <v>0</v>
      </c>
      <c r="L312" s="132">
        <v>0</v>
      </c>
      <c r="M312" s="132">
        <v>0</v>
      </c>
      <c r="N312" s="132">
        <v>0</v>
      </c>
      <c r="O312" s="132">
        <v>0</v>
      </c>
      <c r="Q312" s="35"/>
      <c r="S312" s="251"/>
      <c r="T312" s="251"/>
      <c r="U312" s="251"/>
    </row>
    <row r="313" spans="2:21" s="22" customFormat="1" x14ac:dyDescent="0.3">
      <c r="B313" s="35"/>
      <c r="C313" s="48" t="s">
        <v>314</v>
      </c>
      <c r="D313" s="43" t="s">
        <v>141</v>
      </c>
      <c r="E313" s="132">
        <v>0</v>
      </c>
      <c r="F313" s="132">
        <v>0</v>
      </c>
      <c r="G313" s="132">
        <v>0</v>
      </c>
      <c r="H313" s="132">
        <v>0</v>
      </c>
      <c r="I313" s="132">
        <v>0</v>
      </c>
      <c r="J313" s="132">
        <v>0</v>
      </c>
      <c r="K313" s="132">
        <v>0</v>
      </c>
      <c r="L313" s="132">
        <v>0</v>
      </c>
      <c r="M313" s="132">
        <v>0</v>
      </c>
      <c r="N313" s="132">
        <v>0</v>
      </c>
      <c r="O313" s="132">
        <v>0</v>
      </c>
      <c r="Q313" s="35"/>
      <c r="S313" s="251"/>
      <c r="T313" s="251"/>
      <c r="U313" s="251"/>
    </row>
    <row r="314" spans="2:21" s="22" customFormat="1" ht="28.8" x14ac:dyDescent="0.3">
      <c r="B314" s="35"/>
      <c r="C314" s="48" t="s">
        <v>321</v>
      </c>
      <c r="D314" s="43" t="s">
        <v>141</v>
      </c>
      <c r="E314" s="132">
        <v>0</v>
      </c>
      <c r="F314" s="132">
        <v>0</v>
      </c>
      <c r="G314" s="132">
        <v>0</v>
      </c>
      <c r="H314" s="132">
        <v>0</v>
      </c>
      <c r="I314" s="132">
        <v>0</v>
      </c>
      <c r="J314" s="132">
        <v>0</v>
      </c>
      <c r="K314" s="132">
        <v>0</v>
      </c>
      <c r="L314" s="132">
        <v>0</v>
      </c>
      <c r="M314" s="132">
        <v>0</v>
      </c>
      <c r="N314" s="132">
        <v>0</v>
      </c>
      <c r="O314" s="132">
        <v>0</v>
      </c>
      <c r="Q314" s="35"/>
      <c r="S314" s="251"/>
      <c r="T314" s="251"/>
      <c r="U314" s="251"/>
    </row>
    <row r="315" spans="2:21" s="22" customFormat="1" ht="28.8" x14ac:dyDescent="0.3">
      <c r="B315" s="35"/>
      <c r="C315" s="48" t="s">
        <v>316</v>
      </c>
      <c r="D315" s="43" t="s">
        <v>141</v>
      </c>
      <c r="E315" s="88">
        <f>E310-SUM(E311:E314)</f>
        <v>0</v>
      </c>
      <c r="F315" s="88">
        <f>F310-SUM(F311:F314)</f>
        <v>0</v>
      </c>
      <c r="G315" s="88">
        <f>G310-SUM(G311:G314)</f>
        <v>0</v>
      </c>
      <c r="H315" s="132">
        <v>0</v>
      </c>
      <c r="I315" s="132">
        <v>0</v>
      </c>
      <c r="J315" s="132">
        <v>0</v>
      </c>
      <c r="K315" s="132">
        <v>0</v>
      </c>
      <c r="L315" s="132">
        <v>0</v>
      </c>
      <c r="M315" s="132">
        <v>0</v>
      </c>
      <c r="N315" s="132">
        <v>0</v>
      </c>
      <c r="O315" s="132">
        <v>0</v>
      </c>
      <c r="Q315" s="35"/>
      <c r="S315" s="251"/>
      <c r="T315" s="251"/>
      <c r="U315" s="251"/>
    </row>
    <row r="316" spans="2:21" s="22" customFormat="1" ht="43.2" x14ac:dyDescent="0.3">
      <c r="B316" s="35"/>
      <c r="C316" s="48" t="s">
        <v>317</v>
      </c>
      <c r="D316" s="43" t="s">
        <v>141</v>
      </c>
      <c r="E316" s="125" t="s">
        <v>92</v>
      </c>
      <c r="F316" s="125" t="s">
        <v>92</v>
      </c>
      <c r="G316" s="125" t="s">
        <v>92</v>
      </c>
      <c r="H316" s="132">
        <v>0</v>
      </c>
      <c r="I316" s="132">
        <v>0</v>
      </c>
      <c r="J316" s="132">
        <v>0</v>
      </c>
      <c r="K316" s="132">
        <v>0</v>
      </c>
      <c r="L316" s="132">
        <v>0</v>
      </c>
      <c r="M316" s="132">
        <v>0</v>
      </c>
      <c r="N316" s="132">
        <v>0</v>
      </c>
      <c r="O316" s="132">
        <v>0</v>
      </c>
      <c r="Q316" s="35"/>
      <c r="S316" s="251"/>
      <c r="T316" s="251"/>
      <c r="U316" s="251"/>
    </row>
    <row r="317" spans="2:21" s="22" customFormat="1" x14ac:dyDescent="0.3">
      <c r="B317" s="35"/>
      <c r="C317" s="122"/>
      <c r="D317" s="123"/>
      <c r="E317" s="127"/>
      <c r="F317" s="128"/>
      <c r="G317" s="128"/>
      <c r="H317" s="128"/>
      <c r="I317" s="128"/>
      <c r="J317" s="128"/>
      <c r="K317" s="128"/>
      <c r="L317" s="128"/>
      <c r="M317" s="128"/>
      <c r="N317" s="128"/>
      <c r="O317" s="128"/>
      <c r="Q317" s="35"/>
      <c r="S317" s="251"/>
      <c r="T317" s="251"/>
      <c r="U317" s="251"/>
    </row>
    <row r="318" spans="2:21" s="22" customFormat="1" ht="43.2" x14ac:dyDescent="0.3">
      <c r="B318" s="35"/>
      <c r="C318" s="66" t="s">
        <v>318</v>
      </c>
      <c r="D318" s="51" t="s">
        <v>47</v>
      </c>
      <c r="E318" s="134" t="e">
        <f>E307/E310</f>
        <v>#DIV/0!</v>
      </c>
      <c r="F318" s="134" t="e">
        <f>F307/F310</f>
        <v>#DIV/0!</v>
      </c>
      <c r="G318" s="134" t="e">
        <f>G307/G310</f>
        <v>#DIV/0!</v>
      </c>
      <c r="H318" s="135">
        <v>0</v>
      </c>
      <c r="I318" s="135">
        <v>0</v>
      </c>
      <c r="J318" s="135">
        <v>0</v>
      </c>
      <c r="K318" s="135">
        <v>0</v>
      </c>
      <c r="L318" s="135">
        <v>0</v>
      </c>
      <c r="M318" s="135">
        <v>0</v>
      </c>
      <c r="N318" s="135">
        <v>0</v>
      </c>
      <c r="O318" s="135">
        <v>0</v>
      </c>
      <c r="Q318" s="35"/>
      <c r="S318" s="251"/>
      <c r="T318" s="251"/>
      <c r="U318" s="251"/>
    </row>
    <row r="319" spans="2:21" s="22" customFormat="1" ht="75.599999999999994" customHeight="1" x14ac:dyDescent="0.3">
      <c r="B319" s="35"/>
      <c r="C319" s="122" t="s">
        <v>319</v>
      </c>
      <c r="D319" s="123"/>
      <c r="E319" s="127"/>
      <c r="F319" s="128"/>
      <c r="G319" s="128"/>
      <c r="H319" s="136" t="str">
        <f t="shared" ref="H319:O319" si="99">IF(H307&gt;G307,"OK","Redeventa propusa trebuie sa fie mai mare decat cea din anul anterior")</f>
        <v>Redeventa propusa trebuie sa fie mai mare decat cea din anul anterior</v>
      </c>
      <c r="I319" s="136" t="str">
        <f t="shared" si="99"/>
        <v>Redeventa propusa trebuie sa fie mai mare decat cea din anul anterior</v>
      </c>
      <c r="J319" s="136" t="str">
        <f t="shared" si="99"/>
        <v>Redeventa propusa trebuie sa fie mai mare decat cea din anul anterior</v>
      </c>
      <c r="K319" s="136" t="str">
        <f t="shared" si="99"/>
        <v>Redeventa propusa trebuie sa fie mai mare decat cea din anul anterior</v>
      </c>
      <c r="L319" s="136" t="str">
        <f t="shared" si="99"/>
        <v>Redeventa propusa trebuie sa fie mai mare decat cea din anul anterior</v>
      </c>
      <c r="M319" s="136" t="str">
        <f t="shared" si="99"/>
        <v>Redeventa propusa trebuie sa fie mai mare decat cea din anul anterior</v>
      </c>
      <c r="N319" s="136" t="str">
        <f t="shared" si="99"/>
        <v>Redeventa propusa trebuie sa fie mai mare decat cea din anul anterior</v>
      </c>
      <c r="O319" s="136" t="str">
        <f t="shared" si="99"/>
        <v>Redeventa propusa trebuie sa fie mai mare decat cea din anul anterior</v>
      </c>
      <c r="Q319" s="35"/>
      <c r="S319" s="251"/>
      <c r="T319" s="251"/>
      <c r="U319" s="251"/>
    </row>
    <row r="320" spans="2:21" ht="6.6" customHeight="1" x14ac:dyDescent="0.3">
      <c r="B320" s="35"/>
      <c r="C320" s="35"/>
      <c r="D320" s="35"/>
      <c r="E320" s="35"/>
      <c r="F320" s="35"/>
      <c r="G320" s="35"/>
      <c r="H320" s="35"/>
      <c r="I320" s="35"/>
      <c r="J320" s="35"/>
      <c r="K320" s="35"/>
      <c r="L320" s="35"/>
      <c r="M320" s="35"/>
      <c r="N320" s="35"/>
      <c r="O320" s="35"/>
      <c r="P320" s="35"/>
      <c r="Q320" s="35"/>
    </row>
  </sheetData>
  <mergeCells count="37">
    <mergeCell ref="C3:D4"/>
    <mergeCell ref="T293:T319"/>
    <mergeCell ref="U13:U39"/>
    <mergeCell ref="U48:U74"/>
    <mergeCell ref="U83:U109"/>
    <mergeCell ref="U118:U144"/>
    <mergeCell ref="U153:U179"/>
    <mergeCell ref="U188:U214"/>
    <mergeCell ref="U223:U249"/>
    <mergeCell ref="U258:U284"/>
    <mergeCell ref="U293:U319"/>
    <mergeCell ref="S258:S284"/>
    <mergeCell ref="S293:S319"/>
    <mergeCell ref="T13:T39"/>
    <mergeCell ref="T48:T74"/>
    <mergeCell ref="T83:T109"/>
    <mergeCell ref="T118:T144"/>
    <mergeCell ref="T153:T179"/>
    <mergeCell ref="T188:T214"/>
    <mergeCell ref="T223:T249"/>
    <mergeCell ref="T258:T284"/>
    <mergeCell ref="S221:U221"/>
    <mergeCell ref="S256:U256"/>
    <mergeCell ref="S291:U291"/>
    <mergeCell ref="S13:S39"/>
    <mergeCell ref="S48:S74"/>
    <mergeCell ref="S83:S109"/>
    <mergeCell ref="S118:S144"/>
    <mergeCell ref="S153:S179"/>
    <mergeCell ref="S188:S214"/>
    <mergeCell ref="S223:S249"/>
    <mergeCell ref="S11:U11"/>
    <mergeCell ref="S46:U46"/>
    <mergeCell ref="S81:U81"/>
    <mergeCell ref="S116:U116"/>
    <mergeCell ref="S151:U151"/>
    <mergeCell ref="S186:U186"/>
  </mergeCells>
  <pageMargins left="0.3" right="0.22999999999999998" top="0.43000000000000005" bottom="0.39" header="0.3" footer="0.3"/>
  <pageSetup paperSize="9" scale="62" fitToHeight="8" pageOrder="overThenDown" orientation="landscape"/>
  <headerFooter>
    <oddFooter>&amp;L&amp;F
Sheet: &amp;A&amp;R&amp;P din  &amp;N</oddFooter>
  </headerFooter>
  <rowBreaks count="8" manualBreakCount="8">
    <brk id="41" min="1" max="20" man="1"/>
    <brk id="76" min="1" max="20" man="1"/>
    <brk id="111" min="1" max="20" man="1"/>
    <brk id="147" min="1" max="20" man="1"/>
    <brk id="181" min="1" max="20" man="1"/>
    <brk id="216" min="1" max="20" man="1"/>
    <brk id="251" min="1" max="20" man="1"/>
    <brk id="286" min="1" max="20" man="1"/>
  </rowBreaks>
  <colBreaks count="1" manualBreakCount="1">
    <brk id="16" min="1" max="31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8" master="" otherUserPermission="visible"/>
  <rangeList sheetStid="10" master="" otherUserPermission="visible"/>
  <rangeList sheetStid="7" master="" otherUserPermission="visible"/>
  <rangeList sheetStid="12" master="" otherUserPermission="visible"/>
  <rangeList sheetStid="13" master="" otherUserPermission="visible"/>
  <rangeList sheetStid="9" master="" otherUserPermission="visible"/>
  <rangeList sheetStid="14" master="" otherUserPermission="visible"/>
  <rangeList sheetStid="15" master="" otherUserPermission="visible"/>
</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Date generale</vt:lpstr>
      <vt:lpstr>Date de context</vt:lpstr>
      <vt:lpstr>Date macro-economice</vt:lpstr>
      <vt:lpstr>Strategia</vt:lpstr>
      <vt:lpstr>Cererea</vt:lpstr>
      <vt:lpstr>Costuri operare</vt:lpstr>
      <vt:lpstr>Masuri de crestere a eficientei</vt:lpstr>
      <vt:lpstr>Investitii si finantare</vt:lpstr>
      <vt:lpstr>Amortizare si redeventa</vt:lpstr>
      <vt:lpstr>Nivel tarife</vt:lpstr>
      <vt:lpstr>Venituri</vt:lpstr>
      <vt:lpstr>Suportabilitate</vt:lpstr>
      <vt:lpstr>Centralizare</vt:lpstr>
      <vt:lpstr>indicatori</vt:lpstr>
      <vt:lpstr>'Amortizare si redeventa'!Print_Area</vt:lpstr>
      <vt:lpstr>Centralizare!Print_Area</vt:lpstr>
      <vt:lpstr>Cererea!Print_Area</vt:lpstr>
      <vt:lpstr>'Costuri operare'!Print_Area</vt:lpstr>
      <vt:lpstr>'Date de context'!Print_Area</vt:lpstr>
      <vt:lpstr>'Date generale'!Print_Area</vt:lpstr>
      <vt:lpstr>'Date macro-economice'!Print_Area</vt:lpstr>
      <vt:lpstr>'Investitii si finantare'!Print_Area</vt:lpstr>
      <vt:lpstr>'Masuri de crestere a eficientei'!Print_Area</vt:lpstr>
      <vt:lpstr>'Nivel tarife'!Print_Area</vt:lpstr>
      <vt:lpstr>Strategia!Print_Area</vt:lpstr>
      <vt:lpstr>Suportabilitate!Print_Area</vt:lpstr>
      <vt:lpstr>Venituri!Print_Area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Augustin Boer;Silviu Lacatusu</dc:creator>
  <cp:lastModifiedBy>Elena CIUPE</cp:lastModifiedBy>
  <cp:lastPrinted>2022-03-30T10:31:29Z</cp:lastPrinted>
  <dcterms:created xsi:type="dcterms:W3CDTF">2021-06-16T07:10:31Z</dcterms:created>
  <dcterms:modified xsi:type="dcterms:W3CDTF">2025-06-23T06:22:24Z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801A783F41D7492DA26706C94BD4B610_13</vt:lpwstr>
  </property>
  <property fmtid="{D5CDD505-2E9C-101B-9397-08002B2CF9AE}" pid="3" name="KSOProductBuildVer">
    <vt:lpwstr>1033-12.2.0.21179</vt:lpwstr>
  </property>
</Properties>
</file>