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umente O.S Municipiu\VALEA OVIDIU\BVC 2026 pentru avizare CA\"/>
    </mc:Choice>
  </mc:AlternateContent>
  <xr:revisionPtr revIDLastSave="0" documentId="13_ncr:1_{039A3CD1-E4C8-4B6E-A959-AAC606BB2987}" xr6:coauthVersionLast="47" xr6:coauthVersionMax="47" xr10:uidLastSave="{00000000-0000-0000-0000-000000000000}"/>
  <bookViews>
    <workbookView xWindow="-120" yWindow="-120" windowWidth="25440" windowHeight="15390" activeTab="4" xr2:uid="{00000000-000D-0000-FFFF-FFFF00000000}"/>
  </bookViews>
  <sheets>
    <sheet name="liv1" sheetId="1" r:id="rId1"/>
    <sheet name="liv2" sheetId="2" r:id="rId2"/>
    <sheet name="liv3" sheetId="3" r:id="rId3"/>
    <sheet name="liv4" sheetId="4" r:id="rId4"/>
    <sheet name="liv5" sheetId="5" r:id="rId5"/>
  </sheets>
  <externalReferences>
    <externalReference r:id="rId6"/>
    <externalReference r:id="rId7"/>
    <externalReference r:id="rId8"/>
  </externalReferences>
  <definedNames>
    <definedName name="A" localSheetId="0">'liv1'!#REF!</definedName>
    <definedName name="A">'[1] Bis.1'!#REF!</definedName>
    <definedName name="B">'[2] Bis.1'!#REF!</definedName>
    <definedName name="_xlnm.Print_Area" localSheetId="0">'liv1'!$A$1:$Q$74</definedName>
    <definedName name="_xlnm.Print_Area" localSheetId="1">'liv2'!$A$1:$V$193</definedName>
    <definedName name="_xlnm.Print_Area" localSheetId="2">'liv3'!$A$1:$H$21</definedName>
    <definedName name="_xlnm.Print_Area" localSheetId="3">'liv4'!$A$1:$M$83</definedName>
    <definedName name="_xlnm.Print_Area" localSheetId="4">'liv5'!$A$1:$K$27</definedName>
    <definedName name="_xlnm.Print_Titles" localSheetId="0">'liv1'!$9:$11</definedName>
    <definedName name="_xlnm.Print_Titles" localSheetId="1">'liv2'!$10:$13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44" i="1"/>
  <c r="Q108" i="2"/>
  <c r="T19" i="2"/>
  <c r="T21" i="2"/>
  <c r="T23" i="2"/>
  <c r="T24" i="2"/>
  <c r="T25" i="2"/>
  <c r="T26" i="2"/>
  <c r="T28" i="2"/>
  <c r="T30" i="2"/>
  <c r="T31" i="2"/>
  <c r="T32" i="2"/>
  <c r="T33" i="2"/>
  <c r="T36" i="2"/>
  <c r="T37" i="2"/>
  <c r="T38" i="2"/>
  <c r="T39" i="2"/>
  <c r="T40" i="2"/>
  <c r="T45" i="2"/>
  <c r="T51" i="2"/>
  <c r="T53" i="2"/>
  <c r="T55" i="2"/>
  <c r="T56" i="2"/>
  <c r="T61" i="2"/>
  <c r="T63" i="2"/>
  <c r="T64" i="2"/>
  <c r="T65" i="2"/>
  <c r="T66" i="2"/>
  <c r="T67" i="2"/>
  <c r="T68" i="2"/>
  <c r="T70" i="2"/>
  <c r="T71" i="2"/>
  <c r="T72" i="2"/>
  <c r="T73" i="2"/>
  <c r="T74" i="2"/>
  <c r="T77" i="2"/>
  <c r="T78" i="2"/>
  <c r="T82" i="2"/>
  <c r="T83" i="2"/>
  <c r="T84" i="2"/>
  <c r="T86" i="2"/>
  <c r="T87" i="2"/>
  <c r="T88" i="2"/>
  <c r="T89" i="2"/>
  <c r="T90" i="2"/>
  <c r="T92" i="2"/>
  <c r="T93" i="2"/>
  <c r="T94" i="2"/>
  <c r="T95" i="2"/>
  <c r="T100" i="2"/>
  <c r="T101" i="2"/>
  <c r="T102" i="2"/>
  <c r="T103" i="2"/>
  <c r="T105" i="2"/>
  <c r="T106" i="2"/>
  <c r="T107" i="2"/>
  <c r="T109" i="2"/>
  <c r="T110" i="2"/>
  <c r="T111" i="2"/>
  <c r="T113" i="2"/>
  <c r="T114" i="2"/>
  <c r="T115" i="2"/>
  <c r="T118" i="2"/>
  <c r="T119" i="2"/>
  <c r="T121" i="2"/>
  <c r="T122" i="2"/>
  <c r="T123" i="2"/>
  <c r="T124" i="2"/>
  <c r="T128" i="2"/>
  <c r="T129" i="2"/>
  <c r="T130" i="2"/>
  <c r="T131" i="2"/>
  <c r="T135" i="2"/>
  <c r="T136" i="2"/>
  <c r="T137" i="2"/>
  <c r="T138" i="2"/>
  <c r="T140" i="2"/>
  <c r="T141" i="2"/>
  <c r="T142" i="2"/>
  <c r="T144" i="2"/>
  <c r="T145" i="2"/>
  <c r="T146" i="2"/>
  <c r="T148" i="2"/>
  <c r="T149" i="2"/>
  <c r="T150" i="2"/>
  <c r="T152" i="2"/>
  <c r="T153" i="2"/>
  <c r="T155" i="2"/>
  <c r="T157" i="2"/>
  <c r="T158" i="2"/>
  <c r="T160" i="2"/>
  <c r="T162" i="2"/>
  <c r="T163" i="2"/>
  <c r="T164" i="2"/>
  <c r="T165" i="2"/>
  <c r="T166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S19" i="2"/>
  <c r="S21" i="2"/>
  <c r="S22" i="2"/>
  <c r="S23" i="2"/>
  <c r="S24" i="2"/>
  <c r="S25" i="2"/>
  <c r="S26" i="2"/>
  <c r="S28" i="2"/>
  <c r="S30" i="2"/>
  <c r="S31" i="2"/>
  <c r="S32" i="2"/>
  <c r="S33" i="2"/>
  <c r="S34" i="2"/>
  <c r="S35" i="2"/>
  <c r="S36" i="2"/>
  <c r="S37" i="2"/>
  <c r="S38" i="2"/>
  <c r="S39" i="2"/>
  <c r="S40" i="2"/>
  <c r="S45" i="2"/>
  <c r="S50" i="2"/>
  <c r="S51" i="2"/>
  <c r="S53" i="2"/>
  <c r="S55" i="2"/>
  <c r="S56" i="2"/>
  <c r="S59" i="2"/>
  <c r="S61" i="2"/>
  <c r="S63" i="2"/>
  <c r="S64" i="2"/>
  <c r="S65" i="2"/>
  <c r="S66" i="2"/>
  <c r="S67" i="2"/>
  <c r="S68" i="2"/>
  <c r="S69" i="2"/>
  <c r="S70" i="2"/>
  <c r="S71" i="2"/>
  <c r="S72" i="2"/>
  <c r="S73" i="2"/>
  <c r="S74" i="2"/>
  <c r="S77" i="2"/>
  <c r="S78" i="2"/>
  <c r="S82" i="2"/>
  <c r="S83" i="2"/>
  <c r="S84" i="2"/>
  <c r="S85" i="2"/>
  <c r="S86" i="2"/>
  <c r="S87" i="2"/>
  <c r="S88" i="2"/>
  <c r="S89" i="2"/>
  <c r="S90" i="2"/>
  <c r="S92" i="2"/>
  <c r="S93" i="2"/>
  <c r="S94" i="2"/>
  <c r="S95" i="2"/>
  <c r="S101" i="2"/>
  <c r="S102" i="2"/>
  <c r="S103" i="2"/>
  <c r="S105" i="2"/>
  <c r="S106" i="2"/>
  <c r="S107" i="2"/>
  <c r="S109" i="2"/>
  <c r="S110" i="2"/>
  <c r="S111" i="2"/>
  <c r="S112" i="2"/>
  <c r="S113" i="2"/>
  <c r="S114" i="2"/>
  <c r="S115" i="2"/>
  <c r="S117" i="2"/>
  <c r="S118" i="2"/>
  <c r="S119" i="2"/>
  <c r="S121" i="2"/>
  <c r="S122" i="2"/>
  <c r="S123" i="2"/>
  <c r="S124" i="2"/>
  <c r="S125" i="2"/>
  <c r="S128" i="2"/>
  <c r="S129" i="2"/>
  <c r="S130" i="2"/>
  <c r="S131" i="2"/>
  <c r="S136" i="2"/>
  <c r="S137" i="2"/>
  <c r="S140" i="2"/>
  <c r="S141" i="2"/>
  <c r="S142" i="2"/>
  <c r="S144" i="2"/>
  <c r="S145" i="2"/>
  <c r="S146" i="2"/>
  <c r="S147" i="2"/>
  <c r="S148" i="2"/>
  <c r="S149" i="2"/>
  <c r="S150" i="2"/>
  <c r="S152" i="2"/>
  <c r="S153" i="2"/>
  <c r="S155" i="2"/>
  <c r="S157" i="2"/>
  <c r="S158" i="2"/>
  <c r="S160" i="2"/>
  <c r="S162" i="2"/>
  <c r="S163" i="2"/>
  <c r="S164" i="2"/>
  <c r="S165" i="2"/>
  <c r="S166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M79" i="4"/>
  <c r="M78" i="4" s="1"/>
  <c r="M77" i="4" s="1"/>
  <c r="M76" i="4" s="1"/>
  <c r="M75" i="4" s="1"/>
  <c r="M74" i="4" s="1"/>
  <c r="M73" i="4" s="1"/>
  <c r="L77" i="4"/>
  <c r="K77" i="4"/>
  <c r="J77" i="4"/>
  <c r="I77" i="4"/>
  <c r="H77" i="4"/>
  <c r="G77" i="4"/>
  <c r="E77" i="4"/>
  <c r="L73" i="4"/>
  <c r="K73" i="4"/>
  <c r="J73" i="4"/>
  <c r="I73" i="4"/>
  <c r="H73" i="4"/>
  <c r="G73" i="4"/>
  <c r="E73" i="4"/>
  <c r="M70" i="4"/>
  <c r="L70" i="4"/>
  <c r="L62" i="4" s="1"/>
  <c r="K70" i="4"/>
  <c r="J70" i="4"/>
  <c r="I70" i="4"/>
  <c r="H70" i="4"/>
  <c r="G70" i="4"/>
  <c r="G62" i="4" s="1"/>
  <c r="F70" i="4"/>
  <c r="E70" i="4"/>
  <c r="M67" i="4"/>
  <c r="M65" i="4" s="1"/>
  <c r="M64" i="4" s="1"/>
  <c r="M63" i="4" s="1"/>
  <c r="L67" i="4"/>
  <c r="K67" i="4"/>
  <c r="J67" i="4"/>
  <c r="I67" i="4"/>
  <c r="H67" i="4"/>
  <c r="G67" i="4"/>
  <c r="F67" i="4"/>
  <c r="E67" i="4"/>
  <c r="L63" i="4"/>
  <c r="K63" i="4"/>
  <c r="K62" i="4" s="1"/>
  <c r="J63" i="4"/>
  <c r="J62" i="4" s="1"/>
  <c r="I63" i="4"/>
  <c r="H63" i="4"/>
  <c r="H62" i="4" s="1"/>
  <c r="G63" i="4"/>
  <c r="E63" i="4"/>
  <c r="M59" i="4"/>
  <c r="K59" i="4"/>
  <c r="J59" i="4"/>
  <c r="I59" i="4"/>
  <c r="H59" i="4"/>
  <c r="G59" i="4"/>
  <c r="E59" i="4"/>
  <c r="M56" i="4"/>
  <c r="K56" i="4"/>
  <c r="J56" i="4"/>
  <c r="I56" i="4"/>
  <c r="H56" i="4"/>
  <c r="G56" i="4"/>
  <c r="E56" i="4"/>
  <c r="M52" i="4"/>
  <c r="L52" i="4"/>
  <c r="K52" i="4"/>
  <c r="J52" i="4"/>
  <c r="I52" i="4"/>
  <c r="H52" i="4"/>
  <c r="G52" i="4"/>
  <c r="F52" i="4"/>
  <c r="E52" i="4"/>
  <c r="M41" i="4"/>
  <c r="M39" i="4" s="1"/>
  <c r="M38" i="4" s="1"/>
  <c r="L41" i="4"/>
  <c r="K41" i="4"/>
  <c r="J41" i="4"/>
  <c r="J39" i="4" s="1"/>
  <c r="J38" i="4" s="1"/>
  <c r="I41" i="4"/>
  <c r="H41" i="4"/>
  <c r="G41" i="4"/>
  <c r="G39" i="4" s="1"/>
  <c r="F41" i="4"/>
  <c r="F39" i="4" s="1"/>
  <c r="E41" i="4"/>
  <c r="E39" i="4" s="1"/>
  <c r="L39" i="4"/>
  <c r="L38" i="4" s="1"/>
  <c r="K39" i="4"/>
  <c r="K38" i="4" s="1"/>
  <c r="I39" i="4"/>
  <c r="I38" i="4" s="1"/>
  <c r="H39" i="4"/>
  <c r="H38" i="4" s="1"/>
  <c r="M34" i="4"/>
  <c r="G34" i="4"/>
  <c r="E34" i="4"/>
  <c r="M31" i="4"/>
  <c r="L31" i="4"/>
  <c r="K31" i="4"/>
  <c r="J31" i="4"/>
  <c r="I31" i="4"/>
  <c r="H31" i="4"/>
  <c r="H26" i="4" s="1"/>
  <c r="G31" i="4"/>
  <c r="E31" i="4"/>
  <c r="M29" i="4"/>
  <c r="L29" i="4"/>
  <c r="M27" i="4"/>
  <c r="L27" i="4"/>
  <c r="L26" i="4" s="1"/>
  <c r="K27" i="4"/>
  <c r="J27" i="4"/>
  <c r="J26" i="4" s="1"/>
  <c r="I27" i="4"/>
  <c r="I26" i="4" s="1"/>
  <c r="H27" i="4"/>
  <c r="G27" i="4"/>
  <c r="E27" i="4"/>
  <c r="K26" i="4"/>
  <c r="G26" i="4"/>
  <c r="E26" i="4"/>
  <c r="D26" i="4"/>
  <c r="D25" i="4" s="1"/>
  <c r="M22" i="4"/>
  <c r="L22" i="4"/>
  <c r="K22" i="4"/>
  <c r="J22" i="4"/>
  <c r="I22" i="4"/>
  <c r="H22" i="4"/>
  <c r="G22" i="4"/>
  <c r="F22" i="4"/>
  <c r="E22" i="4"/>
  <c r="M19" i="4"/>
  <c r="M14" i="4"/>
  <c r="L14" i="4"/>
  <c r="L13" i="4" s="1"/>
  <c r="N57" i="1" s="1"/>
  <c r="K14" i="4"/>
  <c r="K13" i="4" s="1"/>
  <c r="J14" i="4"/>
  <c r="I14" i="4"/>
  <c r="I13" i="4" s="1"/>
  <c r="H14" i="4"/>
  <c r="G14" i="4"/>
  <c r="F14" i="4"/>
  <c r="E14" i="4"/>
  <c r="M13" i="4"/>
  <c r="H13" i="4"/>
  <c r="E13" i="4"/>
  <c r="H14" i="3"/>
  <c r="E14" i="3"/>
  <c r="H13" i="3"/>
  <c r="G12" i="3"/>
  <c r="F12" i="3"/>
  <c r="D12" i="3"/>
  <c r="C12" i="3"/>
  <c r="E12" i="3" s="1"/>
  <c r="H161" i="2"/>
  <c r="H159" i="2"/>
  <c r="F156" i="2"/>
  <c r="F157" i="2" s="1"/>
  <c r="F158" i="2" s="1"/>
  <c r="F159" i="2" s="1"/>
  <c r="F160" i="2" s="1"/>
  <c r="F161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H151" i="2"/>
  <c r="R147" i="2"/>
  <c r="R143" i="2" s="1"/>
  <c r="L30" i="1" s="1"/>
  <c r="P147" i="2"/>
  <c r="P143" i="2" s="1"/>
  <c r="K30" i="1" s="1"/>
  <c r="O147" i="2"/>
  <c r="O143" i="2" s="1"/>
  <c r="N147" i="2"/>
  <c r="N143" i="2" s="1"/>
  <c r="J30" i="1" s="1"/>
  <c r="M147" i="2"/>
  <c r="L147" i="2"/>
  <c r="K147" i="2"/>
  <c r="J147" i="2"/>
  <c r="J143" i="2" s="1"/>
  <c r="V143" i="2"/>
  <c r="U143" i="2"/>
  <c r="Q143" i="2"/>
  <c r="S143" i="2" s="1"/>
  <c r="M143" i="2"/>
  <c r="L143" i="2"/>
  <c r="K143" i="2"/>
  <c r="I143" i="2"/>
  <c r="G143" i="2"/>
  <c r="T143" i="2" s="1"/>
  <c r="V139" i="2"/>
  <c r="V138" i="2" s="1"/>
  <c r="R139" i="2"/>
  <c r="Q139" i="2"/>
  <c r="Q138" i="2" s="1"/>
  <c r="S138" i="2" s="1"/>
  <c r="P139" i="2"/>
  <c r="O139" i="2"/>
  <c r="N139" i="2"/>
  <c r="M139" i="2"/>
  <c r="L139" i="2"/>
  <c r="K139" i="2"/>
  <c r="J139" i="2"/>
  <c r="T139" i="2" s="1"/>
  <c r="I139" i="2"/>
  <c r="R138" i="2"/>
  <c r="V135" i="2"/>
  <c r="R135" i="2"/>
  <c r="Q135" i="2"/>
  <c r="Q134" i="2" s="1"/>
  <c r="S134" i="2" s="1"/>
  <c r="P134" i="2"/>
  <c r="O134" i="2"/>
  <c r="O126" i="2" s="1"/>
  <c r="N134" i="2"/>
  <c r="M134" i="2"/>
  <c r="L134" i="2"/>
  <c r="K134" i="2"/>
  <c r="J134" i="2"/>
  <c r="T134" i="2" s="1"/>
  <c r="I134" i="2"/>
  <c r="V133" i="2"/>
  <c r="R133" i="2"/>
  <c r="P133" i="2"/>
  <c r="N133" i="2"/>
  <c r="L133" i="2"/>
  <c r="K133" i="2"/>
  <c r="J133" i="2"/>
  <c r="S133" i="2" s="1"/>
  <c r="V132" i="2"/>
  <c r="R132" i="2"/>
  <c r="Q132" i="2"/>
  <c r="S132" i="2" s="1"/>
  <c r="P132" i="2"/>
  <c r="N132" i="2"/>
  <c r="L132" i="2"/>
  <c r="K132" i="2"/>
  <c r="J132" i="2"/>
  <c r="T132" i="2" s="1"/>
  <c r="V129" i="2"/>
  <c r="V127" i="2" s="1"/>
  <c r="R127" i="2"/>
  <c r="Q127" i="2"/>
  <c r="S127" i="2" s="1"/>
  <c r="P127" i="2"/>
  <c r="O127" i="2"/>
  <c r="N127" i="2"/>
  <c r="M127" i="2"/>
  <c r="M126" i="2" s="1"/>
  <c r="L127" i="2"/>
  <c r="L126" i="2" s="1"/>
  <c r="K127" i="2"/>
  <c r="J127" i="2"/>
  <c r="I127" i="2"/>
  <c r="I126" i="2" s="1"/>
  <c r="G126" i="2"/>
  <c r="V125" i="2"/>
  <c r="R125" i="2"/>
  <c r="L28" i="1" s="1"/>
  <c r="P125" i="2"/>
  <c r="N125" i="2"/>
  <c r="J28" i="1" s="1"/>
  <c r="L125" i="2"/>
  <c r="J125" i="2"/>
  <c r="T125" i="2" s="1"/>
  <c r="K124" i="2"/>
  <c r="M124" i="2" s="1"/>
  <c r="O124" i="2" s="1"/>
  <c r="K123" i="2"/>
  <c r="M123" i="2" s="1"/>
  <c r="O123" i="2" s="1"/>
  <c r="K122" i="2"/>
  <c r="K120" i="2" s="1"/>
  <c r="K116" i="2" s="1"/>
  <c r="V121" i="2"/>
  <c r="V120" i="2" s="1"/>
  <c r="R120" i="2"/>
  <c r="R116" i="2" s="1"/>
  <c r="Q120" i="2"/>
  <c r="S120" i="2" s="1"/>
  <c r="P120" i="2"/>
  <c r="N120" i="2"/>
  <c r="L120" i="2"/>
  <c r="J120" i="2"/>
  <c r="J116" i="2" s="1"/>
  <c r="G27" i="1" s="1"/>
  <c r="I120" i="2"/>
  <c r="I116" i="2" s="1"/>
  <c r="G120" i="2"/>
  <c r="M119" i="2"/>
  <c r="O119" i="2" s="1"/>
  <c r="O117" i="2" s="1"/>
  <c r="K119" i="2"/>
  <c r="V118" i="2"/>
  <c r="V117" i="2" s="1"/>
  <c r="R117" i="2"/>
  <c r="Q117" i="2"/>
  <c r="P117" i="2"/>
  <c r="P116" i="2" s="1"/>
  <c r="K27" i="1" s="1"/>
  <c r="N117" i="2"/>
  <c r="L117" i="2"/>
  <c r="L116" i="2" s="1"/>
  <c r="I27" i="1" s="1"/>
  <c r="K117" i="2"/>
  <c r="J117" i="2"/>
  <c r="T117" i="2" s="1"/>
  <c r="I117" i="2"/>
  <c r="G117" i="2"/>
  <c r="Q116" i="2"/>
  <c r="H27" i="1" s="1"/>
  <c r="N116" i="2"/>
  <c r="J27" i="1" s="1"/>
  <c r="R112" i="2"/>
  <c r="Q112" i="2"/>
  <c r="P112" i="2"/>
  <c r="O112" i="2"/>
  <c r="N112" i="2"/>
  <c r="M112" i="2"/>
  <c r="L112" i="2"/>
  <c r="K112" i="2"/>
  <c r="J112" i="2"/>
  <c r="T112" i="2" s="1"/>
  <c r="I112" i="2"/>
  <c r="G112" i="2"/>
  <c r="V111" i="2"/>
  <c r="V110" i="2"/>
  <c r="V108" i="2"/>
  <c r="V104" i="2" s="1"/>
  <c r="R108" i="2"/>
  <c r="R104" i="2" s="1"/>
  <c r="L24" i="1" s="1"/>
  <c r="J108" i="2"/>
  <c r="S108" i="2" s="1"/>
  <c r="Q104" i="2"/>
  <c r="Q99" i="2" s="1"/>
  <c r="H22" i="1" s="1"/>
  <c r="H64" i="1" s="1"/>
  <c r="P104" i="2"/>
  <c r="O104" i="2"/>
  <c r="N104" i="2"/>
  <c r="M104" i="2"/>
  <c r="L104" i="2"/>
  <c r="K104" i="2"/>
  <c r="I104" i="2"/>
  <c r="G104" i="2"/>
  <c r="V102" i="2"/>
  <c r="P102" i="2"/>
  <c r="P100" i="2" s="1"/>
  <c r="K23" i="1" s="1"/>
  <c r="N102" i="2"/>
  <c r="N100" i="2" s="1"/>
  <c r="L102" i="2"/>
  <c r="L100" i="2" s="1"/>
  <c r="V101" i="2"/>
  <c r="V100" i="2" s="1"/>
  <c r="R100" i="2"/>
  <c r="Q100" i="2"/>
  <c r="O100" i="2"/>
  <c r="M100" i="2"/>
  <c r="M99" i="2" s="1"/>
  <c r="M161" i="2" s="1"/>
  <c r="K100" i="2"/>
  <c r="J100" i="2"/>
  <c r="I100" i="2"/>
  <c r="G100" i="2"/>
  <c r="O99" i="2"/>
  <c r="O161" i="2" s="1"/>
  <c r="I99" i="2"/>
  <c r="V97" i="2"/>
  <c r="R97" i="2"/>
  <c r="P97" i="2"/>
  <c r="P91" i="2" s="1"/>
  <c r="K20" i="1" s="1"/>
  <c r="N97" i="2"/>
  <c r="L97" i="2"/>
  <c r="K97" i="2"/>
  <c r="J97" i="2"/>
  <c r="S97" i="2" s="1"/>
  <c r="V96" i="2"/>
  <c r="R96" i="2"/>
  <c r="R91" i="2" s="1"/>
  <c r="L20" i="1" s="1"/>
  <c r="J96" i="2"/>
  <c r="S96" i="2" s="1"/>
  <c r="V92" i="2"/>
  <c r="Q91" i="2"/>
  <c r="O91" i="2"/>
  <c r="N91" i="2"/>
  <c r="J20" i="1" s="1"/>
  <c r="M91" i="2"/>
  <c r="L91" i="2"/>
  <c r="K91" i="2"/>
  <c r="I91" i="2"/>
  <c r="G91" i="2"/>
  <c r="V90" i="2"/>
  <c r="R90" i="2"/>
  <c r="P90" i="2"/>
  <c r="N90" i="2"/>
  <c r="L90" i="2"/>
  <c r="K90" i="2"/>
  <c r="J90" i="2"/>
  <c r="V89" i="2"/>
  <c r="M89" i="2"/>
  <c r="O89" i="2" s="1"/>
  <c r="V88" i="2"/>
  <c r="R85" i="2"/>
  <c r="R81" i="2" s="1"/>
  <c r="K85" i="2"/>
  <c r="K81" i="2" s="1"/>
  <c r="J85" i="2"/>
  <c r="T85" i="2" s="1"/>
  <c r="G85" i="2"/>
  <c r="V84" i="2"/>
  <c r="M84" i="2"/>
  <c r="O84" i="2" s="1"/>
  <c r="V83" i="2"/>
  <c r="Q81" i="2"/>
  <c r="P81" i="2"/>
  <c r="N81" i="2"/>
  <c r="L81" i="2"/>
  <c r="I81" i="2"/>
  <c r="G81" i="2"/>
  <c r="V80" i="2"/>
  <c r="R80" i="2"/>
  <c r="P80" i="2"/>
  <c r="N80" i="2"/>
  <c r="L80" i="2"/>
  <c r="J80" i="2"/>
  <c r="S80" i="2" s="1"/>
  <c r="V79" i="2"/>
  <c r="R79" i="2"/>
  <c r="P79" i="2"/>
  <c r="N79" i="2"/>
  <c r="L79" i="2"/>
  <c r="J79" i="2"/>
  <c r="T79" i="2" s="1"/>
  <c r="K77" i="2"/>
  <c r="K76" i="2" s="1"/>
  <c r="K75" i="2" s="1"/>
  <c r="V76" i="2"/>
  <c r="V75" i="2" s="1"/>
  <c r="R76" i="2"/>
  <c r="R75" i="2" s="1"/>
  <c r="Q76" i="2"/>
  <c r="S76" i="2" s="1"/>
  <c r="P76" i="2"/>
  <c r="P75" i="2" s="1"/>
  <c r="O76" i="2"/>
  <c r="O75" i="2" s="1"/>
  <c r="N76" i="2"/>
  <c r="L76" i="2"/>
  <c r="L75" i="2" s="1"/>
  <c r="J76" i="2"/>
  <c r="T76" i="2" s="1"/>
  <c r="I76" i="2"/>
  <c r="I75" i="2" s="1"/>
  <c r="G76" i="2"/>
  <c r="N75" i="2"/>
  <c r="G75" i="2"/>
  <c r="R69" i="2"/>
  <c r="Q69" i="2"/>
  <c r="O69" i="2"/>
  <c r="M69" i="2"/>
  <c r="L69" i="2"/>
  <c r="K69" i="2"/>
  <c r="J69" i="2"/>
  <c r="T69" i="2" s="1"/>
  <c r="I69" i="2"/>
  <c r="G69" i="2"/>
  <c r="K63" i="2"/>
  <c r="M63" i="2" s="1"/>
  <c r="O63" i="2" s="1"/>
  <c r="O62" i="2" s="1"/>
  <c r="V62" i="2"/>
  <c r="R62" i="2"/>
  <c r="Q62" i="2"/>
  <c r="S62" i="2" s="1"/>
  <c r="P62" i="2"/>
  <c r="N62" i="2"/>
  <c r="L62" i="2"/>
  <c r="K62" i="2"/>
  <c r="J62" i="2"/>
  <c r="T62" i="2" s="1"/>
  <c r="I62" i="2"/>
  <c r="G62" i="2"/>
  <c r="V61" i="2"/>
  <c r="V60" i="2" s="1"/>
  <c r="R60" i="2"/>
  <c r="Q60" i="2"/>
  <c r="P60" i="2"/>
  <c r="P58" i="2" s="1"/>
  <c r="O60" i="2"/>
  <c r="N60" i="2"/>
  <c r="M60" i="2"/>
  <c r="L60" i="2"/>
  <c r="K60" i="2"/>
  <c r="J60" i="2"/>
  <c r="T60" i="2" s="1"/>
  <c r="I60" i="2"/>
  <c r="G60" i="2"/>
  <c r="V59" i="2"/>
  <c r="R59" i="2"/>
  <c r="J59" i="2"/>
  <c r="T59" i="2" s="1"/>
  <c r="R57" i="2"/>
  <c r="P57" i="2"/>
  <c r="P52" i="2" s="1"/>
  <c r="N57" i="2"/>
  <c r="N52" i="2" s="1"/>
  <c r="L57" i="2"/>
  <c r="L52" i="2" s="1"/>
  <c r="J57" i="2"/>
  <c r="S57" i="2" s="1"/>
  <c r="R54" i="2"/>
  <c r="Q54" i="2"/>
  <c r="S54" i="2" s="1"/>
  <c r="M54" i="2"/>
  <c r="M52" i="2" s="1"/>
  <c r="J54" i="2"/>
  <c r="J52" i="2" s="1"/>
  <c r="T52" i="2" s="1"/>
  <c r="I54" i="2"/>
  <c r="V52" i="2"/>
  <c r="O52" i="2"/>
  <c r="K52" i="2"/>
  <c r="V50" i="2"/>
  <c r="R50" i="2"/>
  <c r="P50" i="2"/>
  <c r="N50" i="2"/>
  <c r="N44" i="2" s="1"/>
  <c r="L50" i="2"/>
  <c r="K50" i="2"/>
  <c r="J50" i="2"/>
  <c r="T50" i="2" s="1"/>
  <c r="V49" i="2"/>
  <c r="R49" i="2"/>
  <c r="J49" i="2"/>
  <c r="S49" i="2" s="1"/>
  <c r="V48" i="2"/>
  <c r="R48" i="2"/>
  <c r="Q48" i="2"/>
  <c r="S48" i="2" s="1"/>
  <c r="P48" i="2"/>
  <c r="N48" i="2"/>
  <c r="L48" i="2"/>
  <c r="K48" i="2"/>
  <c r="J48" i="2"/>
  <c r="T48" i="2" s="1"/>
  <c r="V47" i="2"/>
  <c r="R47" i="2"/>
  <c r="P47" i="2"/>
  <c r="N47" i="2"/>
  <c r="M47" i="2"/>
  <c r="O47" i="2" s="1"/>
  <c r="L47" i="2"/>
  <c r="J47" i="2"/>
  <c r="T47" i="2" s="1"/>
  <c r="V46" i="2"/>
  <c r="R46" i="2"/>
  <c r="Q46" i="2"/>
  <c r="S46" i="2" s="1"/>
  <c r="P46" i="2"/>
  <c r="N46" i="2"/>
  <c r="L46" i="2"/>
  <c r="K46" i="2"/>
  <c r="K44" i="2" s="1"/>
  <c r="J46" i="2"/>
  <c r="T46" i="2" s="1"/>
  <c r="Q44" i="2"/>
  <c r="O44" i="2"/>
  <c r="M44" i="2"/>
  <c r="I44" i="2"/>
  <c r="G44" i="2"/>
  <c r="Y41" i="2"/>
  <c r="V35" i="2"/>
  <c r="R35" i="2"/>
  <c r="Q35" i="2"/>
  <c r="P35" i="2"/>
  <c r="O35" i="2"/>
  <c r="N35" i="2"/>
  <c r="M35" i="2"/>
  <c r="L35" i="2"/>
  <c r="I16" i="1" s="1"/>
  <c r="K35" i="2"/>
  <c r="J35" i="2"/>
  <c r="T35" i="2" s="1"/>
  <c r="I35" i="2"/>
  <c r="G35" i="2"/>
  <c r="V34" i="2" a="1"/>
  <c r="W34" i="2" s="1"/>
  <c r="J34" i="2"/>
  <c r="T34" i="2" s="1"/>
  <c r="V32" i="2" a="1"/>
  <c r="R29" i="2"/>
  <c r="Q29" i="2"/>
  <c r="J29" i="2"/>
  <c r="I29" i="2"/>
  <c r="V28" i="2" a="1"/>
  <c r="N28" i="2"/>
  <c r="R27" i="2"/>
  <c r="L27" i="2"/>
  <c r="I27" i="2"/>
  <c r="I15" i="2" s="1"/>
  <c r="G27" i="2"/>
  <c r="K26" i="2"/>
  <c r="M26" i="2" s="1"/>
  <c r="O26" i="2" s="1"/>
  <c r="K25" i="2"/>
  <c r="M25" i="2" s="1"/>
  <c r="O25" i="2" s="1"/>
  <c r="K24" i="2"/>
  <c r="M24" i="2" s="1"/>
  <c r="O24" i="2" s="1"/>
  <c r="M23" i="2"/>
  <c r="O23" i="2" s="1"/>
  <c r="O22" i="2" s="1"/>
  <c r="K23" i="2"/>
  <c r="R22" i="2"/>
  <c r="P22" i="2"/>
  <c r="N22" i="2"/>
  <c r="L22" i="2"/>
  <c r="J22" i="2"/>
  <c r="T22" i="2" s="1"/>
  <c r="G22" i="2"/>
  <c r="V20" i="2"/>
  <c r="K20" i="2"/>
  <c r="K16" i="2" s="1"/>
  <c r="J20" i="2"/>
  <c r="S20" i="2" s="1"/>
  <c r="V18" i="2" a="1"/>
  <c r="J18" i="2"/>
  <c r="S18" i="2" s="1"/>
  <c r="V17" i="2" a="1"/>
  <c r="V17" i="2" s="1"/>
  <c r="Q17" i="2"/>
  <c r="Q16" i="2" s="1"/>
  <c r="J17" i="2"/>
  <c r="T17" i="2" s="1"/>
  <c r="R16" i="2"/>
  <c r="P16" i="2"/>
  <c r="O16" i="2"/>
  <c r="N16" i="2"/>
  <c r="M16" i="2"/>
  <c r="L16" i="2"/>
  <c r="L15" i="2" s="1"/>
  <c r="I16" i="2"/>
  <c r="G16" i="2"/>
  <c r="L14" i="2"/>
  <c r="Q71" i="1"/>
  <c r="P71" i="1"/>
  <c r="M71" i="1"/>
  <c r="Q70" i="1"/>
  <c r="P70" i="1"/>
  <c r="M70" i="1"/>
  <c r="P68" i="1"/>
  <c r="M68" i="1"/>
  <c r="P67" i="1"/>
  <c r="M67" i="1"/>
  <c r="P63" i="1"/>
  <c r="M63" i="1"/>
  <c r="Q62" i="1"/>
  <c r="P62" i="1"/>
  <c r="M62" i="1"/>
  <c r="P61" i="1"/>
  <c r="M61" i="1"/>
  <c r="P59" i="1"/>
  <c r="M59" i="1"/>
  <c r="O58" i="1"/>
  <c r="N58" i="1"/>
  <c r="Q58" i="1" s="1"/>
  <c r="P58" i="1"/>
  <c r="G58" i="1"/>
  <c r="O57" i="1"/>
  <c r="Q56" i="1"/>
  <c r="P56" i="1"/>
  <c r="M56" i="1"/>
  <c r="G56" i="1"/>
  <c r="Q55" i="1"/>
  <c r="P55" i="1"/>
  <c r="M55" i="1"/>
  <c r="Q54" i="1"/>
  <c r="P54" i="1"/>
  <c r="M54" i="1"/>
  <c r="P53" i="1"/>
  <c r="M53" i="1"/>
  <c r="Q52" i="1"/>
  <c r="P52" i="1"/>
  <c r="M52" i="1"/>
  <c r="P51" i="1"/>
  <c r="M51" i="1"/>
  <c r="M50" i="1"/>
  <c r="M48" i="1"/>
  <c r="M47" i="1"/>
  <c r="M46" i="1"/>
  <c r="N44" i="1"/>
  <c r="Q42" i="1"/>
  <c r="P42" i="1"/>
  <c r="M42" i="1"/>
  <c r="Q41" i="1"/>
  <c r="P41" i="1"/>
  <c r="O41" i="1"/>
  <c r="N41" i="1"/>
  <c r="H41" i="1"/>
  <c r="M41" i="1" s="1"/>
  <c r="G41" i="1"/>
  <c r="O40" i="1"/>
  <c r="N40" i="1"/>
  <c r="Q40" i="1" s="1"/>
  <c r="H40" i="1"/>
  <c r="P40" i="1" s="1"/>
  <c r="G40" i="1"/>
  <c r="Q39" i="1"/>
  <c r="O39" i="1"/>
  <c r="O44" i="1" s="1"/>
  <c r="H39" i="1"/>
  <c r="M39" i="1" s="1"/>
  <c r="G39" i="1"/>
  <c r="O38" i="1"/>
  <c r="N38" i="1"/>
  <c r="Q38" i="1" s="1"/>
  <c r="M38" i="1"/>
  <c r="P36" i="1"/>
  <c r="M36" i="1"/>
  <c r="P35" i="1"/>
  <c r="M35" i="1"/>
  <c r="M34" i="1"/>
  <c r="P33" i="1"/>
  <c r="M33" i="1"/>
  <c r="K32" i="1"/>
  <c r="J32" i="1"/>
  <c r="I32" i="1"/>
  <c r="M30" i="1"/>
  <c r="I30" i="1"/>
  <c r="H30" i="1"/>
  <c r="P30" i="1" s="1"/>
  <c r="G30" i="1"/>
  <c r="I29" i="1"/>
  <c r="O28" i="1"/>
  <c r="K28" i="1"/>
  <c r="I28" i="1"/>
  <c r="H28" i="1"/>
  <c r="P28" i="1" s="1"/>
  <c r="G28" i="1"/>
  <c r="L27" i="1"/>
  <c r="P26" i="1"/>
  <c r="N26" i="1"/>
  <c r="O26" i="1" s="1"/>
  <c r="M26" i="1"/>
  <c r="P25" i="1"/>
  <c r="L25" i="1"/>
  <c r="H25" i="1"/>
  <c r="N25" i="1" s="1"/>
  <c r="O25" i="1" s="1"/>
  <c r="G25" i="1"/>
  <c r="K24" i="1"/>
  <c r="J24" i="1"/>
  <c r="I24" i="1"/>
  <c r="H24" i="1"/>
  <c r="L23" i="1"/>
  <c r="I23" i="1"/>
  <c r="H23" i="1"/>
  <c r="N23" i="1" s="1"/>
  <c r="G23" i="1"/>
  <c r="Q21" i="1"/>
  <c r="Q20" i="1"/>
  <c r="I20" i="1"/>
  <c r="H20" i="1"/>
  <c r="Q19" i="1"/>
  <c r="Q18" i="1"/>
  <c r="L16" i="1"/>
  <c r="K16" i="1"/>
  <c r="J16" i="1"/>
  <c r="H16" i="1"/>
  <c r="G16" i="1"/>
  <c r="P15" i="1"/>
  <c r="N15" i="1"/>
  <c r="O15" i="1" s="1"/>
  <c r="M15" i="1"/>
  <c r="P14" i="1"/>
  <c r="N14" i="1"/>
  <c r="Q14" i="1" s="1"/>
  <c r="M14" i="1"/>
  <c r="I13" i="1"/>
  <c r="I66" i="1" s="1"/>
  <c r="V126" i="2" l="1"/>
  <c r="S139" i="2"/>
  <c r="N99" i="2"/>
  <c r="J23" i="1"/>
  <c r="S44" i="2"/>
  <c r="P44" i="2"/>
  <c r="P43" i="2" s="1"/>
  <c r="K19" i="1" s="1"/>
  <c r="M77" i="2"/>
  <c r="M76" i="2" s="1"/>
  <c r="M75" i="2" s="1"/>
  <c r="Q98" i="2"/>
  <c r="V116" i="2"/>
  <c r="V98" i="2" s="1"/>
  <c r="N126" i="2"/>
  <c r="J29" i="1" s="1"/>
  <c r="G13" i="4"/>
  <c r="H57" i="1" s="1"/>
  <c r="F38" i="4"/>
  <c r="F25" i="4" s="1"/>
  <c r="G60" i="1" s="1"/>
  <c r="S135" i="2"/>
  <c r="S79" i="2"/>
  <c r="S47" i="2"/>
  <c r="T54" i="2"/>
  <c r="N98" i="2"/>
  <c r="J21" i="1" s="1"/>
  <c r="M122" i="2"/>
  <c r="M120" i="2" s="1"/>
  <c r="H25" i="4"/>
  <c r="O14" i="1"/>
  <c r="J16" i="2"/>
  <c r="T16" i="2" s="1"/>
  <c r="R15" i="2"/>
  <c r="N22" i="1"/>
  <c r="N65" i="1" s="1"/>
  <c r="M25" i="1"/>
  <c r="G15" i="2"/>
  <c r="G170" i="2" s="1"/>
  <c r="K29" i="2"/>
  <c r="K27" i="2" s="1"/>
  <c r="N58" i="2"/>
  <c r="J104" i="2"/>
  <c r="P126" i="2"/>
  <c r="K29" i="1" s="1"/>
  <c r="F13" i="4"/>
  <c r="G57" i="1" s="1"/>
  <c r="G38" i="4"/>
  <c r="G25" i="4" s="1"/>
  <c r="H60" i="1" s="1"/>
  <c r="E38" i="4"/>
  <c r="E25" i="4" s="1"/>
  <c r="E62" i="4"/>
  <c r="M62" i="4"/>
  <c r="T133" i="2"/>
  <c r="T29" i="2"/>
  <c r="M58" i="1"/>
  <c r="I12" i="1"/>
  <c r="M28" i="1"/>
  <c r="M29" i="2"/>
  <c r="M27" i="2" s="1"/>
  <c r="R44" i="2"/>
  <c r="N43" i="2"/>
  <c r="G58" i="2"/>
  <c r="G43" i="2" s="1"/>
  <c r="Q75" i="2"/>
  <c r="S75" i="2" s="1"/>
  <c r="M26" i="4"/>
  <c r="S29" i="2"/>
  <c r="N29" i="2" s="1"/>
  <c r="T108" i="2"/>
  <c r="T20" i="2"/>
  <c r="Q27" i="2"/>
  <c r="M85" i="2"/>
  <c r="M117" i="2"/>
  <c r="J126" i="2"/>
  <c r="J13" i="4"/>
  <c r="S116" i="2"/>
  <c r="S100" i="2"/>
  <c r="S60" i="2"/>
  <c r="T147" i="2"/>
  <c r="T18" i="2"/>
  <c r="H12" i="3"/>
  <c r="I62" i="4"/>
  <c r="I25" i="4" s="1"/>
  <c r="T97" i="2"/>
  <c r="T57" i="2"/>
  <c r="T49" i="2"/>
  <c r="K25" i="4"/>
  <c r="L44" i="2"/>
  <c r="K58" i="2"/>
  <c r="K43" i="2" s="1"/>
  <c r="I58" i="2"/>
  <c r="I43" i="2" s="1"/>
  <c r="K126" i="2"/>
  <c r="S17" i="2"/>
  <c r="T120" i="2"/>
  <c r="T96" i="2"/>
  <c r="T80" i="2"/>
  <c r="N30" i="1"/>
  <c r="R134" i="2"/>
  <c r="R126" i="2" s="1"/>
  <c r="L29" i="1" s="1"/>
  <c r="T127" i="2"/>
  <c r="V91" i="2"/>
  <c r="V44" i="2"/>
  <c r="W17" i="2"/>
  <c r="V81" i="2"/>
  <c r="V58" i="2" s="1"/>
  <c r="O23" i="1"/>
  <c r="Q23" i="1" s="1"/>
  <c r="J19" i="1"/>
  <c r="G14" i="2"/>
  <c r="P27" i="1"/>
  <c r="R170" i="2"/>
  <c r="R156" i="2"/>
  <c r="R14" i="2"/>
  <c r="L13" i="1"/>
  <c r="M16" i="1"/>
  <c r="P23" i="1"/>
  <c r="M27" i="1"/>
  <c r="Q15" i="1"/>
  <c r="N16" i="1"/>
  <c r="P16" i="1" s="1"/>
  <c r="N24" i="1"/>
  <c r="Q26" i="1"/>
  <c r="N27" i="1"/>
  <c r="M40" i="1"/>
  <c r="L156" i="2"/>
  <c r="L170" i="2"/>
  <c r="W18" i="2"/>
  <c r="V18" i="2"/>
  <c r="V16" i="2" s="1"/>
  <c r="O169" i="2"/>
  <c r="O167" i="2"/>
  <c r="O168" i="2"/>
  <c r="M25" i="4"/>
  <c r="O60" i="1" s="1"/>
  <c r="Q30" i="1"/>
  <c r="H65" i="1"/>
  <c r="K22" i="2"/>
  <c r="K15" i="2" s="1"/>
  <c r="Q161" i="2"/>
  <c r="P98" i="2"/>
  <c r="K21" i="1" s="1"/>
  <c r="P99" i="2"/>
  <c r="J98" i="2"/>
  <c r="R98" i="2"/>
  <c r="L21" i="1" s="1"/>
  <c r="I170" i="2"/>
  <c r="I156" i="2"/>
  <c r="I14" i="2"/>
  <c r="W32" i="2"/>
  <c r="V32" i="2"/>
  <c r="W28" i="2"/>
  <c r="V28" i="2"/>
  <c r="M62" i="2"/>
  <c r="P22" i="1"/>
  <c r="M23" i="1"/>
  <c r="L58" i="2"/>
  <c r="L43" i="2" s="1"/>
  <c r="J25" i="4"/>
  <c r="M22" i="2"/>
  <c r="Q15" i="2"/>
  <c r="J27" i="2"/>
  <c r="T27" i="2" s="1"/>
  <c r="J44" i="2"/>
  <c r="T44" i="2" s="1"/>
  <c r="Q25" i="1"/>
  <c r="R58" i="2"/>
  <c r="R43" i="2" s="1"/>
  <c r="J91" i="2"/>
  <c r="I125" i="2"/>
  <c r="I98" i="2" s="1"/>
  <c r="I42" i="2" s="1"/>
  <c r="I161" i="2"/>
  <c r="K98" i="2"/>
  <c r="K99" i="2"/>
  <c r="K161" i="2" s="1"/>
  <c r="L25" i="4"/>
  <c r="N60" i="1" s="1"/>
  <c r="N64" i="1"/>
  <c r="P64" i="1" s="1"/>
  <c r="Q52" i="2"/>
  <c r="S52" i="2" s="1"/>
  <c r="J81" i="2"/>
  <c r="T81" i="2" s="1"/>
  <c r="M168" i="2"/>
  <c r="M169" i="2"/>
  <c r="M167" i="2"/>
  <c r="V99" i="2"/>
  <c r="L98" i="2"/>
  <c r="I21" i="1" s="1"/>
  <c r="L99" i="2"/>
  <c r="Q126" i="2"/>
  <c r="S126" i="2" s="1"/>
  <c r="J75" i="2"/>
  <c r="T75" i="2" s="1"/>
  <c r="G99" i="2"/>
  <c r="G161" i="2" s="1"/>
  <c r="J99" i="2"/>
  <c r="R99" i="2"/>
  <c r="G116" i="2"/>
  <c r="T116" i="2" s="1"/>
  <c r="V34" i="2"/>
  <c r="P29" i="2" l="1"/>
  <c r="P27" i="2" s="1"/>
  <c r="P15" i="2" s="1"/>
  <c r="P170" i="2" s="1"/>
  <c r="N27" i="2"/>
  <c r="N15" i="2" s="1"/>
  <c r="S81" i="2"/>
  <c r="G156" i="2"/>
  <c r="O29" i="2"/>
  <c r="O27" i="2" s="1"/>
  <c r="O15" i="2" s="1"/>
  <c r="O122" i="2"/>
  <c r="O120" i="2" s="1"/>
  <c r="O116" i="2" s="1"/>
  <c r="O98" i="2" s="1"/>
  <c r="O42" i="2" s="1"/>
  <c r="O159" i="2" s="1"/>
  <c r="P42" i="2"/>
  <c r="S16" i="2"/>
  <c r="K42" i="2"/>
  <c r="K41" i="2" s="1"/>
  <c r="G29" i="1"/>
  <c r="T126" i="2"/>
  <c r="S98" i="2"/>
  <c r="H21" i="1"/>
  <c r="P21" i="1" s="1"/>
  <c r="Q58" i="2"/>
  <c r="S15" i="2"/>
  <c r="T91" i="2"/>
  <c r="S91" i="2"/>
  <c r="S99" i="2"/>
  <c r="T99" i="2"/>
  <c r="N42" i="2"/>
  <c r="N41" i="2" s="1"/>
  <c r="N17" i="1"/>
  <c r="Q17" i="1" s="1"/>
  <c r="O30" i="1"/>
  <c r="O17" i="1" s="1"/>
  <c r="M116" i="2"/>
  <c r="M98" i="2" s="1"/>
  <c r="S104" i="2"/>
  <c r="T104" i="2"/>
  <c r="G24" i="1"/>
  <c r="M24" i="1" s="1"/>
  <c r="M15" i="2"/>
  <c r="O85" i="2"/>
  <c r="O81" i="2" s="1"/>
  <c r="O58" i="2" s="1"/>
  <c r="O43" i="2" s="1"/>
  <c r="M81" i="2"/>
  <c r="M58" i="2" s="1"/>
  <c r="M43" i="2" s="1"/>
  <c r="M42" i="2" s="1"/>
  <c r="P57" i="1"/>
  <c r="M57" i="1"/>
  <c r="S27" i="2"/>
  <c r="N161" i="2"/>
  <c r="J22" i="1"/>
  <c r="V27" i="2"/>
  <c r="V15" i="2" s="1"/>
  <c r="V14" i="2" s="1"/>
  <c r="V151" i="2" s="1"/>
  <c r="V43" i="2"/>
  <c r="V42" i="2" s="1"/>
  <c r="V41" i="2" s="1"/>
  <c r="R17" i="1" s="1"/>
  <c r="O41" i="2"/>
  <c r="K159" i="2"/>
  <c r="L42" i="2"/>
  <c r="I19" i="1"/>
  <c r="I159" i="2"/>
  <c r="I41" i="2"/>
  <c r="K156" i="2"/>
  <c r="K14" i="2"/>
  <c r="K170" i="2"/>
  <c r="L19" i="1"/>
  <c r="R42" i="2"/>
  <c r="P161" i="2"/>
  <c r="K22" i="1"/>
  <c r="P65" i="1"/>
  <c r="O24" i="1"/>
  <c r="Q24" i="1" s="1"/>
  <c r="N159" i="2"/>
  <c r="G169" i="2"/>
  <c r="G167" i="2"/>
  <c r="G168" i="2"/>
  <c r="G21" i="1"/>
  <c r="M21" i="1" s="1"/>
  <c r="G20" i="1"/>
  <c r="M20" i="1" s="1"/>
  <c r="Q170" i="2"/>
  <c r="Q156" i="2"/>
  <c r="Q14" i="2"/>
  <c r="H13" i="1"/>
  <c r="J58" i="2"/>
  <c r="T58" i="2" s="1"/>
  <c r="M60" i="1"/>
  <c r="P60" i="1"/>
  <c r="O16" i="1"/>
  <c r="Q16" i="1" s="1"/>
  <c r="Q43" i="2"/>
  <c r="R161" i="2"/>
  <c r="L22" i="1"/>
  <c r="G98" i="2"/>
  <c r="G42" i="2" s="1"/>
  <c r="N170" i="2"/>
  <c r="N156" i="2"/>
  <c r="N14" i="2"/>
  <c r="J13" i="1"/>
  <c r="J161" i="2"/>
  <c r="T161" i="2" s="1"/>
  <c r="G22" i="1"/>
  <c r="M156" i="2"/>
  <c r="M14" i="2"/>
  <c r="M170" i="2"/>
  <c r="Q167" i="2"/>
  <c r="Q168" i="2"/>
  <c r="Q169" i="2"/>
  <c r="J15" i="2"/>
  <c r="T15" i="2" s="1"/>
  <c r="Q29" i="1"/>
  <c r="H29" i="1"/>
  <c r="L161" i="2"/>
  <c r="I22" i="1"/>
  <c r="K167" i="2"/>
  <c r="K168" i="2"/>
  <c r="K169" i="2"/>
  <c r="P24" i="1"/>
  <c r="I151" i="2"/>
  <c r="I154" i="2" s="1"/>
  <c r="I167" i="2"/>
  <c r="I168" i="2"/>
  <c r="I169" i="2"/>
  <c r="P159" i="2"/>
  <c r="P41" i="2"/>
  <c r="K18" i="1"/>
  <c r="K17" i="1" s="1"/>
  <c r="O27" i="1"/>
  <c r="Q27" i="1" s="1"/>
  <c r="L66" i="1"/>
  <c r="L12" i="1"/>
  <c r="M159" i="2" l="1"/>
  <c r="M41" i="2"/>
  <c r="S58" i="2"/>
  <c r="O156" i="2"/>
  <c r="O14" i="2"/>
  <c r="O151" i="2" s="1"/>
  <c r="O154" i="2" s="1"/>
  <c r="O170" i="2"/>
  <c r="J43" i="2"/>
  <c r="T43" i="2" s="1"/>
  <c r="S43" i="2"/>
  <c r="P14" i="2"/>
  <c r="J18" i="1"/>
  <c r="J17" i="1" s="1"/>
  <c r="J65" i="1"/>
  <c r="J64" i="1"/>
  <c r="P156" i="2"/>
  <c r="N168" i="2"/>
  <c r="N169" i="2"/>
  <c r="N167" i="2"/>
  <c r="O22" i="1"/>
  <c r="O64" i="1" s="1"/>
  <c r="M151" i="2"/>
  <c r="M154" i="2" s="1"/>
  <c r="S170" i="2"/>
  <c r="S161" i="2"/>
  <c r="K151" i="2"/>
  <c r="K154" i="2" s="1"/>
  <c r="T98" i="2"/>
  <c r="R12" i="1"/>
  <c r="R18" i="1" s="1"/>
  <c r="J167" i="2"/>
  <c r="T167" i="2" s="1"/>
  <c r="J168" i="2"/>
  <c r="T168" i="2" s="1"/>
  <c r="J169" i="2"/>
  <c r="T169" i="2" s="1"/>
  <c r="N13" i="1"/>
  <c r="P13" i="1" s="1"/>
  <c r="H66" i="1"/>
  <c r="H12" i="1"/>
  <c r="I65" i="1"/>
  <c r="I64" i="1"/>
  <c r="J66" i="1"/>
  <c r="J12" i="1"/>
  <c r="J31" i="1" s="1"/>
  <c r="J37" i="1" s="1"/>
  <c r="J43" i="1" s="1"/>
  <c r="L65" i="1"/>
  <c r="L64" i="1"/>
  <c r="L167" i="2"/>
  <c r="L168" i="2"/>
  <c r="L169" i="2"/>
  <c r="N151" i="2"/>
  <c r="R167" i="2"/>
  <c r="R168" i="2"/>
  <c r="R169" i="2"/>
  <c r="R41" i="2"/>
  <c r="R151" i="2" s="1"/>
  <c r="R154" i="2" s="1"/>
  <c r="L32" i="1" s="1"/>
  <c r="R159" i="2"/>
  <c r="L18" i="1"/>
  <c r="L17" i="1" s="1"/>
  <c r="L69" i="1" s="1"/>
  <c r="L41" i="2"/>
  <c r="L151" i="2" s="1"/>
  <c r="L159" i="2"/>
  <c r="I18" i="1"/>
  <c r="I17" i="1" s="1"/>
  <c r="O65" i="1"/>
  <c r="K65" i="1"/>
  <c r="K64" i="1"/>
  <c r="P169" i="2"/>
  <c r="P167" i="2"/>
  <c r="P168" i="2"/>
  <c r="Q42" i="2"/>
  <c r="H19" i="1"/>
  <c r="N29" i="1"/>
  <c r="O29" i="1" s="1"/>
  <c r="M29" i="1"/>
  <c r="J170" i="2"/>
  <c r="T170" i="2" s="1"/>
  <c r="J156" i="2"/>
  <c r="T156" i="2" s="1"/>
  <c r="J14" i="2"/>
  <c r="T14" i="2" s="1"/>
  <c r="G13" i="1"/>
  <c r="M13" i="1" s="1"/>
  <c r="M22" i="1"/>
  <c r="G65" i="1"/>
  <c r="M65" i="1" s="1"/>
  <c r="G64" i="1"/>
  <c r="M64" i="1" s="1"/>
  <c r="G159" i="2"/>
  <c r="G41" i="2"/>
  <c r="G151" i="2" s="1"/>
  <c r="P151" i="2"/>
  <c r="K13" i="1"/>
  <c r="J42" i="2" l="1"/>
  <c r="T42" i="2" s="1"/>
  <c r="L31" i="1"/>
  <c r="L37" i="1" s="1"/>
  <c r="L43" i="1" s="1"/>
  <c r="L45" i="1" s="1"/>
  <c r="S169" i="2"/>
  <c r="G19" i="1"/>
  <c r="S14" i="2"/>
  <c r="S168" i="2"/>
  <c r="Q22" i="1"/>
  <c r="S156" i="2"/>
  <c r="S167" i="2"/>
  <c r="J69" i="1"/>
  <c r="P29" i="1"/>
  <c r="G66" i="1"/>
  <c r="M66" i="1" s="1"/>
  <c r="G12" i="1"/>
  <c r="M12" i="1" s="1"/>
  <c r="M19" i="1"/>
  <c r="P19" i="1"/>
  <c r="K66" i="1"/>
  <c r="K12" i="1"/>
  <c r="J151" i="2"/>
  <c r="T151" i="2" s="1"/>
  <c r="O13" i="1"/>
  <c r="O12" i="1" s="1"/>
  <c r="N12" i="1"/>
  <c r="Q159" i="2"/>
  <c r="Q41" i="2"/>
  <c r="S41" i="2" s="1"/>
  <c r="H18" i="1"/>
  <c r="P12" i="1"/>
  <c r="I69" i="1"/>
  <c r="I31" i="1"/>
  <c r="I37" i="1" s="1"/>
  <c r="I43" i="1" s="1"/>
  <c r="J41" i="2"/>
  <c r="T41" i="2" s="1"/>
  <c r="J159" i="2"/>
  <c r="T159" i="2" s="1"/>
  <c r="G18" i="1"/>
  <c r="G17" i="1" s="1"/>
  <c r="G69" i="1" s="1"/>
  <c r="P66" i="1"/>
  <c r="S159" i="2" l="1"/>
  <c r="S42" i="2"/>
  <c r="Q151" i="2"/>
  <c r="S151" i="2" s="1"/>
  <c r="K31" i="1"/>
  <c r="K37" i="1" s="1"/>
  <c r="K43" i="1" s="1"/>
  <c r="K69" i="1"/>
  <c r="Q12" i="1"/>
  <c r="N31" i="1"/>
  <c r="N69" i="1"/>
  <c r="O31" i="1"/>
  <c r="O69" i="1"/>
  <c r="Q13" i="1"/>
  <c r="J154" i="2"/>
  <c r="T154" i="2" s="1"/>
  <c r="W151" i="2"/>
  <c r="X151" i="2" s="1"/>
  <c r="M18" i="1"/>
  <c r="H17" i="1"/>
  <c r="G31" i="1"/>
  <c r="G37" i="1" s="1"/>
  <c r="G43" i="1" s="1"/>
  <c r="O32" i="1" l="1"/>
  <c r="O37" i="1" s="1"/>
  <c r="O43" i="1" s="1"/>
  <c r="G45" i="1"/>
  <c r="G49" i="1" s="1"/>
  <c r="H69" i="1"/>
  <c r="M17" i="1"/>
  <c r="S17" i="1"/>
  <c r="H31" i="1"/>
  <c r="Q31" i="1"/>
  <c r="N32" i="1"/>
  <c r="Q154" i="2"/>
  <c r="S154" i="2" s="1"/>
  <c r="K45" i="1"/>
  <c r="K49" i="1" s="1"/>
  <c r="Q32" i="1" l="1"/>
  <c r="H32" i="1"/>
  <c r="H37" i="1" s="1"/>
  <c r="O45" i="1"/>
  <c r="O49" i="1" s="1"/>
  <c r="M31" i="1"/>
  <c r="P31" i="1"/>
  <c r="P69" i="1"/>
  <c r="M69" i="1"/>
  <c r="N37" i="1"/>
  <c r="P37" i="1" l="1"/>
  <c r="H43" i="1"/>
  <c r="M37" i="1"/>
  <c r="N43" i="1"/>
  <c r="Q37" i="1"/>
  <c r="M32" i="1"/>
  <c r="P32" i="1"/>
  <c r="N45" i="1" l="1"/>
  <c r="Q43" i="1"/>
  <c r="P43" i="1"/>
  <c r="M43" i="1"/>
  <c r="H49" i="1"/>
  <c r="M49" i="1" s="1"/>
  <c r="P45" i="1" l="1"/>
  <c r="M45" i="1"/>
  <c r="P44" i="1"/>
  <c r="M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aa</author>
    <author>User</author>
    <author>Author</author>
  </authors>
  <commentList>
    <comment ref="L2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aa:</t>
        </r>
        <r>
          <rPr>
            <sz val="9"/>
            <color indexed="81"/>
            <rFont val="Tahoma"/>
            <family val="2"/>
          </rPr>
          <t xml:space="preserve">
vanatoare</t>
        </r>
      </text>
    </comment>
    <comment ref="Q49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71300.28 din DR 24
800  casa de marcat mobila
</t>
        </r>
      </text>
    </comment>
    <comment ref="G79" authorId="2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0,03
</t>
        </r>
      </text>
    </comment>
    <comment ref="G80" authorId="2" shapeId="0" xr:uid="{00000000-0006-0000-0100-000004000000}">
      <text>
        <r>
          <rPr>
            <b/>
            <sz val="9"/>
            <color indexed="81"/>
            <rFont val="Segoe UI"/>
            <family val="2"/>
            <charset val="238"/>
          </rPr>
          <t>Author:</t>
        </r>
        <r>
          <rPr>
            <sz val="9"/>
            <color indexed="81"/>
            <rFont val="Segoe UI"/>
            <family val="2"/>
            <charset val="238"/>
          </rPr>
          <t xml:space="preserve">
vanatoare 0,04
</t>
        </r>
      </text>
    </comment>
  </commentList>
</comments>
</file>

<file path=xl/sharedStrings.xml><?xml version="1.0" encoding="utf-8"?>
<sst xmlns="http://schemas.openxmlformats.org/spreadsheetml/2006/main" count="649" uniqueCount="460">
  <si>
    <t>AUTORITATEA ADMINISTRAŢIEI PUBLICE CENTRALE/LOCALE</t>
  </si>
  <si>
    <t>Anexa nr.1</t>
  </si>
  <si>
    <t>Operatorul economic: R.P.L. OCOLUL SILVIC AL MUNICIPIULUI BISTRITA R.A .</t>
  </si>
  <si>
    <t>la HCL nr._/__.__.2026</t>
  </si>
  <si>
    <t>Sediul/Adresa: Vasile Lupu  NR.16A</t>
  </si>
  <si>
    <t>al comunei Livezile</t>
  </si>
  <si>
    <t>Cod unic de înregistrare: RO 25742072</t>
  </si>
  <si>
    <t>BUGETUL DE VENITURI ŞI CHELTUIELI COMUNA LIVEZILE</t>
  </si>
  <si>
    <t>AN 2026 SI ESTIMAT 2027 - 2028</t>
  </si>
  <si>
    <t>mii lei</t>
  </si>
  <si>
    <t>INDICATORI</t>
  </si>
  <si>
    <t>Nr.rd.</t>
  </si>
  <si>
    <t>Realizat / Preliminat an precedent (N-1) 2025</t>
  </si>
  <si>
    <t>Aprobat an curent (N)    2026</t>
  </si>
  <si>
    <t>Executie BVC</t>
  </si>
  <si>
    <t>%</t>
  </si>
  <si>
    <t>Estimări an N + 1  2027</t>
  </si>
  <si>
    <t>Estimări an N + 2 2028</t>
  </si>
  <si>
    <t>trim I</t>
  </si>
  <si>
    <t>trim II</t>
  </si>
  <si>
    <t>trim III</t>
  </si>
  <si>
    <t xml:space="preserve">trim IV </t>
  </si>
  <si>
    <t>9 = 7/5</t>
  </si>
  <si>
    <t>10 = 8/7</t>
  </si>
  <si>
    <t>6a</t>
  </si>
  <si>
    <t>6b</t>
  </si>
  <si>
    <t>6c</t>
  </si>
  <si>
    <t>6d=5/4</t>
  </si>
  <si>
    <t>I</t>
  </si>
  <si>
    <t>VENITURI TOTALE (Rd. 1 = Rd.2 + Rd.5)</t>
  </si>
  <si>
    <t xml:space="preserve">Venituri totale din exploatare, din care: </t>
  </si>
  <si>
    <t>a)</t>
  </si>
  <si>
    <t>subventii, cf.prevederilor legale in vigoare</t>
  </si>
  <si>
    <t>b)</t>
  </si>
  <si>
    <t>transferuri, cf.prevederilor legale in vigoare</t>
  </si>
  <si>
    <t>Venituri financiare</t>
  </si>
  <si>
    <t>II</t>
  </si>
  <si>
    <t>CHELTUIELI TOTALE (Rd.6 = Rd.7 + Rd.19)</t>
  </si>
  <si>
    <t>Cheltuieli de exploatare(Rd.7=Rd.8+Rd.9+R.10+Rd.18),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</si>
  <si>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</si>
  <si>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</si>
  <si>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</si>
  <si>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</si>
  <si>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</si>
  <si>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 (Rd.10=Rd.11+Rd.14+Rd.16+Rd.17), din care:</t>
  </si>
  <si>
    <t>C0</t>
  </si>
  <si>
    <t>cheltuieli de natura salariala (Rd.11=Rd.12+Rd.13)</t>
  </si>
  <si>
    <t>C1</t>
  </si>
  <si>
    <t>ch. cu salariile</t>
  </si>
  <si>
    <t>C2</t>
  </si>
  <si>
    <t>bonusuri</t>
  </si>
  <si>
    <t>C3</t>
  </si>
  <si>
    <t>alte cheltuieli cu personalul, din care:</t>
  </si>
  <si>
    <t>- cheltuieli cu plaţi compensatorii aferente disponibilizărilor de personal</t>
  </si>
  <si>
    <t>C4</t>
  </si>
  <si>
    <t>Cheltuieli aferente contractului de mandat si altor organe de conducere si control, comisii si comitete</t>
  </si>
  <si>
    <t>C5</t>
  </si>
  <si>
    <t>cheltuieli cu contributiile datorate de angajator</t>
  </si>
  <si>
    <t>D.</t>
  </si>
  <si>
    <t>alte cheltuieli de exploatare</t>
  </si>
  <si>
    <t>Cheltuieli financiare</t>
  </si>
  <si>
    <t>III</t>
  </si>
  <si>
    <t>REZULTATUL BRUT (profit/pierdere)( Rd.20=Rd.1-Rd.6)</t>
  </si>
  <si>
    <t>IV</t>
  </si>
  <si>
    <t>IMPOZIT PE PROFIT CURENT</t>
  </si>
  <si>
    <t>IMPOZIT PE PROFIT AMANAT</t>
  </si>
  <si>
    <t>VENITURI DIN IMPOZITUL PE PROFIT AMANAT</t>
  </si>
  <si>
    <t>IMOIZITUL SPECIFIC UNOR ACTIVITATI</t>
  </si>
  <si>
    <t>ALTE IMPOZITE NEPREZENTATE  LA ELEMENTELE DE MAI SUS</t>
  </si>
  <si>
    <t>V</t>
  </si>
  <si>
    <t>PROFITUL /PIERDEREA NETA A PERIOADEI DE RAPORTARE (Rd.26=Rd.20-Rd.21-Rd.22+Rd.23-Rd.24-Rd.25),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</si>
  <si>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</si>
  <si>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</si>
  <si>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</si>
  <si>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</si>
  <si>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</si>
  <si>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27, 28, 29, 30,31(Rd.32=Rd.26-(Rd.27 la Rd.31) &gt; = 0.</t>
  </si>
  <si>
    <t>Participarea salariaţilor la profit în limita a 10% din profitul net, dar nu mai mult de nivelul unui salariu de bază mediu lunar realizat la nivelul operatorului economic în exerciţiul financiar de referinţă</t>
  </si>
  <si>
    <t>Minimum 50% vărsăminte la  bugetul Comunei Livezile în cazul regiilor autonome, ori dividende cuvenite acţionarilor, în cazul societăţilor/companiilor naţionale şi societăţilor cu capital integral sau majoritar de stat, din care:</t>
  </si>
  <si>
    <t xml:space="preserve"> dividende cuvenite bugetului de stat</t>
  </si>
  <si>
    <t xml:space="preserve"> dividende cuvenite bugetului local</t>
  </si>
  <si>
    <t>c)</t>
  </si>
  <si>
    <t xml:space="preserve"> dividende cuvenite altor actionari</t>
  </si>
  <si>
    <t>Profitul nerepartizat pe destinaţiile prevăzute la Rd.33 - Rd.34 se repartizează la alte rezerve şi constituie sursa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</si>
  <si>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</si>
  <si>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</si>
  <si>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</si>
  <si>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</si>
  <si>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</si>
  <si>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</si>
  <si>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</si>
  <si>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</si>
  <si>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</si>
  <si>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</si>
  <si>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</si>
  <si>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</si>
  <si>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</si>
  <si>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</si>
  <si>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alocatii bugetare aferente platii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</si>
  <si>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</si>
  <si>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</si>
  <si>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</si>
  <si>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</si>
  <si>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</si>
  <si>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</si>
  <si>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chltuielilor de natura  salariala</t>
  </si>
  <si>
    <t>Câştigul mediu lunar pe salariat (lei/persoană)  determinat pe baza cheltuielilor de natura salariala, recalculat cf. Legii anuale a bugetului de stat **)</t>
  </si>
  <si>
    <t>Productivitatea muncii în unităţi valorice pe total personal mediu( mii lei/persoana)(rd. 2/rd. 51)</t>
  </si>
  <si>
    <t>Productivitatea muncii in unitati valorice pe total personal mediu recalculata cf.Legii anuale a bugetului de stat</t>
  </si>
  <si>
    <t>Productivitatea muncii în unităţi fizice pe total personal mediu (cantitate produse finite /persoană)</t>
  </si>
  <si>
    <t>Cheltuieli totale la 1000 lei venituri totale (Rd.57=(Rd.6/Rd.1) x 1000</t>
  </si>
  <si>
    <t>Plăţi restante</t>
  </si>
  <si>
    <t>Creanţe restante</t>
  </si>
  <si>
    <t>CONDUCĂTORUL UNITĂŢII,</t>
  </si>
  <si>
    <t>CONDUCATORUL COMPARTIMENTUL  FINANCIAR-CONTABIL</t>
  </si>
  <si>
    <t>Sef Ocol Silvic</t>
  </si>
  <si>
    <t xml:space="preserve">Contabil Sef </t>
  </si>
  <si>
    <t>Ing. Valea Ovidiu Lucian</t>
  </si>
  <si>
    <t xml:space="preserve">ec. Aluaș Aurelia </t>
  </si>
  <si>
    <t>Anexa nr.2</t>
  </si>
  <si>
    <t>Sediul/Adresa: Vasile Lupu NR.16 A</t>
  </si>
  <si>
    <t xml:space="preserve">Cod unic de înregistrare: RO 25742072 </t>
  </si>
  <si>
    <t>Detalierea indicatorilor economico-financiari prevăzuţi în bugetul de venituri şi cheltuieli</t>
  </si>
  <si>
    <t xml:space="preserve">pentru anul 2026 comuna Livezile </t>
  </si>
  <si>
    <t>Nr. rd.</t>
  </si>
  <si>
    <t>Realizat  2024</t>
  </si>
  <si>
    <t>Prevederi an precedent  ( N-1)</t>
  </si>
  <si>
    <t>Aprobat an curent (N)</t>
  </si>
  <si>
    <t>Aprobat 2025</t>
  </si>
  <si>
    <t>Preliminat/ Realizat  2025</t>
  </si>
  <si>
    <t>din care</t>
  </si>
  <si>
    <t>an N-2</t>
  </si>
  <si>
    <t>conf.HG  /Ordin comun</t>
  </si>
  <si>
    <t>Conform Hotarârii C.A.</t>
  </si>
  <si>
    <t xml:space="preserve">Trim I </t>
  </si>
  <si>
    <t xml:space="preserve">Trim II </t>
  </si>
  <si>
    <t xml:space="preserve">Trim III  </t>
  </si>
  <si>
    <t>TOTAL    AN 2026</t>
  </si>
  <si>
    <t xml:space="preserve">Trim IV </t>
  </si>
  <si>
    <t>7=6/5</t>
  </si>
  <si>
    <t>8 =5/3a</t>
  </si>
  <si>
    <t>3a</t>
  </si>
  <si>
    <t>4a</t>
  </si>
  <si>
    <t>executie</t>
  </si>
  <si>
    <t>VENITURI TOTALE (Rd.1=Rd. 2 + Rd. 22 )</t>
  </si>
  <si>
    <t>Venituri totale din exploatare (Rd.2=Rd. 3 + Rd. 8 + Rd. 9 +Rd. 12 + Rd. 13 + Rd. 14), din care:</t>
  </si>
  <si>
    <t>din producţia vândută (Rd.3=Rd. 4 + Rd. 5 + Rd. 6 + Rd. 7), din care: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</si>
  <si>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</si>
  <si>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</si>
  <si>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</si>
  <si>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</si>
  <si>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</si>
  <si>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</si>
  <si>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</si>
  <si>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 Vanatoare</t>
  </si>
  <si>
    <t>din vânzarea mărfurilor</t>
  </si>
  <si>
    <t>din subvenţii şi transferuri de exploatare aferente cifrei de afaceri nete (Rd.9=Rd. 10 + Rd. 11)  din care:</t>
  </si>
  <si>
    <t>c1)</t>
  </si>
  <si>
    <t>subvenţii, cf. prevederilor legale în vigoare</t>
  </si>
  <si>
    <t>c2)</t>
  </si>
  <si>
    <t>transferuri, cf. prevederilor legale în vigoare</t>
  </si>
  <si>
    <t>din producţia de imobilizări</t>
  </si>
  <si>
    <t>venituri aferente costului producţiei în curs de execuţie</t>
  </si>
  <si>
    <t>f)</t>
  </si>
  <si>
    <t>alte venituri din exploatare (Rd.1+Rd. 16 + Rd. 19 + Rd. 20 + Rd. 21), din care:</t>
  </si>
  <si>
    <t>f1)</t>
  </si>
  <si>
    <t>din amenzi şi penalităţi</t>
  </si>
  <si>
    <t>f2)</t>
  </si>
  <si>
    <t>din vânzarea activelor şi alte operaţii de capital (Rd.1= Rd. 17 +Rd. 18), din care:</t>
  </si>
  <si>
    <t>- active corporale</t>
  </si>
  <si>
    <t>- active necorporale</t>
  </si>
  <si>
    <t>f3)</t>
  </si>
  <si>
    <t>din subvenţii pentru investiţii( Ajutor de stat aferent interventiei DR-24 investitii in tehnologii forestiere care imbunatatesc rezilienta 65%).</t>
  </si>
  <si>
    <t>f4)</t>
  </si>
  <si>
    <t>din valorificarea certificatelor C02</t>
  </si>
  <si>
    <t>f5)</t>
  </si>
  <si>
    <t>alte venituri</t>
  </si>
  <si>
    <t>Venituri financiare (Rd.22=Rd. 23 + Rd. 24 + Rd. 25 + Rd. 26 + Rd. 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</si>
  <si>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</si>
  <si>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</si>
  <si>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</si>
  <si>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</si>
  <si>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</si>
  <si>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II.</t>
  </si>
  <si>
    <t>CHELTUIELI TOTALE (Rd.28= Rd. 29 + Rd. 130)</t>
  </si>
  <si>
    <t>Cheltuieli de exploatare (Rd. 29= Rd.30 + Rd.78 + Rd.85 + Rd. 113), din care:</t>
  </si>
  <si>
    <t>A. Cheltuieli cu bunuri şi servicii (Rd. 30= Rd. 31+Rd.39 + Rd. 45) din care:</t>
  </si>
  <si>
    <t>A1</t>
  </si>
  <si>
    <t>Cheltuieli privind stocurile (Rd. 31 = Rd. 32 + Rd. 33 + Rd. 36 + Rd. 37 + 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</si>
  <si>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</si>
  <si>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</si>
  <si>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</si>
  <si>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</si>
  <si>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</si>
  <si>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</si>
  <si>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</si>
  <si>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</si>
  <si>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</si>
  <si>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</si>
  <si>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(Rd.39= Rd. 40 + Rd. 41 + Rd. 44), din care:</t>
  </si>
  <si>
    <t>cheltuieli cu întreţinerea şi reparaţiile</t>
  </si>
  <si>
    <t>cheltuieli privind chiriile (Rd.41= Rd. 42 + Rd. 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</si>
  <si>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</si>
  <si>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</si>
  <si>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</si>
  <si>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</si>
  <si>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terţi (Rd.45= Rd. 46 + Rd. 47 + Rd. 49 + Rd. 56 + Rd. 61 + Rd. 62 + Rd. 66 + Rd. 67 + Rd. 68 + Rd. 77), din care:</t>
  </si>
  <si>
    <t>cheltuieli cu colaboratorii ( zilier)</t>
  </si>
  <si>
    <t>cheltuieli privind comisioanele şi onorariul, din care:</t>
  </si>
  <si>
    <t>cheltuieli privind consultanţa juridică</t>
  </si>
  <si>
    <t>cheltuieli de protocol, reclamă şi publicitate (rd. 51 + rd. 53), din care:</t>
  </si>
  <si>
    <t>cheltuieli de protocol, din care:</t>
  </si>
  <si>
    <t>- tichete cadou potrivit Legii nr. 193/2006, cu modificările ulterioare</t>
  </si>
  <si>
    <t>cheltuieli de reclamă şi publicitate, din care:</t>
  </si>
  <si>
    <t>- tichete cadou ptr. cheltuieli de reclamă şi publicitate, potrivit Legii nr. 193/2006, cu modificările ulterioare</t>
  </si>
  <si>
    <t>- tichete cadou ptr. campanii de marketing, studiul pieţei, promovarea pe pieţe existente sau noi, potrivit Legii nr. 193/2006, cu modificările ulterioare</t>
  </si>
  <si>
    <t>- ch.de promovarea produselor</t>
  </si>
  <si>
    <t>Ch. cu sponsorizarea potrivit OUG nr. 2/2015 (Rd.56=Rd. 57 + Rd. 58 + Rd. 60 ), din care:</t>
  </si>
  <si>
    <t>d1)</t>
  </si>
  <si>
    <t>ch. de sponsorizare in domeniul medical si sanatate</t>
  </si>
  <si>
    <t>d2)</t>
  </si>
  <si>
    <t>ch. de sponsorizare in domeniile educatie, invatamant, social si sport din care:</t>
  </si>
  <si>
    <t>pentru cluburile sportive</t>
  </si>
  <si>
    <t>d4)</t>
  </si>
  <si>
    <t>cheltuieli de sponsorizare pentru alte actiuni  si activitati</t>
  </si>
  <si>
    <t>cheltuieli cu transportul de bunuri şi persoane</t>
  </si>
  <si>
    <t>cheltuieli de deplasare, detaşare, transfer, din care:</t>
  </si>
  <si>
    <t xml:space="preserve"> cheltuieli cu diurna (Rd.63=Rd. 64 + Rd. 65), din care:</t>
  </si>
  <si>
    <t xml:space="preserve"> interna</t>
  </si>
  <si>
    <t xml:space="preserve"> externa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</si>
  <si>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</si>
  <si>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</si>
  <si>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</si>
  <si>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</si>
  <si>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</si>
  <si>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</si>
  <si>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</si>
  <si>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</si>
  <si>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</si>
  <si>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</si>
  <si>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</si>
  <si>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</si>
  <si>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</si>
  <si>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</si>
  <si>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t>- aferente bunurilor de natura domeniului public</t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</si>
  <si>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</si>
  <si>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</si>
  <si>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</si>
  <si>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</si>
  <si>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</si>
  <si>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</si>
  <si>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</si>
  <si>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>B. Cheltuieli cu impozite, taxe şi vărsăminte asimilate (Rd.78= Rd.79+ Rd. 80 + Rd. 81 + Rd. 82 + Rd. 83 + Rd. 84),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</si>
  <si>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</si>
  <si>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</si>
  <si>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</si>
  <si>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</si>
  <si>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</si>
  <si>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</si>
  <si>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>C. Cheltuieli cu personalul (Rd.85=Rd.86+Rd. 99+ Rd. 103 + Rd. 112)</t>
  </si>
  <si>
    <t>Cheltuieli de natura salariala (Rd.86=Rd.87+ Rd.91)</t>
  </si>
  <si>
    <t>Cheltuieli cu salariile (Rd.87=Rd. 88 + Rd. 89 + Rd. 90), din care:</t>
  </si>
  <si>
    <t>a) salarii de bază</t>
  </si>
  <si>
    <t>b) sporuri, prime şi alte bonificaţii aferente salariului de bază (conform CCM)</t>
  </si>
  <si>
    <t>c) alte bonificaţii (conform CCM)</t>
  </si>
  <si>
    <t>Bonusuri (Rd.91=Rd.92+Rd. 95 + Rd. 96 + Rd. 97 + Rd. 98), din care:</t>
  </si>
  <si>
    <t>a) cheltuieli sociale prevăzute la art. 25 din Legea nr. 227/2015 privind Codul fiscal, cu modificările şi completările ulterioare, din care:</t>
  </si>
  <si>
    <t>- tichete de creşă, cf. Legii nr. 193/2006, cu modificările ulterioare;</t>
  </si>
  <si>
    <t>- tichete cadou pentru cheltuieli sociale potrivit Legii nr. 193/2006, cu modificările ulterioare;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</si>
  <si>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</si>
  <si>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</si>
  <si>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</si>
  <si>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</si>
  <si>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Alte cheltuieli cu personalul (Rd.99 = Rd. 100 + Rd. 101 + Rd. 102),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</si>
  <si>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</si>
  <si>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</si>
  <si>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</si>
  <si>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Cheltuieli aferente contractului de mandat şi a altor organe de conducere şi control, comisii şi comitete (Rd.103= rd. 104 + rd. 107 + rd. 110 + rd.111), din care:</t>
  </si>
  <si>
    <t>a) pentru directori/directorat,din care:</t>
  </si>
  <si>
    <t>componenta fixa</t>
  </si>
  <si>
    <t xml:space="preserve">componenta variabila </t>
  </si>
  <si>
    <t>b) pentru consiliul de administraţie/consiliul de supraveghere, din care:</t>
  </si>
  <si>
    <t>c) pentru  cenzori</t>
  </si>
  <si>
    <t>d) pentru alte comisii şi comitete constituite potrivit legii</t>
  </si>
  <si>
    <t>Cheltuieli cu contributiile datorate de angajator</t>
  </si>
  <si>
    <t>D. Alte cheltuieli de exploatare (Rd.113 = rd. 114 + rd. 117 + rd. 118 + rd. 119 + rd. 120 + rd. 121), din care:</t>
  </si>
  <si>
    <t>cheltuieli cu majorări şi penalităţi (Rd.114=rd. 115 + rd. 116),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</si>
  <si>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</si>
  <si>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</si>
  <si>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</si>
  <si>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</si>
  <si>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alte cheltuieli (fondurile de regenerare si accesibilizare)</t>
  </si>
  <si>
    <t>ch. cu amortizarea imobilizărilor corporale şi necorporale</t>
  </si>
  <si>
    <t>ajustări şi deprecieri pentru pierdere de valoare şi provizioane (Rd.121=rd. 122 - rd. 125), din care:</t>
  </si>
  <si>
    <t>cheltuieli privind ajustările şi provizioanele</t>
  </si>
  <si>
    <t>f1.1)</t>
  </si>
  <si>
    <t>provizioane privind participarea la profit a salarialtilor</t>
  </si>
  <si>
    <t>f1.2)</t>
  </si>
  <si>
    <t>provizioane in legatura cu contractul de mandat</t>
  </si>
  <si>
    <t>venituri din provizioane şi ajustări pentru depreciere sau pierderi de valoare, din care:</t>
  </si>
  <si>
    <t>f2.1)</t>
  </si>
  <si>
    <t>din anularea provizioanelor (Rd.126=rd. 127 + rd. 128 + rd. 129), din care:</t>
  </si>
  <si>
    <t>- din participarea salariaţilor Ia profit</t>
  </si>
  <si>
    <t>- din deprecierea imobilizărilor corporale şi a activelor circulante</t>
  </si>
  <si>
    <t>- venituri din alte provizioane</t>
  </si>
  <si>
    <t>Cheltuieli financiare (Rd.130=rd. 131 + rd. 134 + rd. 137),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</si>
  <si>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</si>
  <si>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</si>
  <si>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</si>
  <si>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 , din care:</t>
  </si>
  <si>
    <t>alte cheltuieli financiare</t>
  </si>
  <si>
    <t>REZULTATUL BRUT (profit/pierdere) (rd. 1 - rd. 28)</t>
  </si>
  <si>
    <t>venituri neimpozabile</t>
  </si>
  <si>
    <t>cheltuieli nedeductibile fiscal</t>
  </si>
  <si>
    <t>IMPOZIT PE PROFIT</t>
  </si>
  <si>
    <t>Venituri totale din exploatare , din care:(Rd.2)</t>
  </si>
  <si>
    <t>venituri din subventii si transferuri</t>
  </si>
  <si>
    <t>alte venituri care nu se iau in calcul la determinarea productivitatii muncii, cf.Legii anuale a bugetului de stat</t>
  </si>
  <si>
    <t>Cheltuieli totale din exploatare , din care :Rd.29</t>
  </si>
  <si>
    <t>Cheltuieli din exploatare care nu se iau in calcul la determinarea rezultatului brut realizat in anul precedent, cf.Legii anuale a bugetului de stat</t>
  </si>
  <si>
    <t>Cheltuieli de natura salariala (rd.86),din care:**)</t>
  </si>
  <si>
    <t>………………….</t>
  </si>
  <si>
    <t>147a</t>
  </si>
  <si>
    <t>147b</t>
  </si>
  <si>
    <t>147c</t>
  </si>
  <si>
    <t>Nr. mediu de salariaţi</t>
  </si>
  <si>
    <t>Câştigul mediu lunar pe salariat (lei/persoana)determinat pe baza cheltuielilor cu salariile [(rd. 147/Rd.149]/12* 1000</t>
  </si>
  <si>
    <t>Câştigul mediu lunar pe salariat (lei/persoana)determinat pe baza cheltuielilor de naura salariala,recalcular cf.Legii anuale a bugetului de stat</t>
  </si>
  <si>
    <t>Câştigul mediu lunar pe salariat (lei/persoana)determinat pe baza cheltuielilor de naura salariala,recalcular cf.OG nr.26/2013 si Legii anuale a bugetului de stat</t>
  </si>
  <si>
    <t>Productivitatea muncii în unităţi valorice pe total personal mediu (mii lei/persoană) (rd. 2 /rd. 149)</t>
  </si>
  <si>
    <t>Productivitatea muncii în unităţi valorice  pe total personal mediu recalculata cf. Legii anuale a bugetului de stat</t>
  </si>
  <si>
    <t>Productivitatea muncii in unitati fizice pe total personal mediu (cantitate produse finite/persoana) W=QPF/Rd.149</t>
  </si>
  <si>
    <t>Elemente de calcul a productivităţii muncii în unităţi fizice, din care:</t>
  </si>
  <si>
    <t>cantitate de produse finite (QPF)</t>
  </si>
  <si>
    <t xml:space="preserve"> preţ mediu (p)</t>
  </si>
  <si>
    <t>valoare = QPF x p</t>
  </si>
  <si>
    <t xml:space="preserve"> pondere în venituri de exploatare totale = rd. 157/rd. 2</t>
  </si>
  <si>
    <t>Plati restante</t>
  </si>
  <si>
    <t>Creante restante, din care:</t>
  </si>
  <si>
    <t>de la operatorii cu capital integral / majoritar de stat</t>
  </si>
  <si>
    <t>de la operatorii cu capitalprivat</t>
  </si>
  <si>
    <t>de la bugetul de stat</t>
  </si>
  <si>
    <t>de la bugetul local</t>
  </si>
  <si>
    <t>de la alte entitati</t>
  </si>
  <si>
    <t>Credite pentru finantarea activitatii curente (soldul ramas de rambrursat</t>
  </si>
  <si>
    <t>Redistribuiri/distribuiri totale cf.OUG nr.29/2017 din:</t>
  </si>
  <si>
    <t>alte rezerve</t>
  </si>
  <si>
    <t>rezultatul reportat</t>
  </si>
  <si>
    <t>CONDUCĂTORUL COMPARTIMENTULUI   FINANCIAR-CONTABIL</t>
  </si>
  <si>
    <t xml:space="preserve">Sef Contabil </t>
  </si>
  <si>
    <t>Anexa nr.3</t>
  </si>
  <si>
    <t>la HCL nr.__/__.__.2026</t>
  </si>
  <si>
    <t xml:space="preserve"> al comunei Livezile</t>
  </si>
  <si>
    <t>Gradul de realizare a veniturilor totale Comuna Livezile</t>
  </si>
  <si>
    <t xml:space="preserve">Nr </t>
  </si>
  <si>
    <t xml:space="preserve">INDICATORI </t>
  </si>
  <si>
    <t>Prevederi an N-2</t>
  </si>
  <si>
    <t>%        4=3/2</t>
  </si>
  <si>
    <t>Prevederi an precedent (N-1)</t>
  </si>
  <si>
    <t>%        7=6/5</t>
  </si>
  <si>
    <t>Crt</t>
  </si>
  <si>
    <t>Aprobat</t>
  </si>
  <si>
    <t>Realizat</t>
  </si>
  <si>
    <t>I.</t>
  </si>
  <si>
    <t>Venituri totale (rd.1+rd.2+rd.3), din care:</t>
  </si>
  <si>
    <t xml:space="preserve">Venituri din exploatare </t>
  </si>
  <si>
    <t>2.</t>
  </si>
  <si>
    <t xml:space="preserve"> CONDUCĂTORUL UNITĂŢII, </t>
  </si>
  <si>
    <t>CONDUCĂTORUL COMPARTIMENTULUI</t>
  </si>
  <si>
    <t>FINANCIAR-CONTABIL</t>
  </si>
  <si>
    <t>ec. Aluas Aurelia</t>
  </si>
  <si>
    <t>Anexa nr.4</t>
  </si>
  <si>
    <t xml:space="preserve">Programul de investiţii, dotări şi sursele de finanţare  </t>
  </si>
  <si>
    <t>pentru anul 2026 si estimat 2027 - 2028</t>
  </si>
  <si>
    <t>Data finalizării investiţiei</t>
  </si>
  <si>
    <t>an precedent (N-1)</t>
  </si>
  <si>
    <t>Valoare</t>
  </si>
  <si>
    <t>Realizat / Preliminat 2025</t>
  </si>
  <si>
    <t>Aprobat an curent (N) 2026</t>
  </si>
  <si>
    <t>Executie</t>
  </si>
  <si>
    <t>an 2027</t>
  </si>
  <si>
    <t>an  2028</t>
  </si>
  <si>
    <t>N + 1</t>
  </si>
  <si>
    <t>N + 2</t>
  </si>
  <si>
    <t>trim IV</t>
  </si>
  <si>
    <t>Surse proprii, din care:</t>
  </si>
  <si>
    <t>a) - amortizare</t>
  </si>
  <si>
    <t>b) - profit</t>
  </si>
  <si>
    <t>c)- rezerve-profit ani anteriori  pentru diferenta de 35% DR24</t>
  </si>
  <si>
    <t>Alocaţii de la buget din subvenţii pentru investiţii( Ajutor de stat aferent interventiei DR-24 investitii in tehnologii forestiere care imbunatatesc rezilienta   65 %).</t>
  </si>
  <si>
    <t>Credite bancare, din care:</t>
  </si>
  <si>
    <t>a) - interne</t>
  </si>
  <si>
    <t>b) - externe</t>
  </si>
  <si>
    <t>Alte surse, din care:</t>
  </si>
  <si>
    <t xml:space="preserve"> - REZERVE</t>
  </si>
  <si>
    <t xml:space="preserve"> - FOND ACCESIBILIZARE DRUMURI</t>
  </si>
  <si>
    <t>CHELTUIELI PENTRU INVESTIŢII, din care:</t>
  </si>
  <si>
    <t>Investiţii în curs, din care:</t>
  </si>
  <si>
    <t>a) pentru bunurile proprietatea privată a operatorului economic:</t>
  </si>
  <si>
    <t xml:space="preserve">   - sediu canton silvic Simegea</t>
  </si>
  <si>
    <t>b) pentru bunurile de natura domeniului public al statului sau al unităţii administrativ teritoriale:</t>
  </si>
  <si>
    <t>- (denumire obiectiv)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</si>
  <si>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</si>
  <si>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</si>
  <si>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</si>
  <si>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a) pentru bunurile proprietatea privata a operatorului economic:</t>
  </si>
  <si>
    <t xml:space="preserve">1.motoferastrau mecanic </t>
  </si>
  <si>
    <t>2.aferente masurii DR 24</t>
  </si>
  <si>
    <t>2.1.autoutilitara 4x4 cu bena</t>
  </si>
  <si>
    <t>2.2.camere de supraveghere</t>
  </si>
  <si>
    <t>2.3 Motopompa de debit mare</t>
  </si>
  <si>
    <t>2.4.atomizor</t>
  </si>
  <si>
    <t>2.5.motocoase 2 buc</t>
  </si>
  <si>
    <t>2.6.motoferastrau mecanic 2 buc</t>
  </si>
  <si>
    <t>2.7.motoferastrau de elagaj</t>
  </si>
  <si>
    <t>2.8 Echipamente pentru supraveghere aerienă _Drone 4k, 12 MP, rază de acțiune 10 km</t>
  </si>
  <si>
    <t xml:space="preserve">2.9 Echipamente pentru supraveghere aerienă_ Binoclu  termic </t>
  </si>
  <si>
    <t>Evaluare de Mediu Pentru Amenajare U.P. II Livezile</t>
  </si>
  <si>
    <t xml:space="preserve">Revizuire Amenajare Silvica U.P. II Livezile Conform Ordinului NR.1947/26.10.2021 </t>
  </si>
  <si>
    <t>Intocmire Amenajament Silvic  U.P. II Livezile, 2024-2033</t>
  </si>
  <si>
    <t xml:space="preserve">  - remorca transport</t>
  </si>
  <si>
    <t>d) pentru bunurile luate în concesiune, închiriate sau în locaţie de gestiune, exclusiv cele din domeniul public sau privat al statului sau al unităţi administrativ teritoriale:</t>
  </si>
  <si>
    <t>Masina de teren</t>
  </si>
  <si>
    <t>Investiţii efectuate la imobilizările corporale existente (modernizări), din care:</t>
  </si>
  <si>
    <t>studiu de fezabilitate amenajare padure parc Haga</t>
  </si>
  <si>
    <t>documentatie PUZ Simegea</t>
  </si>
  <si>
    <t xml:space="preserve"> realizare podete acces </t>
  </si>
  <si>
    <t>realizare drumuri forestiere + podete acces proiectare si executie</t>
  </si>
  <si>
    <t xml:space="preserve">Dotări </t>
  </si>
  <si>
    <t>Rambursări de rate aferente creditelor pentru investiţii, din care:</t>
  </si>
  <si>
    <t>Contabil Sef                       ec.Aluas Aurelia</t>
  </si>
  <si>
    <t>Anexa nr.5</t>
  </si>
  <si>
    <t>Sediul/Adresa: Vasile Lupu  NR.16 A</t>
  </si>
  <si>
    <t>Măsuri de îmbunătăţire a rezultatului brut şi reducere a platilor restante Comuna Livezile</t>
  </si>
  <si>
    <t>Nr.crt.</t>
  </si>
  <si>
    <t>Măsuri</t>
  </si>
  <si>
    <t>Termen de realizare</t>
  </si>
  <si>
    <t>an precedent (N - 1)</t>
  </si>
  <si>
    <t>an curent (N)</t>
  </si>
  <si>
    <t>an N + 1</t>
  </si>
  <si>
    <t>an N + 2</t>
  </si>
  <si>
    <t>Preliminat/Realizat</t>
  </si>
  <si>
    <t>Influenţe (+/-)</t>
  </si>
  <si>
    <t>Rezultat brut (+/-)</t>
  </si>
  <si>
    <t>Rezultat brut</t>
  </si>
  <si>
    <t>Pct.I</t>
  </si>
  <si>
    <t>Măsuri de îmbunătăţire a rezultatului brut şi reducere aplatilor restante</t>
  </si>
  <si>
    <t>Măsura 1…………………………</t>
  </si>
  <si>
    <t>Măsura 2……………………………</t>
  </si>
  <si>
    <t>Masura n……………………………..</t>
  </si>
  <si>
    <t>TOTAL Pct. I</t>
  </si>
  <si>
    <t>Pct.II</t>
  </si>
  <si>
    <t>Cauze care diminuează efectul măsurilor prevăzute la Pct. I</t>
  </si>
  <si>
    <t>Cauza 1 . . . . . . . . . . . . . . . . . . . . . . . . .</t>
  </si>
  <si>
    <t>Cauza 2 . . . . . . . . . . . . . . . . . . . . . . . . .</t>
  </si>
  <si>
    <t>Cauza n………………..</t>
  </si>
  <si>
    <t>TOTAL Pct. II</t>
  </si>
  <si>
    <t>Pct.III</t>
  </si>
  <si>
    <t>TOTAL GENERAL Pct. I + Pct. II</t>
  </si>
  <si>
    <t>Contabil Sef                            ec.Aluas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</si>
</sst>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238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indexed="8"/>
      <name val="Arial"/>
      <family val="2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name val="Inherit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/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0" xfId="0" applyFont="1" applyAlignment="1" applyProtection="1">
      <alignment wrapText="1"/>
      <protection locked="0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2" fontId="4" fillId="3" borderId="14" xfId="0" applyNumberFormat="1" applyFont="1" applyFill="1" applyBorder="1" applyAlignment="1">
      <alignment vertical="top" wrapText="1"/>
    </xf>
    <xf numFmtId="2" fontId="4" fillId="2" borderId="14" xfId="0" applyNumberFormat="1" applyFont="1" applyFill="1" applyBorder="1" applyAlignment="1">
      <alignment vertical="top" wrapText="1"/>
    </xf>
    <xf numFmtId="2" fontId="4" fillId="0" borderId="14" xfId="0" applyNumberFormat="1" applyFont="1" applyBorder="1" applyAlignment="1">
      <alignment vertical="top" wrapText="1"/>
    </xf>
    <xf numFmtId="2" fontId="4" fillId="3" borderId="14" xfId="0" applyNumberFormat="1" applyFont="1" applyFill="1" applyBorder="1" applyAlignment="1">
      <alignment horizontal="center" vertical="top" wrapText="1"/>
    </xf>
    <xf numFmtId="2" fontId="4" fillId="3" borderId="16" xfId="0" applyNumberFormat="1" applyFont="1" applyFill="1" applyBorder="1" applyAlignment="1">
      <alignment vertical="top" wrapText="1"/>
    </xf>
    <xf numFmtId="2" fontId="4" fillId="3" borderId="17" xfId="0" applyNumberFormat="1" applyFont="1" applyFill="1" applyBorder="1" applyAlignment="1">
      <alignment vertical="top" wrapText="1"/>
    </xf>
    <xf numFmtId="2" fontId="2" fillId="3" borderId="0" xfId="0" applyNumberFormat="1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/>
    <xf numFmtId="2" fontId="3" fillId="0" borderId="19" xfId="0" applyNumberFormat="1" applyFont="1" applyBorder="1" applyAlignment="1">
      <alignment vertical="top" wrapText="1"/>
    </xf>
    <xf numFmtId="2" fontId="4" fillId="2" borderId="19" xfId="0" applyNumberFormat="1" applyFont="1" applyFill="1" applyBorder="1" applyAlignment="1">
      <alignment vertical="top" wrapText="1"/>
    </xf>
    <xf numFmtId="2" fontId="4" fillId="0" borderId="19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horizontal="center" vertical="top" wrapText="1"/>
    </xf>
    <xf numFmtId="2" fontId="3" fillId="0" borderId="21" xfId="0" applyNumberFormat="1" applyFont="1" applyBorder="1" applyAlignment="1">
      <alignment vertical="top" wrapText="1"/>
    </xf>
    <xf numFmtId="2" fontId="4" fillId="0" borderId="19" xfId="0" applyNumberFormat="1" applyFont="1" applyBorder="1" applyAlignment="1">
      <alignment horizontal="center" vertical="top" wrapText="1"/>
    </xf>
    <xf numFmtId="2" fontId="3" fillId="0" borderId="22" xfId="0" applyNumberFormat="1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2" fontId="3" fillId="0" borderId="23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2" fontId="3" fillId="0" borderId="25" xfId="0" applyNumberFormat="1" applyFont="1" applyBorder="1" applyAlignment="1">
      <alignment vertical="top" wrapText="1"/>
    </xf>
    <xf numFmtId="2" fontId="4" fillId="2" borderId="25" xfId="0" applyNumberFormat="1" applyFont="1" applyFill="1" applyBorder="1" applyAlignment="1">
      <alignment vertical="top" wrapText="1"/>
    </xf>
    <xf numFmtId="2" fontId="4" fillId="0" borderId="25" xfId="0" applyNumberFormat="1" applyFont="1" applyBorder="1" applyAlignment="1">
      <alignment vertical="top" wrapText="1"/>
    </xf>
    <xf numFmtId="2" fontId="3" fillId="0" borderId="25" xfId="0" applyNumberFormat="1" applyFont="1" applyBorder="1" applyAlignment="1">
      <alignment horizontal="center" vertical="top" wrapText="1"/>
    </xf>
    <xf numFmtId="2" fontId="3" fillId="0" borderId="11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2" fontId="4" fillId="0" borderId="25" xfId="0" applyNumberFormat="1" applyFont="1" applyBorder="1" applyAlignment="1">
      <alignment horizontal="center" vertical="top" wrapText="1"/>
    </xf>
    <xf numFmtId="2" fontId="3" fillId="3" borderId="14" xfId="0" applyNumberFormat="1" applyFont="1" applyFill="1" applyBorder="1" applyAlignment="1">
      <alignment horizontal="center" vertical="top" wrapText="1"/>
    </xf>
    <xf numFmtId="2" fontId="3" fillId="4" borderId="22" xfId="0" applyNumberFormat="1" applyFont="1" applyFill="1" applyBorder="1" applyAlignment="1">
      <alignment vertical="top" wrapText="1"/>
    </xf>
    <xf numFmtId="2" fontId="4" fillId="0" borderId="9" xfId="0" applyNumberFormat="1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2" fontId="1" fillId="0" borderId="0" xfId="0" applyNumberFormat="1" applyFont="1" applyProtection="1">
      <protection locked="0"/>
    </xf>
    <xf numFmtId="0" fontId="3" fillId="0" borderId="23" xfId="0" applyFont="1" applyBorder="1" applyAlignment="1">
      <alignment horizontal="center" vertical="top" wrapText="1"/>
    </xf>
    <xf numFmtId="2" fontId="3" fillId="0" borderId="23" xfId="0" applyNumberFormat="1" applyFont="1" applyBorder="1" applyAlignment="1">
      <alignment vertical="top" wrapText="1"/>
    </xf>
    <xf numFmtId="2" fontId="4" fillId="2" borderId="23" xfId="0" applyNumberFormat="1" applyFont="1" applyFill="1" applyBorder="1" applyAlignment="1">
      <alignment vertical="top" wrapText="1"/>
    </xf>
    <xf numFmtId="2" fontId="4" fillId="0" borderId="23" xfId="0" applyNumberFormat="1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/>
    <xf numFmtId="0" fontId="4" fillId="0" borderId="14" xfId="0" applyFont="1" applyBorder="1" applyAlignment="1">
      <alignment horizontal="center" vertical="top" wrapText="1"/>
    </xf>
    <xf numFmtId="2" fontId="3" fillId="0" borderId="14" xfId="0" applyNumberFormat="1" applyFont="1" applyBorder="1" applyAlignment="1">
      <alignment horizontal="center" vertical="top" wrapText="1"/>
    </xf>
    <xf numFmtId="2" fontId="4" fillId="0" borderId="16" xfId="0" applyNumberFormat="1" applyFont="1" applyBorder="1" applyAlignment="1">
      <alignment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2" fillId="0" borderId="0" xfId="0" applyFont="1" applyProtection="1">
      <protection locked="0"/>
    </xf>
    <xf numFmtId="0" fontId="3" fillId="0" borderId="19" xfId="0" applyFont="1" applyBorder="1" applyAlignment="1">
      <alignment vertical="top"/>
    </xf>
    <xf numFmtId="0" fontId="3" fillId="0" borderId="19" xfId="0" applyFont="1" applyBorder="1" applyAlignment="1">
      <alignment vertical="top" wrapText="1"/>
    </xf>
    <xf numFmtId="2" fontId="3" fillId="0" borderId="19" xfId="0" applyNumberFormat="1" applyFont="1" applyBorder="1" applyAlignment="1">
      <alignment horizontal="center" vertical="top" wrapText="1"/>
    </xf>
    <xf numFmtId="0" fontId="3" fillId="0" borderId="23" xfId="0" applyFont="1" applyBorder="1" applyAlignment="1">
      <alignment vertical="top"/>
    </xf>
    <xf numFmtId="2" fontId="3" fillId="0" borderId="30" xfId="0" applyNumberFormat="1" applyFont="1" applyBorder="1" applyAlignment="1">
      <alignment vertical="top" wrapText="1"/>
    </xf>
    <xf numFmtId="2" fontId="3" fillId="0" borderId="31" xfId="0" applyNumberFormat="1" applyFont="1" applyBorder="1" applyAlignment="1">
      <alignment vertical="top" wrapText="1"/>
    </xf>
    <xf numFmtId="2" fontId="3" fillId="0" borderId="27" xfId="0" applyNumberFormat="1" applyFont="1" applyBorder="1" applyAlignment="1">
      <alignment vertical="top" wrapText="1"/>
    </xf>
    <xf numFmtId="2" fontId="3" fillId="0" borderId="32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33" xfId="0" applyNumberFormat="1" applyFont="1" applyBorder="1" applyAlignment="1">
      <alignment horizontal="right" vertical="top" wrapText="1"/>
    </xf>
    <xf numFmtId="2" fontId="4" fillId="2" borderId="33" xfId="0" applyNumberFormat="1" applyFont="1" applyFill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center" vertical="top" wrapText="1"/>
    </xf>
    <xf numFmtId="2" fontId="4" fillId="0" borderId="34" xfId="0" applyNumberFormat="1" applyFont="1" applyBorder="1" applyAlignment="1">
      <alignment vertical="top" wrapText="1"/>
    </xf>
    <xf numFmtId="2" fontId="4" fillId="0" borderId="2" xfId="0" applyNumberFormat="1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4" fillId="0" borderId="5" xfId="0" applyNumberFormat="1" applyFont="1" applyBorder="1" applyAlignment="1">
      <alignment horizontal="right" vertical="top" wrapText="1"/>
    </xf>
    <xf numFmtId="2" fontId="4" fillId="2" borderId="5" xfId="0" applyNumberFormat="1" applyFont="1" applyFill="1" applyBorder="1" applyAlignment="1">
      <alignment vertical="top" wrapText="1"/>
    </xf>
    <xf numFmtId="2" fontId="4" fillId="0" borderId="5" xfId="0" applyNumberFormat="1" applyFont="1" applyBorder="1" applyAlignment="1">
      <alignment vertical="top" wrapText="1"/>
    </xf>
    <xf numFmtId="2" fontId="3" fillId="0" borderId="5" xfId="0" applyNumberFormat="1" applyFont="1" applyBorder="1" applyAlignment="1">
      <alignment horizontal="center" vertical="top" wrapText="1"/>
    </xf>
    <xf numFmtId="2" fontId="4" fillId="0" borderId="5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horizontal="right" vertical="top" wrapText="1"/>
    </xf>
    <xf numFmtId="2" fontId="3" fillId="2" borderId="19" xfId="0" applyNumberFormat="1" applyFont="1" applyFill="1" applyBorder="1" applyAlignment="1">
      <alignment vertical="top" wrapText="1"/>
    </xf>
    <xf numFmtId="0" fontId="3" fillId="0" borderId="28" xfId="0" applyFont="1" applyBorder="1" applyAlignment="1">
      <alignment horizontal="center" vertical="top" wrapText="1"/>
    </xf>
    <xf numFmtId="2" fontId="3" fillId="0" borderId="23" xfId="0" applyNumberFormat="1" applyFont="1" applyBorder="1" applyAlignment="1">
      <alignment horizontal="right" vertical="top" wrapText="1"/>
    </xf>
    <xf numFmtId="2" fontId="3" fillId="2" borderId="23" xfId="0" applyNumberFormat="1" applyFont="1" applyFill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2" fontId="3" fillId="0" borderId="25" xfId="0" applyNumberFormat="1" applyFont="1" applyBorder="1" applyAlignment="1">
      <alignment horizontal="right" vertical="top" wrapText="1"/>
    </xf>
    <xf numFmtId="2" fontId="3" fillId="2" borderId="25" xfId="0" applyNumberFormat="1" applyFont="1" applyFill="1" applyBorder="1" applyAlignment="1">
      <alignment vertical="top" wrapText="1"/>
    </xf>
    <xf numFmtId="2" fontId="4" fillId="0" borderId="14" xfId="0" applyNumberFormat="1" applyFont="1" applyBorder="1" applyAlignment="1">
      <alignment horizontal="right" vertical="top" wrapText="1"/>
    </xf>
    <xf numFmtId="2" fontId="4" fillId="2" borderId="14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2" fontId="4" fillId="0" borderId="17" xfId="0" applyNumberFormat="1" applyFont="1" applyBorder="1" applyAlignment="1">
      <alignment vertical="top" wrapText="1"/>
    </xf>
    <xf numFmtId="2" fontId="3" fillId="2" borderId="23" xfId="0" applyNumberFormat="1" applyFont="1" applyFill="1" applyBorder="1" applyAlignment="1">
      <alignment horizontal="right" vertical="top" wrapText="1"/>
    </xf>
    <xf numFmtId="2" fontId="3" fillId="0" borderId="20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right" vertical="top" wrapText="1"/>
    </xf>
    <xf numFmtId="2" fontId="4" fillId="2" borderId="23" xfId="0" applyNumberFormat="1" applyFont="1" applyFill="1" applyBorder="1" applyAlignment="1">
      <alignment horizontal="right" vertical="top" wrapText="1"/>
    </xf>
    <xf numFmtId="2" fontId="4" fillId="0" borderId="20" xfId="0" applyNumberFormat="1" applyFont="1" applyBorder="1" applyAlignment="1">
      <alignment horizontal="right" vertical="top" wrapText="1"/>
    </xf>
    <xf numFmtId="2" fontId="3" fillId="2" borderId="25" xfId="0" applyNumberFormat="1" applyFont="1" applyFill="1" applyBorder="1" applyAlignment="1">
      <alignment horizontal="right" vertical="top" wrapText="1"/>
    </xf>
    <xf numFmtId="2" fontId="3" fillId="0" borderId="10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2" fontId="4" fillId="2" borderId="2" xfId="0" applyNumberFormat="1" applyFont="1" applyFill="1" applyBorder="1" applyAlignment="1">
      <alignment vertical="top" wrapText="1"/>
    </xf>
    <xf numFmtId="2" fontId="3" fillId="0" borderId="2" xfId="0" applyNumberFormat="1" applyFont="1" applyBorder="1" applyAlignment="1">
      <alignment vertical="top" wrapText="1"/>
    </xf>
    <xf numFmtId="2" fontId="3" fillId="0" borderId="34" xfId="0" applyNumberFormat="1" applyFont="1" applyBorder="1" applyAlignment="1">
      <alignment vertical="top" wrapText="1"/>
    </xf>
    <xf numFmtId="2" fontId="3" fillId="0" borderId="3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vertical="top" wrapText="1"/>
    </xf>
    <xf numFmtId="2" fontId="3" fillId="0" borderId="36" xfId="0" applyNumberFormat="1" applyFont="1" applyBorder="1" applyAlignment="1">
      <alignment vertical="top" wrapText="1"/>
    </xf>
    <xf numFmtId="2" fontId="3" fillId="0" borderId="6" xfId="0" applyNumberFormat="1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2" fontId="3" fillId="0" borderId="14" xfId="0" applyNumberFormat="1" applyFont="1" applyBorder="1" applyAlignment="1">
      <alignment horizontal="right" vertical="top" wrapText="1"/>
    </xf>
    <xf numFmtId="2" fontId="3" fillId="0" borderId="14" xfId="0" applyNumberFormat="1" applyFont="1" applyBorder="1" applyAlignment="1">
      <alignment vertical="top" wrapText="1"/>
    </xf>
    <xf numFmtId="2" fontId="3" fillId="0" borderId="16" xfId="0" applyNumberFormat="1" applyFont="1" applyBorder="1" applyAlignment="1">
      <alignment vertical="top" wrapText="1"/>
    </xf>
    <xf numFmtId="2" fontId="3" fillId="0" borderId="17" xfId="0" applyNumberFormat="1" applyFont="1" applyBorder="1" applyAlignment="1">
      <alignment vertical="top" wrapText="1"/>
    </xf>
    <xf numFmtId="0" fontId="3" fillId="0" borderId="27" xfId="0" applyFont="1" applyBorder="1" applyAlignment="1">
      <alignment wrapText="1"/>
    </xf>
    <xf numFmtId="1" fontId="3" fillId="0" borderId="19" xfId="0" applyNumberFormat="1" applyFont="1" applyBorder="1" applyAlignment="1">
      <alignment horizontal="right" vertical="top" wrapText="1"/>
    </xf>
    <xf numFmtId="1" fontId="4" fillId="2" borderId="19" xfId="0" applyNumberFormat="1" applyFont="1" applyFill="1" applyBorder="1" applyAlignment="1">
      <alignment vertical="top" wrapText="1"/>
    </xf>
    <xf numFmtId="1" fontId="4" fillId="0" borderId="19" xfId="0" applyNumberFormat="1" applyFont="1" applyBorder="1" applyAlignment="1">
      <alignment vertical="top" wrapText="1"/>
    </xf>
    <xf numFmtId="1" fontId="3" fillId="0" borderId="23" xfId="0" applyNumberFormat="1" applyFont="1" applyBorder="1" applyAlignment="1">
      <alignment horizontal="right" vertical="top" wrapText="1"/>
    </xf>
    <xf numFmtId="1" fontId="4" fillId="2" borderId="23" xfId="0" applyNumberFormat="1" applyFont="1" applyFill="1" applyBorder="1" applyAlignment="1">
      <alignment vertical="top" wrapText="1"/>
    </xf>
    <xf numFmtId="1" fontId="4" fillId="0" borderId="23" xfId="0" applyNumberFormat="1" applyFont="1" applyBorder="1" applyAlignment="1">
      <alignment vertical="top" wrapText="1"/>
    </xf>
    <xf numFmtId="2" fontId="3" fillId="0" borderId="29" xfId="0" applyNumberFormat="1" applyFont="1" applyBorder="1" applyAlignment="1">
      <alignment horizontal="right" vertical="top" wrapText="1"/>
    </xf>
    <xf numFmtId="2" fontId="4" fillId="0" borderId="31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7" xfId="0" applyFont="1" applyBorder="1"/>
    <xf numFmtId="0" fontId="3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4" fontId="5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2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wrapText="1"/>
      <protection locked="0"/>
    </xf>
    <xf numFmtId="0" fontId="6" fillId="0" borderId="17" xfId="0" applyFont="1" applyBorder="1" applyAlignment="1" applyProtection="1">
      <alignment horizontal="center" wrapText="1"/>
      <protection locked="0"/>
    </xf>
    <xf numFmtId="0" fontId="6" fillId="0" borderId="16" xfId="0" applyFont="1" applyBorder="1" applyAlignment="1" applyProtection="1">
      <alignment horizontal="center" wrapText="1"/>
      <protection locked="0"/>
    </xf>
    <xf numFmtId="4" fontId="6" fillId="0" borderId="16" xfId="0" applyNumberFormat="1" applyFont="1" applyBorder="1" applyAlignment="1" applyProtection="1">
      <alignment horizontal="center" wrapText="1"/>
      <protection locked="0"/>
    </xf>
    <xf numFmtId="2" fontId="6" fillId="0" borderId="14" xfId="0" applyNumberFormat="1" applyFont="1" applyBorder="1" applyAlignment="1" applyProtection="1">
      <alignment horizontal="center" wrapText="1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0" borderId="42" xfId="0" applyFont="1" applyBorder="1" applyAlignment="1" applyProtection="1">
      <alignment horizontal="center" wrapText="1"/>
      <protection locked="0"/>
    </xf>
    <xf numFmtId="0" fontId="6" fillId="3" borderId="43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2" fontId="6" fillId="3" borderId="44" xfId="0" applyNumberFormat="1" applyFont="1" applyFill="1" applyBorder="1" applyAlignment="1">
      <alignment vertical="top" wrapText="1"/>
    </xf>
    <xf numFmtId="2" fontId="6" fillId="3" borderId="45" xfId="0" applyNumberFormat="1" applyFont="1" applyFill="1" applyBorder="1" applyAlignment="1">
      <alignment vertical="top" wrapText="1"/>
    </xf>
    <xf numFmtId="2" fontId="6" fillId="3" borderId="23" xfId="0" applyNumberFormat="1" applyFont="1" applyFill="1" applyBorder="1" applyAlignment="1">
      <alignment vertical="top" wrapText="1"/>
    </xf>
    <xf numFmtId="0" fontId="4" fillId="0" borderId="0" xfId="0" applyFont="1" applyProtection="1"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>
      <alignment horizontal="center" vertical="top" wrapText="1"/>
    </xf>
    <xf numFmtId="2" fontId="6" fillId="3" borderId="29" xfId="0" applyNumberFormat="1" applyFont="1" applyFill="1" applyBorder="1" applyAlignment="1">
      <alignment vertical="top" wrapText="1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2" fontId="6" fillId="5" borderId="23" xfId="0" applyNumberFormat="1" applyFont="1" applyFill="1" applyBorder="1" applyAlignment="1">
      <alignment vertical="top" wrapText="1"/>
    </xf>
    <xf numFmtId="0" fontId="5" fillId="5" borderId="23" xfId="0" applyFont="1" applyFill="1" applyBorder="1" applyAlignment="1">
      <alignment horizontal="center" vertical="top" wrapText="1"/>
    </xf>
    <xf numFmtId="2" fontId="6" fillId="6" borderId="23" xfId="0" applyNumberFormat="1" applyFont="1" applyFill="1" applyBorder="1" applyAlignment="1" applyProtection="1">
      <alignment vertical="top" wrapText="1"/>
      <protection locked="0"/>
    </xf>
    <xf numFmtId="2" fontId="6" fillId="0" borderId="23" xfId="0" applyNumberFormat="1" applyFont="1" applyBorder="1" applyAlignment="1">
      <alignment vertical="top" wrapText="1"/>
    </xf>
    <xf numFmtId="2" fontId="5" fillId="2" borderId="23" xfId="0" applyNumberFormat="1" applyFont="1" applyFill="1" applyBorder="1" applyAlignment="1">
      <alignment vertical="top" wrapText="1"/>
    </xf>
    <xf numFmtId="2" fontId="5" fillId="7" borderId="23" xfId="0" applyNumberFormat="1" applyFont="1" applyFill="1" applyBorder="1" applyAlignment="1">
      <alignment vertical="top" wrapText="1"/>
    </xf>
    <xf numFmtId="2" fontId="6" fillId="5" borderId="29" xfId="0" applyNumberFormat="1" applyFont="1" applyFill="1" applyBorder="1" applyAlignment="1">
      <alignment vertical="top" wrapText="1"/>
    </xf>
    <xf numFmtId="2" fontId="6" fillId="0" borderId="29" xfId="0" applyNumberFormat="1" applyFont="1" applyBorder="1" applyAlignment="1">
      <alignment vertical="top" wrapText="1"/>
    </xf>
    <xf numFmtId="0" fontId="5" fillId="3" borderId="23" xfId="0" applyFont="1" applyFill="1" applyBorder="1" applyAlignment="1">
      <alignment horizontal="center" vertical="top" wrapText="1"/>
    </xf>
    <xf numFmtId="2" fontId="5" fillId="3" borderId="23" xfId="0" applyNumberFormat="1" applyFont="1" applyFill="1" applyBorder="1" applyAlignment="1">
      <alignment vertical="top" wrapText="1"/>
    </xf>
    <xf numFmtId="0" fontId="3" fillId="3" borderId="0" xfId="0" applyFont="1" applyFill="1" applyProtection="1">
      <protection locked="0"/>
    </xf>
    <xf numFmtId="2" fontId="5" fillId="4" borderId="23" xfId="0" applyNumberFormat="1" applyFont="1" applyFill="1" applyBorder="1" applyAlignment="1">
      <alignment vertical="top" wrapText="1"/>
    </xf>
    <xf numFmtId="2" fontId="6" fillId="4" borderId="23" xfId="0" applyNumberFormat="1" applyFont="1" applyFill="1" applyBorder="1" applyAlignment="1">
      <alignment vertical="top" wrapText="1"/>
    </xf>
    <xf numFmtId="2" fontId="6" fillId="3" borderId="30" xfId="0" applyNumberFormat="1" applyFont="1" applyFill="1" applyBorder="1" applyAlignment="1">
      <alignment vertical="top" wrapText="1"/>
    </xf>
    <xf numFmtId="2" fontId="5" fillId="0" borderId="23" xfId="0" applyNumberFormat="1" applyFont="1" applyBorder="1" applyAlignment="1">
      <alignment vertical="top" wrapText="1"/>
    </xf>
    <xf numFmtId="0" fontId="5" fillId="0" borderId="23" xfId="0" applyFont="1" applyBorder="1" applyAlignment="1">
      <alignment horizontal="center" vertical="top" wrapText="1"/>
    </xf>
    <xf numFmtId="2" fontId="5" fillId="0" borderId="29" xfId="0" applyNumberFormat="1" applyFont="1" applyBorder="1" applyAlignment="1">
      <alignment vertical="top" wrapText="1"/>
    </xf>
    <xf numFmtId="2" fontId="6" fillId="6" borderId="23" xfId="0" applyNumberFormat="1" applyFont="1" applyFill="1" applyBorder="1" applyAlignment="1">
      <alignment vertical="top" wrapText="1"/>
    </xf>
    <xf numFmtId="2" fontId="6" fillId="5" borderId="29" xfId="0" applyNumberFormat="1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horizontal="center" vertical="top" wrapText="1"/>
      <protection locked="0"/>
    </xf>
    <xf numFmtId="2" fontId="6" fillId="0" borderId="29" xfId="0" applyNumberFormat="1" applyFont="1" applyBorder="1" applyAlignment="1" applyProtection="1">
      <alignment vertical="top" wrapText="1"/>
      <protection locked="0"/>
    </xf>
    <xf numFmtId="2" fontId="5" fillId="2" borderId="23" xfId="0" applyNumberFormat="1" applyFont="1" applyFill="1" applyBorder="1" applyAlignment="1" applyProtection="1">
      <alignment vertical="top" wrapText="1"/>
      <protection locked="0"/>
    </xf>
    <xf numFmtId="2" fontId="5" fillId="7" borderId="23" xfId="0" applyNumberFormat="1" applyFont="1" applyFill="1" applyBorder="1" applyAlignment="1" applyProtection="1">
      <alignment vertical="top" wrapText="1"/>
      <protection locked="0"/>
    </xf>
    <xf numFmtId="0" fontId="5" fillId="8" borderId="23" xfId="0" applyFont="1" applyFill="1" applyBorder="1" applyAlignment="1" applyProtection="1">
      <alignment horizontal="center" vertical="top" wrapText="1"/>
      <protection locked="0"/>
    </xf>
    <xf numFmtId="0" fontId="5" fillId="8" borderId="23" xfId="0" applyFont="1" applyFill="1" applyBorder="1" applyAlignment="1" applyProtection="1">
      <alignment vertical="top" wrapText="1"/>
      <protection locked="0"/>
    </xf>
    <xf numFmtId="2" fontId="6" fillId="8" borderId="29" xfId="0" applyNumberFormat="1" applyFont="1" applyFill="1" applyBorder="1" applyAlignment="1" applyProtection="1">
      <alignment vertical="top" wrapText="1"/>
      <protection locked="0"/>
    </xf>
    <xf numFmtId="2" fontId="6" fillId="8" borderId="23" xfId="0" applyNumberFormat="1" applyFont="1" applyFill="1" applyBorder="1" applyAlignment="1" applyProtection="1">
      <alignment vertical="center" wrapText="1"/>
      <protection locked="0"/>
    </xf>
    <xf numFmtId="2" fontId="6" fillId="8" borderId="29" xfId="0" applyNumberFormat="1" applyFont="1" applyFill="1" applyBorder="1" applyAlignment="1" applyProtection="1">
      <alignment vertical="center" wrapText="1"/>
      <protection locked="0"/>
    </xf>
    <xf numFmtId="2" fontId="5" fillId="8" borderId="23" xfId="0" applyNumberFormat="1" applyFont="1" applyFill="1" applyBorder="1" applyAlignment="1" applyProtection="1">
      <alignment vertical="center" wrapText="1"/>
      <protection locked="0"/>
    </xf>
    <xf numFmtId="0" fontId="3" fillId="8" borderId="0" xfId="0" applyFont="1" applyFill="1" applyProtection="1">
      <protection locked="0"/>
    </xf>
    <xf numFmtId="2" fontId="3" fillId="0" borderId="0" xfId="0" applyNumberFormat="1" applyFont="1" applyProtection="1">
      <protection locked="0"/>
    </xf>
    <xf numFmtId="2" fontId="6" fillId="3" borderId="23" xfId="0" applyNumberFormat="1" applyFont="1" applyFill="1" applyBorder="1" applyAlignment="1" applyProtection="1">
      <alignment vertical="top" wrapText="1"/>
      <protection locked="0"/>
    </xf>
    <xf numFmtId="2" fontId="6" fillId="3" borderId="29" xfId="0" applyNumberFormat="1" applyFont="1" applyFill="1" applyBorder="1" applyAlignment="1" applyProtection="1">
      <alignment vertical="top" wrapText="1"/>
      <protection locked="0"/>
    </xf>
    <xf numFmtId="2" fontId="6" fillId="3" borderId="30" xfId="0" applyNumberFormat="1" applyFont="1" applyFill="1" applyBorder="1" applyAlignment="1" applyProtection="1">
      <alignment vertical="top" wrapText="1"/>
      <protection locked="0"/>
    </xf>
    <xf numFmtId="0" fontId="5" fillId="0" borderId="25" xfId="0" applyFont="1" applyBorder="1" applyAlignment="1" applyProtection="1">
      <alignment horizontal="center" vertical="top" wrapText="1"/>
      <protection locked="0"/>
    </xf>
    <xf numFmtId="2" fontId="6" fillId="5" borderId="26" xfId="0" applyNumberFormat="1" applyFont="1" applyFill="1" applyBorder="1" applyAlignment="1" applyProtection="1">
      <alignment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2" fontId="6" fillId="6" borderId="25" xfId="0" applyNumberFormat="1" applyFont="1" applyFill="1" applyBorder="1" applyAlignment="1" applyProtection="1">
      <alignment vertical="top" wrapText="1"/>
      <protection locked="0"/>
    </xf>
    <xf numFmtId="2" fontId="6" fillId="0" borderId="26" xfId="0" applyNumberFormat="1" applyFont="1" applyBorder="1" applyAlignment="1" applyProtection="1">
      <alignment vertical="top" wrapText="1"/>
      <protection locked="0"/>
    </xf>
    <xf numFmtId="2" fontId="5" fillId="2" borderId="25" xfId="0" applyNumberFormat="1" applyFont="1" applyFill="1" applyBorder="1" applyAlignment="1" applyProtection="1">
      <alignment vertical="top" wrapText="1"/>
      <protection locked="0"/>
    </xf>
    <xf numFmtId="2" fontId="5" fillId="7" borderId="25" xfId="0" applyNumberFormat="1" applyFont="1" applyFill="1" applyBorder="1" applyAlignment="1" applyProtection="1">
      <alignment vertical="top" wrapText="1"/>
      <protection locked="0"/>
    </xf>
    <xf numFmtId="0" fontId="6" fillId="3" borderId="46" xfId="0" applyFont="1" applyFill="1" applyBorder="1" applyAlignment="1" applyProtection="1">
      <alignment horizontal="center" vertical="top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2" fontId="6" fillId="3" borderId="14" xfId="0" applyNumberFormat="1" applyFont="1" applyFill="1" applyBorder="1" applyAlignment="1">
      <alignment vertical="top" wrapText="1"/>
    </xf>
    <xf numFmtId="2" fontId="6" fillId="3" borderId="17" xfId="0" applyNumberFormat="1" applyFont="1" applyFill="1" applyBorder="1" applyAlignment="1">
      <alignment vertical="top" wrapText="1"/>
    </xf>
    <xf numFmtId="2" fontId="6" fillId="3" borderId="15" xfId="0" applyNumberFormat="1" applyFont="1" applyFill="1" applyBorder="1" applyAlignment="1">
      <alignment vertical="top" wrapText="1"/>
    </xf>
    <xf numFmtId="0" fontId="4" fillId="3" borderId="0" xfId="0" applyFont="1" applyFill="1" applyProtection="1">
      <protection locked="0"/>
    </xf>
    <xf numFmtId="2" fontId="6" fillId="3" borderId="22" xfId="0" applyNumberFormat="1" applyFont="1" applyFill="1" applyBorder="1" applyAlignment="1">
      <alignment vertical="top" wrapText="1"/>
    </xf>
    <xf numFmtId="0" fontId="6" fillId="3" borderId="19" xfId="0" applyFont="1" applyFill="1" applyBorder="1" applyAlignment="1">
      <alignment horizontal="center" vertical="top" wrapText="1"/>
    </xf>
    <xf numFmtId="2" fontId="6" fillId="3" borderId="19" xfId="0" applyNumberFormat="1" applyFont="1" applyFill="1" applyBorder="1" applyAlignment="1">
      <alignment vertical="top" wrapText="1"/>
    </xf>
    <xf numFmtId="2" fontId="6" fillId="3" borderId="20" xfId="0" applyNumberFormat="1" applyFont="1" applyFill="1" applyBorder="1" applyAlignment="1">
      <alignment vertical="top" wrapText="1"/>
    </xf>
    <xf numFmtId="0" fontId="6" fillId="3" borderId="23" xfId="0" applyFont="1" applyFill="1" applyBorder="1" applyAlignment="1" applyProtection="1">
      <alignment horizontal="left" vertical="top" wrapText="1"/>
      <protection locked="0"/>
    </xf>
    <xf numFmtId="2" fontId="6" fillId="3" borderId="31" xfId="0" applyNumberFormat="1" applyFont="1" applyFill="1" applyBorder="1" applyAlignment="1">
      <alignment vertical="top" wrapText="1"/>
    </xf>
    <xf numFmtId="2" fontId="6" fillId="6" borderId="29" xfId="0" applyNumberFormat="1" applyFont="1" applyFill="1" applyBorder="1" applyAlignment="1" applyProtection="1">
      <alignment vertical="top" wrapText="1"/>
      <protection locked="0"/>
    </xf>
    <xf numFmtId="2" fontId="5" fillId="5" borderId="29" xfId="0" applyNumberFormat="1" applyFont="1" applyFill="1" applyBorder="1" applyAlignment="1">
      <alignment vertical="top" wrapText="1"/>
    </xf>
    <xf numFmtId="2" fontId="5" fillId="6" borderId="23" xfId="0" applyNumberFormat="1" applyFont="1" applyFill="1" applyBorder="1" applyAlignment="1">
      <alignment vertical="top" wrapText="1"/>
    </xf>
    <xf numFmtId="2" fontId="5" fillId="6" borderId="23" xfId="0" applyNumberFormat="1" applyFont="1" applyFill="1" applyBorder="1" applyAlignment="1" applyProtection="1">
      <alignment vertical="top" wrapText="1"/>
      <protection locked="0"/>
    </xf>
    <xf numFmtId="2" fontId="6" fillId="3" borderId="31" xfId="0" applyNumberFormat="1" applyFont="1" applyFill="1" applyBorder="1" applyAlignment="1" applyProtection="1">
      <alignment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vertical="top" wrapText="1"/>
      <protection locked="0"/>
    </xf>
    <xf numFmtId="0" fontId="6" fillId="5" borderId="23" xfId="0" applyFont="1" applyFill="1" applyBorder="1" applyAlignment="1" applyProtection="1">
      <alignment horizontal="center" vertical="top" wrapText="1"/>
      <protection locked="0"/>
    </xf>
    <xf numFmtId="2" fontId="6" fillId="2" borderId="23" xfId="0" applyNumberFormat="1" applyFont="1" applyFill="1" applyBorder="1" applyAlignment="1" applyProtection="1">
      <alignment vertical="top" wrapText="1"/>
      <protection locked="0"/>
    </xf>
    <xf numFmtId="2" fontId="6" fillId="7" borderId="23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2" fontId="6" fillId="4" borderId="23" xfId="0" applyNumberFormat="1" applyFont="1" applyFill="1" applyBorder="1" applyAlignment="1" applyProtection="1">
      <alignment vertical="top" wrapText="1"/>
      <protection locked="0"/>
    </xf>
    <xf numFmtId="2" fontId="6" fillId="4" borderId="29" xfId="0" applyNumberFormat="1" applyFont="1" applyFill="1" applyBorder="1" applyAlignment="1" applyProtection="1">
      <alignment vertical="top" wrapText="1"/>
      <protection locked="0"/>
    </xf>
    <xf numFmtId="0" fontId="4" fillId="4" borderId="0" xfId="0" applyFont="1" applyFill="1" applyProtection="1">
      <protection locked="0"/>
    </xf>
    <xf numFmtId="2" fontId="6" fillId="5" borderId="23" xfId="0" applyNumberFormat="1" applyFont="1" applyFill="1" applyBorder="1" applyAlignment="1" applyProtection="1">
      <alignment vertical="top" wrapText="1"/>
      <protection locked="0"/>
    </xf>
    <xf numFmtId="2" fontId="5" fillId="5" borderId="29" xfId="0" applyNumberFormat="1" applyFont="1" applyFill="1" applyBorder="1" applyAlignment="1" applyProtection="1">
      <alignment vertical="top" wrapText="1"/>
      <protection locked="0"/>
    </xf>
    <xf numFmtId="2" fontId="5" fillId="0" borderId="29" xfId="0" applyNumberFormat="1" applyFont="1" applyBorder="1" applyAlignment="1" applyProtection="1">
      <alignment vertical="top" wrapText="1"/>
      <protection locked="0"/>
    </xf>
    <xf numFmtId="0" fontId="6" fillId="0" borderId="23" xfId="0" applyFont="1" applyBorder="1" applyAlignment="1" applyProtection="1">
      <alignment vertical="top" wrapText="1"/>
      <protection locked="0"/>
    </xf>
    <xf numFmtId="0" fontId="6" fillId="0" borderId="23" xfId="0" applyFont="1" applyBorder="1" applyAlignment="1" applyProtection="1">
      <alignment horizontal="center" vertical="top" wrapText="1"/>
      <protection locked="0"/>
    </xf>
    <xf numFmtId="2" fontId="6" fillId="5" borderId="31" xfId="0" applyNumberFormat="1" applyFont="1" applyFill="1" applyBorder="1" applyAlignment="1" applyProtection="1">
      <alignment vertical="top" wrapText="1"/>
      <protection locked="0"/>
    </xf>
    <xf numFmtId="2" fontId="6" fillId="0" borderId="23" xfId="0" applyNumberFormat="1" applyFont="1" applyBorder="1" applyAlignment="1" applyProtection="1">
      <alignment vertical="top" wrapText="1"/>
      <protection locked="0"/>
    </xf>
    <xf numFmtId="2" fontId="6" fillId="6" borderId="49" xfId="0" applyNumberFormat="1" applyFont="1" applyFill="1" applyBorder="1" applyAlignment="1" applyProtection="1">
      <alignment vertical="top" wrapText="1"/>
      <protection locked="0"/>
    </xf>
    <xf numFmtId="2" fontId="6" fillId="0" borderId="20" xfId="0" applyNumberFormat="1" applyFont="1" applyBorder="1" applyAlignment="1" applyProtection="1">
      <alignment vertical="top" wrapText="1"/>
      <protection locked="0"/>
    </xf>
    <xf numFmtId="2" fontId="5" fillId="2" borderId="21" xfId="0" applyNumberFormat="1" applyFont="1" applyFill="1" applyBorder="1" applyAlignment="1" applyProtection="1">
      <alignment vertical="top" wrapText="1"/>
      <protection locked="0"/>
    </xf>
    <xf numFmtId="2" fontId="5" fillId="2" borderId="19" xfId="0" applyNumberFormat="1" applyFont="1" applyFill="1" applyBorder="1" applyAlignment="1" applyProtection="1">
      <alignment vertical="top" wrapText="1"/>
      <protection locked="0"/>
    </xf>
    <xf numFmtId="2" fontId="5" fillId="7" borderId="19" xfId="0" applyNumberFormat="1" applyFont="1" applyFill="1" applyBorder="1" applyAlignment="1" applyProtection="1">
      <alignment vertical="top" wrapText="1"/>
      <protection locked="0"/>
    </xf>
    <xf numFmtId="2" fontId="6" fillId="6" borderId="19" xfId="0" applyNumberFormat="1" applyFont="1" applyFill="1" applyBorder="1" applyAlignment="1" applyProtection="1">
      <alignment vertical="top" wrapText="1"/>
      <protection locked="0"/>
    </xf>
    <xf numFmtId="2" fontId="5" fillId="2" borderId="30" xfId="0" applyNumberFormat="1" applyFont="1" applyFill="1" applyBorder="1" applyAlignment="1" applyProtection="1">
      <alignment vertical="top" wrapText="1"/>
      <protection locked="0"/>
    </xf>
    <xf numFmtId="0" fontId="6" fillId="3" borderId="50" xfId="0" applyFont="1" applyFill="1" applyBorder="1" applyAlignment="1" applyProtection="1">
      <alignment horizontal="center" vertical="top" wrapText="1"/>
      <protection locked="0"/>
    </xf>
    <xf numFmtId="0" fontId="6" fillId="3" borderId="44" xfId="0" applyFont="1" applyFill="1" applyBorder="1" applyAlignment="1" applyProtection="1">
      <alignment horizontal="center" vertical="top" wrapText="1"/>
      <protection locked="0"/>
    </xf>
    <xf numFmtId="2" fontId="6" fillId="2" borderId="30" xfId="0" applyNumberFormat="1" applyFont="1" applyFill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right" vertical="top" wrapText="1"/>
      <protection locked="0"/>
    </xf>
    <xf numFmtId="2" fontId="5" fillId="5" borderId="23" xfId="0" applyNumberFormat="1" applyFont="1" applyFill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1" fontId="5" fillId="5" borderId="23" xfId="0" applyNumberFormat="1" applyFont="1" applyFill="1" applyBorder="1" applyAlignment="1" applyProtection="1">
      <alignment vertical="top" wrapText="1"/>
      <protection locked="0"/>
    </xf>
    <xf numFmtId="1" fontId="5" fillId="5" borderId="23" xfId="0" applyNumberFormat="1" applyFont="1" applyFill="1" applyBorder="1" applyAlignment="1" applyProtection="1">
      <alignment horizontal="center" vertical="top" wrapText="1"/>
      <protection locked="0"/>
    </xf>
    <xf numFmtId="1" fontId="6" fillId="6" borderId="23" xfId="0" applyNumberFormat="1" applyFont="1" applyFill="1" applyBorder="1" applyAlignment="1" applyProtection="1">
      <alignment vertical="top" wrapText="1"/>
      <protection locked="0"/>
    </xf>
    <xf numFmtId="1" fontId="5" fillId="2" borderId="30" xfId="0" applyNumberFormat="1" applyFont="1" applyFill="1" applyBorder="1" applyAlignment="1" applyProtection="1">
      <alignment vertical="top" wrapText="1"/>
      <protection locked="0"/>
    </xf>
    <xf numFmtId="1" fontId="5" fillId="2" borderId="23" xfId="0" applyNumberFormat="1" applyFont="1" applyFill="1" applyBorder="1" applyAlignment="1" applyProtection="1">
      <alignment vertical="top" wrapText="1"/>
      <protection locked="0"/>
    </xf>
    <xf numFmtId="1" fontId="5" fillId="7" borderId="23" xfId="0" applyNumberFormat="1" applyFont="1" applyFill="1" applyBorder="1" applyAlignment="1" applyProtection="1">
      <alignment vertical="top" wrapText="1"/>
      <protection locked="0"/>
    </xf>
    <xf numFmtId="1" fontId="6" fillId="5" borderId="23" xfId="0" applyNumberFormat="1" applyFont="1" applyFill="1" applyBorder="1" applyAlignment="1" applyProtection="1">
      <alignment vertical="top" wrapText="1"/>
      <protection locked="0"/>
    </xf>
    <xf numFmtId="1" fontId="6" fillId="2" borderId="30" xfId="0" applyNumberFormat="1" applyFont="1" applyFill="1" applyBorder="1" applyAlignment="1" applyProtection="1">
      <alignment vertical="top" wrapText="1"/>
      <protection locked="0"/>
    </xf>
    <xf numFmtId="1" fontId="6" fillId="2" borderId="23" xfId="0" applyNumberFormat="1" applyFont="1" applyFill="1" applyBorder="1" applyAlignment="1" applyProtection="1">
      <alignment vertical="top" wrapText="1"/>
      <protection locked="0"/>
    </xf>
    <xf numFmtId="1" fontId="6" fillId="7" borderId="23" xfId="0" applyNumberFormat="1" applyFont="1" applyFill="1" applyBorder="1" applyAlignment="1" applyProtection="1">
      <alignment vertical="top" wrapText="1"/>
      <protection locked="0"/>
    </xf>
    <xf numFmtId="0" fontId="5" fillId="0" borderId="23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1" xfId="0" applyFont="1" applyBorder="1" applyAlignment="1" applyProtection="1">
      <alignment horizontal="center"/>
      <protection locked="0"/>
    </xf>
    <xf numFmtId="0" fontId="5" fillId="2" borderId="51" xfId="0" applyFont="1" applyFill="1" applyBorder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0" borderId="2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left" wrapText="1"/>
    </xf>
    <xf numFmtId="4" fontId="3" fillId="0" borderId="23" xfId="0" applyNumberFormat="1" applyFont="1" applyBorder="1" applyAlignment="1">
      <alignment horizontal="right"/>
    </xf>
    <xf numFmtId="2" fontId="3" fillId="0" borderId="23" xfId="0" applyNumberFormat="1" applyFont="1" applyBorder="1" applyAlignment="1">
      <alignment horizontal="center"/>
    </xf>
    <xf numFmtId="2" fontId="3" fillId="0" borderId="31" xfId="0" applyNumberFormat="1" applyFont="1" applyBorder="1" applyAlignment="1">
      <alignment horizontal="center"/>
    </xf>
    <xf numFmtId="0" fontId="12" fillId="5" borderId="23" xfId="0" applyFont="1" applyFill="1" applyBorder="1" applyAlignment="1">
      <alignment horizontal="left" vertical="top" wrapText="1"/>
    </xf>
    <xf numFmtId="4" fontId="3" fillId="0" borderId="23" xfId="0" applyNumberFormat="1" applyFont="1" applyBorder="1"/>
    <xf numFmtId="49" fontId="3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left" vertical="top" wrapText="1"/>
    </xf>
    <xf numFmtId="4" fontId="3" fillId="0" borderId="5" xfId="0" applyNumberFormat="1" applyFont="1" applyBorder="1"/>
    <xf numFmtId="2" fontId="3" fillId="0" borderId="5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3" xfId="0" applyFont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wrapText="1"/>
    </xf>
    <xf numFmtId="2" fontId="4" fillId="3" borderId="23" xfId="0" applyNumberFormat="1" applyFont="1" applyFill="1" applyBorder="1" applyAlignment="1">
      <alignment wrapText="1"/>
    </xf>
    <xf numFmtId="0" fontId="3" fillId="3" borderId="0" xfId="0" applyFont="1" applyFill="1"/>
    <xf numFmtId="0" fontId="4" fillId="0" borderId="23" xfId="0" applyFont="1" applyBorder="1" applyAlignment="1">
      <alignment wrapText="1"/>
    </xf>
    <xf numFmtId="2" fontId="4" fillId="0" borderId="23" xfId="0" applyNumberFormat="1" applyFont="1" applyBorder="1" applyAlignment="1">
      <alignment wrapText="1"/>
    </xf>
    <xf numFmtId="0" fontId="3" fillId="0" borderId="23" xfId="0" applyFont="1" applyBorder="1" applyAlignment="1">
      <alignment wrapText="1"/>
    </xf>
    <xf numFmtId="2" fontId="3" fillId="0" borderId="23" xfId="0" applyNumberFormat="1" applyFont="1" applyBorder="1" applyAlignment="1">
      <alignment wrapText="1"/>
    </xf>
    <xf numFmtId="0" fontId="4" fillId="8" borderId="23" xfId="0" applyFont="1" applyFill="1" applyBorder="1" applyAlignment="1">
      <alignment horizontal="center" wrapText="1"/>
    </xf>
    <xf numFmtId="0" fontId="4" fillId="8" borderId="23" xfId="0" applyFont="1" applyFill="1" applyBorder="1" applyAlignment="1">
      <alignment wrapText="1"/>
    </xf>
    <xf numFmtId="2" fontId="4" fillId="8" borderId="23" xfId="0" applyNumberFormat="1" applyFont="1" applyFill="1" applyBorder="1" applyAlignment="1">
      <alignment wrapText="1"/>
    </xf>
    <xf numFmtId="0" fontId="4" fillId="8" borderId="0" xfId="0" applyFont="1" applyFill="1"/>
    <xf numFmtId="2" fontId="4" fillId="8" borderId="0" xfId="0" applyNumberFormat="1" applyFont="1" applyFill="1"/>
    <xf numFmtId="0" fontId="4" fillId="0" borderId="0" xfId="0" applyFont="1"/>
    <xf numFmtId="0" fontId="4" fillId="4" borderId="23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wrapText="1"/>
    </xf>
    <xf numFmtId="2" fontId="4" fillId="4" borderId="23" xfId="0" applyNumberFormat="1" applyFont="1" applyFill="1" applyBorder="1" applyAlignment="1">
      <alignment wrapText="1"/>
    </xf>
    <xf numFmtId="0" fontId="4" fillId="4" borderId="0" xfId="0" applyFont="1" applyFill="1"/>
    <xf numFmtId="0" fontId="3" fillId="4" borderId="0" xfId="0" applyFont="1" applyFill="1"/>
    <xf numFmtId="2" fontId="3" fillId="0" borderId="0" xfId="0" applyNumberFormat="1" applyFont="1"/>
    <xf numFmtId="0" fontId="3" fillId="8" borderId="23" xfId="0" applyFont="1" applyFill="1" applyBorder="1" applyAlignment="1">
      <alignment horizontal="center" wrapText="1"/>
    </xf>
    <xf numFmtId="0" fontId="3" fillId="8" borderId="23" xfId="0" applyFont="1" applyFill="1" applyBorder="1" applyAlignment="1">
      <alignment wrapText="1"/>
    </xf>
    <xf numFmtId="2" fontId="3" fillId="8" borderId="23" xfId="0" applyNumberFormat="1" applyFont="1" applyFill="1" applyBorder="1" applyAlignment="1">
      <alignment wrapText="1"/>
    </xf>
    <xf numFmtId="0" fontId="3" fillId="8" borderId="0" xfId="0" applyFont="1" applyFill="1"/>
    <xf numFmtId="49" fontId="3" fillId="0" borderId="23" xfId="0" applyNumberFormat="1" applyFont="1" applyBorder="1" applyAlignment="1">
      <alignment wrapText="1"/>
    </xf>
    <xf numFmtId="49" fontId="3" fillId="8" borderId="23" xfId="0" applyNumberFormat="1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2" fontId="3" fillId="4" borderId="23" xfId="0" applyNumberFormat="1" applyFont="1" applyFill="1" applyBorder="1" applyAlignment="1">
      <alignment wrapText="1"/>
    </xf>
    <xf numFmtId="0" fontId="3" fillId="4" borderId="23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23" xfId="0" applyFont="1" applyBorder="1" applyAlignment="1">
      <alignment horizontal="left" vertical="top" wrapText="1"/>
    </xf>
    <xf numFmtId="0" fontId="3" fillId="0" borderId="23" xfId="0" applyFont="1" applyBorder="1" applyAlignment="1">
      <alignment vertical="top" wrapText="1"/>
    </xf>
    <xf numFmtId="0" fontId="3" fillId="0" borderId="23" xfId="0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/>
    <xf numFmtId="0" fontId="3" fillId="0" borderId="15" xfId="0" applyFont="1" applyBorder="1" applyAlignment="1">
      <alignment vertical="top" wrapText="1"/>
    </xf>
    <xf numFmtId="0" fontId="3" fillId="0" borderId="16" xfId="0" applyFont="1" applyBorder="1"/>
    <xf numFmtId="0" fontId="3" fillId="0" borderId="20" xfId="0" applyFont="1" applyBorder="1" applyAlignment="1">
      <alignment vertical="top" wrapText="1"/>
    </xf>
    <xf numFmtId="0" fontId="3" fillId="0" borderId="21" xfId="0" applyFont="1" applyBorder="1"/>
    <xf numFmtId="0" fontId="3" fillId="0" borderId="33" xfId="0" applyFont="1" applyBorder="1" applyAlignment="1">
      <alignment vertical="top" wrapText="1"/>
    </xf>
    <xf numFmtId="0" fontId="3" fillId="0" borderId="34" xfId="0" applyFont="1" applyBorder="1"/>
    <xf numFmtId="0" fontId="3" fillId="0" borderId="35" xfId="0" applyFont="1" applyBorder="1" applyAlignment="1">
      <alignment vertical="top" wrapText="1"/>
    </xf>
    <xf numFmtId="0" fontId="3" fillId="0" borderId="36" xfId="0" applyFont="1" applyBorder="1"/>
    <xf numFmtId="0" fontId="3" fillId="0" borderId="1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/>
    <xf numFmtId="0" fontId="3" fillId="0" borderId="28" xfId="0" applyFont="1" applyBorder="1"/>
    <xf numFmtId="0" fontId="3" fillId="0" borderId="24" xfId="0" applyFont="1" applyBorder="1"/>
    <xf numFmtId="0" fontId="3" fillId="0" borderId="19" xfId="0" applyFont="1" applyBorder="1" applyAlignment="1">
      <alignment horizontal="center" vertical="top" wrapText="1"/>
    </xf>
    <xf numFmtId="0" fontId="3" fillId="0" borderId="25" xfId="0" applyFont="1" applyBorder="1"/>
    <xf numFmtId="0" fontId="3" fillId="0" borderId="29" xfId="0" applyFont="1" applyBorder="1" applyAlignment="1">
      <alignment vertical="top" wrapText="1"/>
    </xf>
    <xf numFmtId="0" fontId="3" fillId="0" borderId="30" xfId="0" applyFont="1" applyBorder="1"/>
    <xf numFmtId="0" fontId="3" fillId="0" borderId="26" xfId="0" applyFont="1" applyBorder="1" applyAlignment="1">
      <alignment vertical="top" wrapText="1"/>
    </xf>
    <xf numFmtId="0" fontId="3" fillId="0" borderId="27" xfId="0" applyFont="1" applyBorder="1"/>
    <xf numFmtId="0" fontId="4" fillId="0" borderId="15" xfId="0" applyFont="1" applyBorder="1" applyAlignment="1">
      <alignment vertical="top" wrapText="1"/>
    </xf>
    <xf numFmtId="0" fontId="4" fillId="0" borderId="16" xfId="0" applyFont="1" applyBorder="1"/>
    <xf numFmtId="0" fontId="3" fillId="0" borderId="30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30" xfId="0" applyFont="1" applyBorder="1"/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4" fillId="3" borderId="15" xfId="0" applyFont="1" applyFill="1" applyBorder="1" applyAlignment="1">
      <alignment vertical="top" wrapText="1"/>
    </xf>
    <xf numFmtId="0" fontId="4" fillId="3" borderId="16" xfId="0" applyFont="1" applyFill="1" applyBorder="1"/>
    <xf numFmtId="0" fontId="3" fillId="0" borderId="23" xfId="0" applyFont="1" applyBorder="1" applyAlignment="1">
      <alignment horizontal="center" vertical="top" wrapText="1"/>
    </xf>
    <xf numFmtId="0" fontId="3" fillId="0" borderId="29" xfId="0" applyFont="1" applyBorder="1"/>
    <xf numFmtId="0" fontId="4" fillId="0" borderId="33" xfId="0" applyFont="1" applyBorder="1" applyAlignment="1">
      <alignment vertical="top" wrapText="1"/>
    </xf>
    <xf numFmtId="0" fontId="4" fillId="0" borderId="34" xfId="0" applyFont="1" applyBorder="1"/>
    <xf numFmtId="0" fontId="4" fillId="0" borderId="35" xfId="0" applyFont="1" applyBorder="1" applyAlignment="1">
      <alignment vertical="top" wrapText="1"/>
    </xf>
    <xf numFmtId="0" fontId="4" fillId="0" borderId="36" xfId="0" applyFont="1" applyBorder="1"/>
    <xf numFmtId="0" fontId="4" fillId="0" borderId="20" xfId="0" applyFont="1" applyBorder="1" applyAlignment="1">
      <alignment vertical="top" wrapText="1"/>
    </xf>
    <xf numFmtId="0" fontId="4" fillId="0" borderId="21" xfId="0" applyFont="1" applyBorder="1"/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/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6" fillId="3" borderId="44" xfId="0" applyFont="1" applyFill="1" applyBorder="1" applyAlignment="1" applyProtection="1">
      <alignment vertical="top" wrapText="1"/>
      <protection locked="0"/>
    </xf>
    <xf numFmtId="0" fontId="6" fillId="0" borderId="23" xfId="0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5" fillId="0" borderId="23" xfId="0" applyFont="1" applyBorder="1" applyProtection="1">
      <protection locked="0"/>
    </xf>
    <xf numFmtId="0" fontId="6" fillId="3" borderId="23" xfId="0" applyFont="1" applyFill="1" applyBorder="1" applyAlignment="1" applyProtection="1">
      <alignment vertical="top" wrapText="1"/>
      <protection locked="0"/>
    </xf>
    <xf numFmtId="0" fontId="6" fillId="3" borderId="23" xfId="0" applyFont="1" applyFill="1" applyBorder="1" applyAlignment="1" applyProtection="1">
      <alignment horizontal="left" vertical="top" wrapText="1"/>
      <protection locked="0"/>
    </xf>
    <xf numFmtId="0" fontId="6" fillId="4" borderId="23" xfId="0" applyFont="1" applyFill="1" applyBorder="1" applyAlignment="1" applyProtection="1">
      <alignment vertical="top" wrapText="1"/>
      <protection locked="0"/>
    </xf>
    <xf numFmtId="0" fontId="6" fillId="3" borderId="14" xfId="0" applyFont="1" applyFill="1" applyBorder="1" applyAlignment="1" applyProtection="1">
      <alignment horizontal="left" vertical="top" wrapText="1"/>
      <protection locked="0"/>
    </xf>
    <xf numFmtId="0" fontId="5" fillId="0" borderId="47" xfId="0" applyFont="1" applyBorder="1" applyAlignment="1" applyProtection="1">
      <alignment horizontal="center" vertical="top" wrapText="1"/>
      <protection locked="0"/>
    </xf>
    <xf numFmtId="0" fontId="5" fillId="0" borderId="48" xfId="0" applyFont="1" applyBorder="1" applyAlignment="1" applyProtection="1">
      <alignment horizontal="center" vertical="top" wrapText="1"/>
      <protection locked="0"/>
    </xf>
    <xf numFmtId="0" fontId="5" fillId="0" borderId="28" xfId="0" applyFont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7" xfId="0" applyFont="1" applyBorder="1" applyAlignment="1" applyProtection="1">
      <alignment horizontal="center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24" xfId="0" applyFont="1" applyBorder="1" applyAlignment="1" applyProtection="1">
      <alignment horizontal="center" vertical="top" wrapText="1"/>
      <protection locked="0"/>
    </xf>
    <xf numFmtId="0" fontId="5" fillId="0" borderId="25" xfId="0" applyFont="1" applyBorder="1" applyAlignment="1" applyProtection="1">
      <alignment horizontal="center" vertical="top" wrapText="1"/>
      <protection locked="0"/>
    </xf>
    <xf numFmtId="0" fontId="5" fillId="0" borderId="25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2" borderId="39" xfId="0" applyFont="1" applyFill="1" applyBorder="1" applyAlignment="1" applyProtection="1">
      <alignment horizontal="center" vertical="center" wrapText="1"/>
      <protection locked="0"/>
    </xf>
    <xf numFmtId="0" fontId="6" fillId="2" borderId="40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4" fontId="6" fillId="0" borderId="2" xfId="0" applyNumberFormat="1" applyFont="1" applyBorder="1" applyAlignment="1" applyProtection="1">
      <alignment horizontal="center" vertical="center" wrapText="1"/>
      <protection locked="0"/>
    </xf>
    <xf numFmtId="4" fontId="6" fillId="0" borderId="23" xfId="0" applyNumberFormat="1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9" fontId="4" fillId="0" borderId="3" xfId="0" applyNumberFormat="1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2" fontId="5" fillId="0" borderId="23" xfId="0" applyNumberFormat="1" applyFont="1" applyBorder="1" applyProtection="1">
      <protection locked="0"/>
    </xf>
    <xf numFmtId="0" fontId="5" fillId="3" borderId="0" xfId="0" applyFont="1" applyFill="1" applyProtection="1">
      <protection locked="0"/>
    </xf>
    <xf numFmtId="0" fontId="5" fillId="3" borderId="23" xfId="0" applyFont="1" applyFill="1" applyBorder="1" applyProtection="1">
      <protection locked="0"/>
    </xf>
    <xf numFmtId="0" fontId="5" fillId="8" borderId="0" xfId="0" applyFont="1" applyFill="1" applyAlignment="1" applyProtection="1">
      <alignment vertical="center"/>
      <protection locked="0"/>
    </xf>
    <xf numFmtId="2" fontId="5" fillId="8" borderId="23" xfId="0" applyNumberFormat="1" applyFont="1" applyFill="1" applyBorder="1" applyAlignment="1" applyProtection="1">
      <alignment vertical="center"/>
      <protection locked="0"/>
    </xf>
    <xf numFmtId="0" fontId="5" fillId="8" borderId="0" xfId="0" applyFont="1" applyFill="1" applyProtection="1">
      <protection locked="0"/>
    </xf>
    <xf numFmtId="2" fontId="5" fillId="0" borderId="0" xfId="0" applyNumberFormat="1" applyFont="1" applyProtection="1">
      <protection locked="0"/>
    </xf>
    <xf numFmtId="0" fontId="6" fillId="3" borderId="0" xfId="0" applyFont="1" applyFill="1" applyProtection="1">
      <protection locked="0"/>
    </xf>
    <xf numFmtId="0" fontId="6" fillId="4" borderId="0" xfId="0" applyFont="1" applyFill="1" applyProtection="1">
      <protection locked="0"/>
    </xf>
    <xf numFmtId="0" fontId="6" fillId="4" borderId="23" xfId="0" applyFont="1" applyFill="1" applyBorder="1" applyProtection="1">
      <protection locked="0"/>
    </xf>
    <xf numFmtId="2" fontId="6" fillId="4" borderId="23" xfId="0" applyNumberFormat="1" applyFont="1" applyFill="1" applyBorder="1" applyProtection="1">
      <protection locked="0"/>
    </xf>
    <xf numFmtId="3" fontId="5" fillId="0" borderId="23" xfId="0" applyNumberFormat="1" applyFont="1" applyBorder="1" applyProtection="1">
      <protection locked="0"/>
    </xf>
    <xf numFmtId="4" fontId="5" fillId="0" borderId="23" xfId="0" applyNumberFormat="1" applyFont="1" applyBorder="1" applyProtection="1">
      <protection locked="0"/>
    </xf>
    <xf numFmtId="0" fontId="6" fillId="3" borderId="23" xfId="0" applyFont="1" applyFill="1" applyBorder="1" applyProtection="1">
      <protection locked="0"/>
    </xf>
    <xf numFmtId="4" fontId="6" fillId="3" borderId="23" xfId="0" applyNumberFormat="1" applyFont="1" applyFill="1" applyBorder="1" applyProtection="1">
      <protection locked="0"/>
    </xf>
    <xf numFmtId="4" fontId="6" fillId="3" borderId="0" xfId="0" applyNumberFormat="1" applyFont="1" applyFill="1" applyProtection="1">
      <protection locked="0"/>
    </xf>
    <xf numFmtId="4" fontId="5" fillId="3" borderId="0" xfId="0" applyNumberFormat="1" applyFont="1" applyFill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23" xfId="0" applyFont="1" applyBorder="1" applyAlignment="1">
      <alignment vertical="top" wrapText="1"/>
    </xf>
    <xf numFmtId="0" fontId="5" fillId="0" borderId="19" xfId="0" applyFont="1" applyBorder="1" applyProtection="1">
      <protection locked="0"/>
    </xf>
    <xf numFmtId="2" fontId="6" fillId="3" borderId="0" xfId="0" applyNumberFormat="1" applyFont="1" applyFill="1" applyProtection="1">
      <protection locked="0"/>
    </xf>
    <xf numFmtId="2" fontId="6" fillId="0" borderId="23" xfId="0" applyNumberFormat="1" applyFont="1" applyBorder="1" applyProtection="1">
      <protection locked="0"/>
    </xf>
    <xf numFmtId="0" fontId="6" fillId="0" borderId="23" xfId="0" applyFont="1" applyBorder="1" applyProtection="1">
      <protection locked="0"/>
    </xf>
    <xf numFmtId="2" fontId="6" fillId="2" borderId="23" xfId="0" applyNumberFormat="1" applyFont="1" applyFill="1" applyBorder="1" applyAlignment="1">
      <alignment vertical="top" wrapText="1"/>
    </xf>
    <xf numFmtId="2" fontId="6" fillId="7" borderId="23" xfId="0" applyNumberFormat="1" applyFont="1" applyFill="1" applyBorder="1" applyAlignment="1">
      <alignment vertical="top" wrapText="1"/>
    </xf>
    <xf numFmtId="0" fontId="5" fillId="5" borderId="23" xfId="0" applyFont="1" applyFill="1" applyBorder="1" applyAlignment="1" applyProtection="1">
      <alignment vertical="top" wrapText="1"/>
      <protection locked="0"/>
    </xf>
    <xf numFmtId="2" fontId="6" fillId="5" borderId="44" xfId="0" applyNumberFormat="1" applyFont="1" applyFill="1" applyBorder="1" applyAlignment="1">
      <alignment vertical="top" wrapText="1"/>
    </xf>
    <xf numFmtId="0" fontId="5" fillId="5" borderId="0" xfId="0" applyFont="1" applyFill="1" applyProtection="1">
      <protection locked="0"/>
    </xf>
    <xf numFmtId="2" fontId="5" fillId="5" borderId="23" xfId="0" applyNumberFormat="1" applyFont="1" applyFill="1" applyBorder="1" applyProtection="1">
      <protection locked="0"/>
    </xf>
    <xf numFmtId="0" fontId="3" fillId="5" borderId="0" xfId="0" applyFont="1" applyFill="1" applyProtection="1">
      <protection locked="0"/>
    </xf>
    <xf numFmtId="0" fontId="6" fillId="5" borderId="23" xfId="0" applyFont="1" applyFill="1" applyBorder="1" applyAlignment="1" applyProtection="1">
      <alignment vertical="top" wrapText="1"/>
      <protection locked="0"/>
    </xf>
    <xf numFmtId="0" fontId="6" fillId="5" borderId="0" xfId="0" applyFont="1" applyFill="1" applyProtection="1">
      <protection locked="0"/>
    </xf>
    <xf numFmtId="2" fontId="6" fillId="5" borderId="23" xfId="0" applyNumberFormat="1" applyFont="1" applyFill="1" applyBorder="1" applyProtection="1">
      <protection locked="0"/>
    </xf>
    <xf numFmtId="0" fontId="4" fillId="5" borderId="0" xfId="0" applyFont="1" applyFill="1" applyProtection="1">
      <protection locked="0"/>
    </xf>
    <xf numFmtId="0" fontId="5" fillId="5" borderId="23" xfId="0" applyFont="1" applyFill="1" applyBorder="1" applyAlignment="1" applyProtection="1">
      <alignment horizontal="right" vertical="top" wrapText="1"/>
      <protection locked="0"/>
    </xf>
    <xf numFmtId="0" fontId="5" fillId="5" borderId="23" xfId="0" applyFont="1" applyFill="1" applyBorder="1" applyAlignment="1" applyProtection="1">
      <alignment horizontal="left" vertical="top" wrapText="1"/>
      <protection locked="0"/>
    </xf>
    <xf numFmtId="2" fontId="5" fillId="5" borderId="30" xfId="0" applyNumberFormat="1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Protection="1">
      <protection locked="0"/>
    </xf>
  </cellXfs>
  <cellStyles count="2">
    <cellStyle name="Normal" xfId="0" builtinId="0"/>
    <cellStyle name="Normal_Copy of Copy of BVC analitic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e%20O.S%20Municipiu\Users\User\Desktop\BUGETE%20OSM%20B_TA%20RA\Buget%20an%202024%20prevederi\EXECUTIE_BVC%202024\EXECUTIE%20BVC%20trim%20IV%20-CENTRALIZAT-AN-2024-OSM-RA-anexa-1_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VC%20AN%202026/BVC%20AN%202026/BVC%202026%20%20-CENTRALIZAT-AN-2026-OSM-RA-anexa-1_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A%20OVIDIU/bugete%20in%20lucru/20.04.2026%20bvc%202026%20calcule%20livez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get Centralizat  1"/>
      <sheetName val="Buget centralizat 2"/>
      <sheetName val="Buget centralizat  3"/>
      <sheetName val="Buget centralizat  4"/>
      <sheetName val="Buget centralizat  5"/>
      <sheetName val=" Bis.1"/>
      <sheetName val="Bis.2"/>
      <sheetName val="Bis.3"/>
      <sheetName val="Bis.4"/>
      <sheetName val="Bis.5"/>
      <sheetName val="liv1"/>
      <sheetName val="liv2"/>
      <sheetName val="liv3"/>
      <sheetName val="liv4"/>
      <sheetName val="liv5"/>
    </sheetNames>
    <sheetDataSet>
      <sheetData sheetId="0"/>
      <sheetData sheetId="1"/>
      <sheetData sheetId="2"/>
      <sheetData sheetId="3"/>
      <sheetData sheetId="4"/>
      <sheetData sheetId="5">
        <row r="39">
          <cell r="G39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get Centralizat  1"/>
      <sheetName val="Buget centralizat 2"/>
      <sheetName val="Buget centralizat  3"/>
      <sheetName val="Buget centralizat  4"/>
      <sheetName val="Buget centralizat  5"/>
      <sheetName val=" Bis.1"/>
      <sheetName val="Bis.2"/>
      <sheetName val="Bis.3"/>
      <sheetName val="Bis.4"/>
      <sheetName val="Bis.5"/>
      <sheetName val="liv1"/>
      <sheetName val="liv2"/>
      <sheetName val="liv3"/>
      <sheetName val="liv4"/>
      <sheetName val="liv5"/>
    </sheetNames>
    <sheetDataSet>
      <sheetData sheetId="0"/>
      <sheetData sheetId="1">
        <row r="111">
          <cell r="M111">
            <v>0</v>
          </cell>
        </row>
      </sheetData>
      <sheetData sheetId="2"/>
      <sheetData sheetId="3"/>
      <sheetData sheetId="4"/>
      <sheetData sheetId="5">
        <row r="38">
          <cell r="N38">
            <v>0</v>
          </cell>
          <cell r="O38">
            <v>0</v>
          </cell>
        </row>
      </sheetData>
      <sheetData sheetId="6"/>
      <sheetData sheetId="7"/>
      <sheetData sheetId="8"/>
      <sheetData sheetId="9"/>
      <sheetData sheetId="10">
        <row r="34">
          <cell r="N34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itii"/>
      <sheetName val="Alte chelt.rep,post,ener,asig"/>
      <sheetName val="MAT"/>
      <sheetName val="J"/>
      <sheetName val="C REG+ACC"/>
      <sheetName val="TAXE IMPOZITE"/>
      <sheetName val=" Obi. de inv.si M.fixe DR24 "/>
      <sheetName val="obiecte de inventar DR 24"/>
      <sheetName val="Calcul amotizare MF din DR 24"/>
      <sheetName val="zilieri+muncitori+sc"/>
      <sheetName val="SALARII SI CA"/>
      <sheetName val="D ingr"/>
      <sheetName val="D cult"/>
      <sheetName val="LP -venituri"/>
      <sheetName val="liv1"/>
      <sheetName val="liv2"/>
      <sheetName val="liv3"/>
      <sheetName val="liv4"/>
      <sheetName val="liv5"/>
    </sheetNames>
    <sheetDataSet>
      <sheetData sheetId="0"/>
      <sheetData sheetId="1">
        <row r="14">
          <cell r="D14">
            <v>10300</v>
          </cell>
          <cell r="I14">
            <v>1100</v>
          </cell>
        </row>
        <row r="39">
          <cell r="D39">
            <v>1000</v>
          </cell>
        </row>
        <row r="42">
          <cell r="I42">
            <v>15356</v>
          </cell>
        </row>
        <row r="55">
          <cell r="D55">
            <v>650</v>
          </cell>
          <cell r="I55">
            <v>11400</v>
          </cell>
        </row>
        <row r="65">
          <cell r="D65">
            <v>11040.27</v>
          </cell>
          <cell r="I65">
            <v>3000</v>
          </cell>
        </row>
      </sheetData>
      <sheetData sheetId="2">
        <row r="20">
          <cell r="I20">
            <v>52524.106375000003</v>
          </cell>
        </row>
        <row r="37">
          <cell r="I37">
            <v>5877.5287374999989</v>
          </cell>
        </row>
        <row r="54">
          <cell r="I54">
            <v>3500</v>
          </cell>
        </row>
        <row r="75">
          <cell r="I75">
            <v>60887.199999999997</v>
          </cell>
        </row>
      </sheetData>
      <sheetData sheetId="3">
        <row r="37">
          <cell r="G37">
            <v>707049.59030000004</v>
          </cell>
        </row>
      </sheetData>
      <sheetData sheetId="4"/>
      <sheetData sheetId="5">
        <row r="10">
          <cell r="D10">
            <v>1804</v>
          </cell>
        </row>
        <row r="13">
          <cell r="D13">
            <v>16882</v>
          </cell>
        </row>
        <row r="14">
          <cell r="D14">
            <v>10383</v>
          </cell>
        </row>
        <row r="15">
          <cell r="D15">
            <v>792</v>
          </cell>
        </row>
        <row r="18">
          <cell r="D18">
            <v>2550</v>
          </cell>
        </row>
        <row r="21">
          <cell r="D21">
            <v>2249.9166059999998</v>
          </cell>
        </row>
      </sheetData>
      <sheetData sheetId="6"/>
      <sheetData sheetId="7">
        <row r="42">
          <cell r="D42">
            <v>87100.28</v>
          </cell>
        </row>
      </sheetData>
      <sheetData sheetId="8">
        <row r="23">
          <cell r="E23">
            <v>4000.38</v>
          </cell>
        </row>
        <row r="28">
          <cell r="E28">
            <v>29000</v>
          </cell>
        </row>
      </sheetData>
      <sheetData sheetId="9">
        <row r="32">
          <cell r="N32">
            <v>25464.459000036564</v>
          </cell>
        </row>
      </sheetData>
      <sheetData sheetId="10">
        <row r="16">
          <cell r="G16">
            <v>570742</v>
          </cell>
        </row>
        <row r="17">
          <cell r="G17">
            <v>443431</v>
          </cell>
        </row>
        <row r="19">
          <cell r="G19">
            <v>33660</v>
          </cell>
        </row>
        <row r="20">
          <cell r="G20">
            <v>7925</v>
          </cell>
        </row>
        <row r="21">
          <cell r="G21">
            <v>10000</v>
          </cell>
        </row>
        <row r="23">
          <cell r="G23">
            <v>124164</v>
          </cell>
        </row>
        <row r="24">
          <cell r="G24">
            <v>36950</v>
          </cell>
        </row>
        <row r="25">
          <cell r="G25">
            <v>27630</v>
          </cell>
        </row>
      </sheetData>
      <sheetData sheetId="11"/>
      <sheetData sheetId="12"/>
      <sheetData sheetId="13">
        <row r="59">
          <cell r="R59">
            <v>2171054.7713335948</v>
          </cell>
          <cell r="S59"/>
        </row>
        <row r="60">
          <cell r="E60">
            <v>2000</v>
          </cell>
          <cell r="R60">
            <v>2000</v>
          </cell>
          <cell r="S60"/>
        </row>
        <row r="61">
          <cell r="E61">
            <v>119584.03350399999</v>
          </cell>
          <cell r="R61">
            <v>1200</v>
          </cell>
          <cell r="S61"/>
        </row>
        <row r="62">
          <cell r="R62">
            <v>18004</v>
          </cell>
          <cell r="S62"/>
        </row>
        <row r="63">
          <cell r="E63">
            <v>119584.03350399999</v>
          </cell>
          <cell r="T63">
            <v>78300</v>
          </cell>
        </row>
        <row r="64">
          <cell r="R64">
            <v>68348.936499999996</v>
          </cell>
          <cell r="S64"/>
        </row>
        <row r="65">
          <cell r="R65">
            <v>146245.52110790001</v>
          </cell>
          <cell r="S65"/>
        </row>
        <row r="66">
          <cell r="E66">
            <v>10855.273856667975</v>
          </cell>
          <cell r="R66">
            <v>270000</v>
          </cell>
          <cell r="S66"/>
        </row>
        <row r="67">
          <cell r="E67">
            <v>17134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124"/>
  <sheetViews>
    <sheetView view="pageBreakPreview" zoomScaleNormal="100" zoomScaleSheetLayoutView="100" workbookViewId="0">
      <pane ySplit="11" topLeftCell="A45" activePane="bottomLeft" state="frozen"/>
      <selection activeCell="Z14" sqref="Z14"/>
      <selection pane="bottomLeft" activeCell="H44" sqref="H44"/>
    </sheetView>
  </sheetViews>
  <sheetFormatPr defaultColWidth="11.85546875" defaultRowHeight="15.75"/>
  <cols>
    <col min="1" max="1" width="6.7109375" style="4" customWidth="1"/>
    <col min="2" max="2" width="3.85546875" style="4" customWidth="1"/>
    <col min="3" max="3" width="5.7109375" style="4" customWidth="1"/>
    <col min="4" max="4" width="4.85546875" style="4" customWidth="1"/>
    <col min="5" max="5" width="72.28515625" style="6" customWidth="1"/>
    <col min="6" max="6" width="11" style="4" customWidth="1"/>
    <col min="7" max="7" width="13.85546875" style="4" customWidth="1"/>
    <col min="8" max="8" width="13.42578125" style="68" customWidth="1"/>
    <col min="9" max="10" width="13.140625" style="68" hidden="1" customWidth="1"/>
    <col min="11" max="11" width="13" style="68" hidden="1" customWidth="1"/>
    <col min="12" max="12" width="15.28515625" style="68" hidden="1" customWidth="1"/>
    <col min="13" max="13" width="10.7109375" style="68" customWidth="1"/>
    <col min="14" max="14" width="13.28515625" style="4" customWidth="1"/>
    <col min="15" max="15" width="12.7109375" style="4" customWidth="1"/>
    <col min="16" max="16" width="9.28515625" style="5" customWidth="1"/>
    <col min="17" max="17" width="12.42578125" style="4" customWidth="1"/>
    <col min="18" max="19" width="11" style="4" hidden="1" customWidth="1"/>
    <col min="20" max="21" width="11" style="4" customWidth="1"/>
    <col min="22" max="256" width="11.85546875" style="4"/>
    <col min="257" max="257" width="6.7109375" style="4" customWidth="1"/>
    <col min="258" max="258" width="3.85546875" style="4" customWidth="1"/>
    <col min="259" max="259" width="5.7109375" style="4" customWidth="1"/>
    <col min="260" max="260" width="4.85546875" style="4" customWidth="1"/>
    <col min="261" max="261" width="72.28515625" style="4" customWidth="1"/>
    <col min="262" max="262" width="11" style="4" customWidth="1"/>
    <col min="263" max="263" width="13.85546875" style="4" customWidth="1"/>
    <col min="264" max="264" width="13.42578125" style="4" customWidth="1"/>
    <col min="265" max="273" width="0" style="4" hidden="1" customWidth="1"/>
    <col min="274" max="277" width="11" style="4" customWidth="1"/>
    <col min="278" max="512" width="11.85546875" style="4"/>
    <col min="513" max="513" width="6.7109375" style="4" customWidth="1"/>
    <col min="514" max="514" width="3.85546875" style="4" customWidth="1"/>
    <col min="515" max="515" width="5.7109375" style="4" customWidth="1"/>
    <col min="516" max="516" width="4.85546875" style="4" customWidth="1"/>
    <col min="517" max="517" width="72.28515625" style="4" customWidth="1"/>
    <col min="518" max="518" width="11" style="4" customWidth="1"/>
    <col min="519" max="519" width="13.85546875" style="4" customWidth="1"/>
    <col min="520" max="520" width="13.42578125" style="4" customWidth="1"/>
    <col min="521" max="529" width="0" style="4" hidden="1" customWidth="1"/>
    <col min="530" max="533" width="11" style="4" customWidth="1"/>
    <col min="534" max="768" width="11.85546875" style="4"/>
    <col min="769" max="769" width="6.7109375" style="4" customWidth="1"/>
    <col min="770" max="770" width="3.85546875" style="4" customWidth="1"/>
    <col min="771" max="771" width="5.7109375" style="4" customWidth="1"/>
    <col min="772" max="772" width="4.85546875" style="4" customWidth="1"/>
    <col min="773" max="773" width="72.28515625" style="4" customWidth="1"/>
    <col min="774" max="774" width="11" style="4" customWidth="1"/>
    <col min="775" max="775" width="13.85546875" style="4" customWidth="1"/>
    <col min="776" max="776" width="13.42578125" style="4" customWidth="1"/>
    <col min="777" max="785" width="0" style="4" hidden="1" customWidth="1"/>
    <col min="786" max="789" width="11" style="4" customWidth="1"/>
    <col min="790" max="1024" width="11.85546875" style="4"/>
    <col min="1025" max="1025" width="6.7109375" style="4" customWidth="1"/>
    <col min="1026" max="1026" width="3.85546875" style="4" customWidth="1"/>
    <col min="1027" max="1027" width="5.7109375" style="4" customWidth="1"/>
    <col min="1028" max="1028" width="4.85546875" style="4" customWidth="1"/>
    <col min="1029" max="1029" width="72.28515625" style="4" customWidth="1"/>
    <col min="1030" max="1030" width="11" style="4" customWidth="1"/>
    <col min="1031" max="1031" width="13.85546875" style="4" customWidth="1"/>
    <col min="1032" max="1032" width="13.42578125" style="4" customWidth="1"/>
    <col min="1033" max="1041" width="0" style="4" hidden="1" customWidth="1"/>
    <col min="1042" max="1045" width="11" style="4" customWidth="1"/>
    <col min="1046" max="1280" width="11.85546875" style="4"/>
    <col min="1281" max="1281" width="6.7109375" style="4" customWidth="1"/>
    <col min="1282" max="1282" width="3.85546875" style="4" customWidth="1"/>
    <col min="1283" max="1283" width="5.7109375" style="4" customWidth="1"/>
    <col min="1284" max="1284" width="4.85546875" style="4" customWidth="1"/>
    <col min="1285" max="1285" width="72.28515625" style="4" customWidth="1"/>
    <col min="1286" max="1286" width="11" style="4" customWidth="1"/>
    <col min="1287" max="1287" width="13.85546875" style="4" customWidth="1"/>
    <col min="1288" max="1288" width="13.42578125" style="4" customWidth="1"/>
    <col min="1289" max="1297" width="0" style="4" hidden="1" customWidth="1"/>
    <col min="1298" max="1301" width="11" style="4" customWidth="1"/>
    <col min="1302" max="1536" width="11.85546875" style="4"/>
    <col min="1537" max="1537" width="6.7109375" style="4" customWidth="1"/>
    <col min="1538" max="1538" width="3.85546875" style="4" customWidth="1"/>
    <col min="1539" max="1539" width="5.7109375" style="4" customWidth="1"/>
    <col min="1540" max="1540" width="4.85546875" style="4" customWidth="1"/>
    <col min="1541" max="1541" width="72.28515625" style="4" customWidth="1"/>
    <col min="1542" max="1542" width="11" style="4" customWidth="1"/>
    <col min="1543" max="1543" width="13.85546875" style="4" customWidth="1"/>
    <col min="1544" max="1544" width="13.42578125" style="4" customWidth="1"/>
    <col min="1545" max="1553" width="0" style="4" hidden="1" customWidth="1"/>
    <col min="1554" max="1557" width="11" style="4" customWidth="1"/>
    <col min="1558" max="1792" width="11.85546875" style="4"/>
    <col min="1793" max="1793" width="6.7109375" style="4" customWidth="1"/>
    <col min="1794" max="1794" width="3.85546875" style="4" customWidth="1"/>
    <col min="1795" max="1795" width="5.7109375" style="4" customWidth="1"/>
    <col min="1796" max="1796" width="4.85546875" style="4" customWidth="1"/>
    <col min="1797" max="1797" width="72.28515625" style="4" customWidth="1"/>
    <col min="1798" max="1798" width="11" style="4" customWidth="1"/>
    <col min="1799" max="1799" width="13.85546875" style="4" customWidth="1"/>
    <col min="1800" max="1800" width="13.42578125" style="4" customWidth="1"/>
    <col min="1801" max="1809" width="0" style="4" hidden="1" customWidth="1"/>
    <col min="1810" max="1813" width="11" style="4" customWidth="1"/>
    <col min="1814" max="2048" width="11.85546875" style="4"/>
    <col min="2049" max="2049" width="6.7109375" style="4" customWidth="1"/>
    <col min="2050" max="2050" width="3.85546875" style="4" customWidth="1"/>
    <col min="2051" max="2051" width="5.7109375" style="4" customWidth="1"/>
    <col min="2052" max="2052" width="4.85546875" style="4" customWidth="1"/>
    <col min="2053" max="2053" width="72.28515625" style="4" customWidth="1"/>
    <col min="2054" max="2054" width="11" style="4" customWidth="1"/>
    <col min="2055" max="2055" width="13.85546875" style="4" customWidth="1"/>
    <col min="2056" max="2056" width="13.42578125" style="4" customWidth="1"/>
    <col min="2057" max="2065" width="0" style="4" hidden="1" customWidth="1"/>
    <col min="2066" max="2069" width="11" style="4" customWidth="1"/>
    <col min="2070" max="2304" width="11.85546875" style="4"/>
    <col min="2305" max="2305" width="6.7109375" style="4" customWidth="1"/>
    <col min="2306" max="2306" width="3.85546875" style="4" customWidth="1"/>
    <col min="2307" max="2307" width="5.7109375" style="4" customWidth="1"/>
    <col min="2308" max="2308" width="4.85546875" style="4" customWidth="1"/>
    <col min="2309" max="2309" width="72.28515625" style="4" customWidth="1"/>
    <col min="2310" max="2310" width="11" style="4" customWidth="1"/>
    <col min="2311" max="2311" width="13.85546875" style="4" customWidth="1"/>
    <col min="2312" max="2312" width="13.42578125" style="4" customWidth="1"/>
    <col min="2313" max="2321" width="0" style="4" hidden="1" customWidth="1"/>
    <col min="2322" max="2325" width="11" style="4" customWidth="1"/>
    <col min="2326" max="2560" width="11.85546875" style="4"/>
    <col min="2561" max="2561" width="6.7109375" style="4" customWidth="1"/>
    <col min="2562" max="2562" width="3.85546875" style="4" customWidth="1"/>
    <col min="2563" max="2563" width="5.7109375" style="4" customWidth="1"/>
    <col min="2564" max="2564" width="4.85546875" style="4" customWidth="1"/>
    <col min="2565" max="2565" width="72.28515625" style="4" customWidth="1"/>
    <col min="2566" max="2566" width="11" style="4" customWidth="1"/>
    <col min="2567" max="2567" width="13.85546875" style="4" customWidth="1"/>
    <col min="2568" max="2568" width="13.42578125" style="4" customWidth="1"/>
    <col min="2569" max="2577" width="0" style="4" hidden="1" customWidth="1"/>
    <col min="2578" max="2581" width="11" style="4" customWidth="1"/>
    <col min="2582" max="2816" width="11.85546875" style="4"/>
    <col min="2817" max="2817" width="6.7109375" style="4" customWidth="1"/>
    <col min="2818" max="2818" width="3.85546875" style="4" customWidth="1"/>
    <col min="2819" max="2819" width="5.7109375" style="4" customWidth="1"/>
    <col min="2820" max="2820" width="4.85546875" style="4" customWidth="1"/>
    <col min="2821" max="2821" width="72.28515625" style="4" customWidth="1"/>
    <col min="2822" max="2822" width="11" style="4" customWidth="1"/>
    <col min="2823" max="2823" width="13.85546875" style="4" customWidth="1"/>
    <col min="2824" max="2824" width="13.42578125" style="4" customWidth="1"/>
    <col min="2825" max="2833" width="0" style="4" hidden="1" customWidth="1"/>
    <col min="2834" max="2837" width="11" style="4" customWidth="1"/>
    <col min="2838" max="3072" width="11.85546875" style="4"/>
    <col min="3073" max="3073" width="6.7109375" style="4" customWidth="1"/>
    <col min="3074" max="3074" width="3.85546875" style="4" customWidth="1"/>
    <col min="3075" max="3075" width="5.7109375" style="4" customWidth="1"/>
    <col min="3076" max="3076" width="4.85546875" style="4" customWidth="1"/>
    <col min="3077" max="3077" width="72.28515625" style="4" customWidth="1"/>
    <col min="3078" max="3078" width="11" style="4" customWidth="1"/>
    <col min="3079" max="3079" width="13.85546875" style="4" customWidth="1"/>
    <col min="3080" max="3080" width="13.42578125" style="4" customWidth="1"/>
    <col min="3081" max="3089" width="0" style="4" hidden="1" customWidth="1"/>
    <col min="3090" max="3093" width="11" style="4" customWidth="1"/>
    <col min="3094" max="3328" width="11.85546875" style="4"/>
    <col min="3329" max="3329" width="6.7109375" style="4" customWidth="1"/>
    <col min="3330" max="3330" width="3.85546875" style="4" customWidth="1"/>
    <col min="3331" max="3331" width="5.7109375" style="4" customWidth="1"/>
    <col min="3332" max="3332" width="4.85546875" style="4" customWidth="1"/>
    <col min="3333" max="3333" width="72.28515625" style="4" customWidth="1"/>
    <col min="3334" max="3334" width="11" style="4" customWidth="1"/>
    <col min="3335" max="3335" width="13.85546875" style="4" customWidth="1"/>
    <col min="3336" max="3336" width="13.42578125" style="4" customWidth="1"/>
    <col min="3337" max="3345" width="0" style="4" hidden="1" customWidth="1"/>
    <col min="3346" max="3349" width="11" style="4" customWidth="1"/>
    <col min="3350" max="3584" width="11.85546875" style="4"/>
    <col min="3585" max="3585" width="6.7109375" style="4" customWidth="1"/>
    <col min="3586" max="3586" width="3.85546875" style="4" customWidth="1"/>
    <col min="3587" max="3587" width="5.7109375" style="4" customWidth="1"/>
    <col min="3588" max="3588" width="4.85546875" style="4" customWidth="1"/>
    <col min="3589" max="3589" width="72.28515625" style="4" customWidth="1"/>
    <col min="3590" max="3590" width="11" style="4" customWidth="1"/>
    <col min="3591" max="3591" width="13.85546875" style="4" customWidth="1"/>
    <col min="3592" max="3592" width="13.42578125" style="4" customWidth="1"/>
    <col min="3593" max="3601" width="0" style="4" hidden="1" customWidth="1"/>
    <col min="3602" max="3605" width="11" style="4" customWidth="1"/>
    <col min="3606" max="3840" width="11.85546875" style="4"/>
    <col min="3841" max="3841" width="6.7109375" style="4" customWidth="1"/>
    <col min="3842" max="3842" width="3.85546875" style="4" customWidth="1"/>
    <col min="3843" max="3843" width="5.7109375" style="4" customWidth="1"/>
    <col min="3844" max="3844" width="4.85546875" style="4" customWidth="1"/>
    <col min="3845" max="3845" width="72.28515625" style="4" customWidth="1"/>
    <col min="3846" max="3846" width="11" style="4" customWidth="1"/>
    <col min="3847" max="3847" width="13.85546875" style="4" customWidth="1"/>
    <col min="3848" max="3848" width="13.42578125" style="4" customWidth="1"/>
    <col min="3849" max="3857" width="0" style="4" hidden="1" customWidth="1"/>
    <col min="3858" max="3861" width="11" style="4" customWidth="1"/>
    <col min="3862" max="4096" width="11.85546875" style="4"/>
    <col min="4097" max="4097" width="6.7109375" style="4" customWidth="1"/>
    <col min="4098" max="4098" width="3.85546875" style="4" customWidth="1"/>
    <col min="4099" max="4099" width="5.7109375" style="4" customWidth="1"/>
    <col min="4100" max="4100" width="4.85546875" style="4" customWidth="1"/>
    <col min="4101" max="4101" width="72.28515625" style="4" customWidth="1"/>
    <col min="4102" max="4102" width="11" style="4" customWidth="1"/>
    <col min="4103" max="4103" width="13.85546875" style="4" customWidth="1"/>
    <col min="4104" max="4104" width="13.42578125" style="4" customWidth="1"/>
    <col min="4105" max="4113" width="0" style="4" hidden="1" customWidth="1"/>
    <col min="4114" max="4117" width="11" style="4" customWidth="1"/>
    <col min="4118" max="4352" width="11.85546875" style="4"/>
    <col min="4353" max="4353" width="6.7109375" style="4" customWidth="1"/>
    <col min="4354" max="4354" width="3.85546875" style="4" customWidth="1"/>
    <col min="4355" max="4355" width="5.7109375" style="4" customWidth="1"/>
    <col min="4356" max="4356" width="4.85546875" style="4" customWidth="1"/>
    <col min="4357" max="4357" width="72.28515625" style="4" customWidth="1"/>
    <col min="4358" max="4358" width="11" style="4" customWidth="1"/>
    <col min="4359" max="4359" width="13.85546875" style="4" customWidth="1"/>
    <col min="4360" max="4360" width="13.42578125" style="4" customWidth="1"/>
    <col min="4361" max="4369" width="0" style="4" hidden="1" customWidth="1"/>
    <col min="4370" max="4373" width="11" style="4" customWidth="1"/>
    <col min="4374" max="4608" width="11.85546875" style="4"/>
    <col min="4609" max="4609" width="6.7109375" style="4" customWidth="1"/>
    <col min="4610" max="4610" width="3.85546875" style="4" customWidth="1"/>
    <col min="4611" max="4611" width="5.7109375" style="4" customWidth="1"/>
    <col min="4612" max="4612" width="4.85546875" style="4" customWidth="1"/>
    <col min="4613" max="4613" width="72.28515625" style="4" customWidth="1"/>
    <col min="4614" max="4614" width="11" style="4" customWidth="1"/>
    <col min="4615" max="4615" width="13.85546875" style="4" customWidth="1"/>
    <col min="4616" max="4616" width="13.42578125" style="4" customWidth="1"/>
    <col min="4617" max="4625" width="0" style="4" hidden="1" customWidth="1"/>
    <col min="4626" max="4629" width="11" style="4" customWidth="1"/>
    <col min="4630" max="4864" width="11.85546875" style="4"/>
    <col min="4865" max="4865" width="6.7109375" style="4" customWidth="1"/>
    <col min="4866" max="4866" width="3.85546875" style="4" customWidth="1"/>
    <col min="4867" max="4867" width="5.7109375" style="4" customWidth="1"/>
    <col min="4868" max="4868" width="4.85546875" style="4" customWidth="1"/>
    <col min="4869" max="4869" width="72.28515625" style="4" customWidth="1"/>
    <col min="4870" max="4870" width="11" style="4" customWidth="1"/>
    <col min="4871" max="4871" width="13.85546875" style="4" customWidth="1"/>
    <col min="4872" max="4872" width="13.42578125" style="4" customWidth="1"/>
    <col min="4873" max="4881" width="0" style="4" hidden="1" customWidth="1"/>
    <col min="4882" max="4885" width="11" style="4" customWidth="1"/>
    <col min="4886" max="5120" width="11.85546875" style="4"/>
    <col min="5121" max="5121" width="6.7109375" style="4" customWidth="1"/>
    <col min="5122" max="5122" width="3.85546875" style="4" customWidth="1"/>
    <col min="5123" max="5123" width="5.7109375" style="4" customWidth="1"/>
    <col min="5124" max="5124" width="4.85546875" style="4" customWidth="1"/>
    <col min="5125" max="5125" width="72.28515625" style="4" customWidth="1"/>
    <col min="5126" max="5126" width="11" style="4" customWidth="1"/>
    <col min="5127" max="5127" width="13.85546875" style="4" customWidth="1"/>
    <col min="5128" max="5128" width="13.42578125" style="4" customWidth="1"/>
    <col min="5129" max="5137" width="0" style="4" hidden="1" customWidth="1"/>
    <col min="5138" max="5141" width="11" style="4" customWidth="1"/>
    <col min="5142" max="5376" width="11.85546875" style="4"/>
    <col min="5377" max="5377" width="6.7109375" style="4" customWidth="1"/>
    <col min="5378" max="5378" width="3.85546875" style="4" customWidth="1"/>
    <col min="5379" max="5379" width="5.7109375" style="4" customWidth="1"/>
    <col min="5380" max="5380" width="4.85546875" style="4" customWidth="1"/>
    <col min="5381" max="5381" width="72.28515625" style="4" customWidth="1"/>
    <col min="5382" max="5382" width="11" style="4" customWidth="1"/>
    <col min="5383" max="5383" width="13.85546875" style="4" customWidth="1"/>
    <col min="5384" max="5384" width="13.42578125" style="4" customWidth="1"/>
    <col min="5385" max="5393" width="0" style="4" hidden="1" customWidth="1"/>
    <col min="5394" max="5397" width="11" style="4" customWidth="1"/>
    <col min="5398" max="5632" width="11.85546875" style="4"/>
    <col min="5633" max="5633" width="6.7109375" style="4" customWidth="1"/>
    <col min="5634" max="5634" width="3.85546875" style="4" customWidth="1"/>
    <col min="5635" max="5635" width="5.7109375" style="4" customWidth="1"/>
    <col min="5636" max="5636" width="4.85546875" style="4" customWidth="1"/>
    <col min="5637" max="5637" width="72.28515625" style="4" customWidth="1"/>
    <col min="5638" max="5638" width="11" style="4" customWidth="1"/>
    <col min="5639" max="5639" width="13.85546875" style="4" customWidth="1"/>
    <col min="5640" max="5640" width="13.42578125" style="4" customWidth="1"/>
    <col min="5641" max="5649" width="0" style="4" hidden="1" customWidth="1"/>
    <col min="5650" max="5653" width="11" style="4" customWidth="1"/>
    <col min="5654" max="5888" width="11.85546875" style="4"/>
    <col min="5889" max="5889" width="6.7109375" style="4" customWidth="1"/>
    <col min="5890" max="5890" width="3.85546875" style="4" customWidth="1"/>
    <col min="5891" max="5891" width="5.7109375" style="4" customWidth="1"/>
    <col min="5892" max="5892" width="4.85546875" style="4" customWidth="1"/>
    <col min="5893" max="5893" width="72.28515625" style="4" customWidth="1"/>
    <col min="5894" max="5894" width="11" style="4" customWidth="1"/>
    <col min="5895" max="5895" width="13.85546875" style="4" customWidth="1"/>
    <col min="5896" max="5896" width="13.42578125" style="4" customWidth="1"/>
    <col min="5897" max="5905" width="0" style="4" hidden="1" customWidth="1"/>
    <col min="5906" max="5909" width="11" style="4" customWidth="1"/>
    <col min="5910" max="6144" width="11.85546875" style="4"/>
    <col min="6145" max="6145" width="6.7109375" style="4" customWidth="1"/>
    <col min="6146" max="6146" width="3.85546875" style="4" customWidth="1"/>
    <col min="6147" max="6147" width="5.7109375" style="4" customWidth="1"/>
    <col min="6148" max="6148" width="4.85546875" style="4" customWidth="1"/>
    <col min="6149" max="6149" width="72.28515625" style="4" customWidth="1"/>
    <col min="6150" max="6150" width="11" style="4" customWidth="1"/>
    <col min="6151" max="6151" width="13.85546875" style="4" customWidth="1"/>
    <col min="6152" max="6152" width="13.42578125" style="4" customWidth="1"/>
    <col min="6153" max="6161" width="0" style="4" hidden="1" customWidth="1"/>
    <col min="6162" max="6165" width="11" style="4" customWidth="1"/>
    <col min="6166" max="6400" width="11.85546875" style="4"/>
    <col min="6401" max="6401" width="6.7109375" style="4" customWidth="1"/>
    <col min="6402" max="6402" width="3.85546875" style="4" customWidth="1"/>
    <col min="6403" max="6403" width="5.7109375" style="4" customWidth="1"/>
    <col min="6404" max="6404" width="4.85546875" style="4" customWidth="1"/>
    <col min="6405" max="6405" width="72.28515625" style="4" customWidth="1"/>
    <col min="6406" max="6406" width="11" style="4" customWidth="1"/>
    <col min="6407" max="6407" width="13.85546875" style="4" customWidth="1"/>
    <col min="6408" max="6408" width="13.42578125" style="4" customWidth="1"/>
    <col min="6409" max="6417" width="0" style="4" hidden="1" customWidth="1"/>
    <col min="6418" max="6421" width="11" style="4" customWidth="1"/>
    <col min="6422" max="6656" width="11.85546875" style="4"/>
    <col min="6657" max="6657" width="6.7109375" style="4" customWidth="1"/>
    <col min="6658" max="6658" width="3.85546875" style="4" customWidth="1"/>
    <col min="6659" max="6659" width="5.7109375" style="4" customWidth="1"/>
    <col min="6660" max="6660" width="4.85546875" style="4" customWidth="1"/>
    <col min="6661" max="6661" width="72.28515625" style="4" customWidth="1"/>
    <col min="6662" max="6662" width="11" style="4" customWidth="1"/>
    <col min="6663" max="6663" width="13.85546875" style="4" customWidth="1"/>
    <col min="6664" max="6664" width="13.42578125" style="4" customWidth="1"/>
    <col min="6665" max="6673" width="0" style="4" hidden="1" customWidth="1"/>
    <col min="6674" max="6677" width="11" style="4" customWidth="1"/>
    <col min="6678" max="6912" width="11.85546875" style="4"/>
    <col min="6913" max="6913" width="6.7109375" style="4" customWidth="1"/>
    <col min="6914" max="6914" width="3.85546875" style="4" customWidth="1"/>
    <col min="6915" max="6915" width="5.7109375" style="4" customWidth="1"/>
    <col min="6916" max="6916" width="4.85546875" style="4" customWidth="1"/>
    <col min="6917" max="6917" width="72.28515625" style="4" customWidth="1"/>
    <col min="6918" max="6918" width="11" style="4" customWidth="1"/>
    <col min="6919" max="6919" width="13.85546875" style="4" customWidth="1"/>
    <col min="6920" max="6920" width="13.42578125" style="4" customWidth="1"/>
    <col min="6921" max="6929" width="0" style="4" hidden="1" customWidth="1"/>
    <col min="6930" max="6933" width="11" style="4" customWidth="1"/>
    <col min="6934" max="7168" width="11.85546875" style="4"/>
    <col min="7169" max="7169" width="6.7109375" style="4" customWidth="1"/>
    <col min="7170" max="7170" width="3.85546875" style="4" customWidth="1"/>
    <col min="7171" max="7171" width="5.7109375" style="4" customWidth="1"/>
    <col min="7172" max="7172" width="4.85546875" style="4" customWidth="1"/>
    <col min="7173" max="7173" width="72.28515625" style="4" customWidth="1"/>
    <col min="7174" max="7174" width="11" style="4" customWidth="1"/>
    <col min="7175" max="7175" width="13.85546875" style="4" customWidth="1"/>
    <col min="7176" max="7176" width="13.42578125" style="4" customWidth="1"/>
    <col min="7177" max="7185" width="0" style="4" hidden="1" customWidth="1"/>
    <col min="7186" max="7189" width="11" style="4" customWidth="1"/>
    <col min="7190" max="7424" width="11.85546875" style="4"/>
    <col min="7425" max="7425" width="6.7109375" style="4" customWidth="1"/>
    <col min="7426" max="7426" width="3.85546875" style="4" customWidth="1"/>
    <col min="7427" max="7427" width="5.7109375" style="4" customWidth="1"/>
    <col min="7428" max="7428" width="4.85546875" style="4" customWidth="1"/>
    <col min="7429" max="7429" width="72.28515625" style="4" customWidth="1"/>
    <col min="7430" max="7430" width="11" style="4" customWidth="1"/>
    <col min="7431" max="7431" width="13.85546875" style="4" customWidth="1"/>
    <col min="7432" max="7432" width="13.42578125" style="4" customWidth="1"/>
    <col min="7433" max="7441" width="0" style="4" hidden="1" customWidth="1"/>
    <col min="7442" max="7445" width="11" style="4" customWidth="1"/>
    <col min="7446" max="7680" width="11.85546875" style="4"/>
    <col min="7681" max="7681" width="6.7109375" style="4" customWidth="1"/>
    <col min="7682" max="7682" width="3.85546875" style="4" customWidth="1"/>
    <col min="7683" max="7683" width="5.7109375" style="4" customWidth="1"/>
    <col min="7684" max="7684" width="4.85546875" style="4" customWidth="1"/>
    <col min="7685" max="7685" width="72.28515625" style="4" customWidth="1"/>
    <col min="7686" max="7686" width="11" style="4" customWidth="1"/>
    <col min="7687" max="7687" width="13.85546875" style="4" customWidth="1"/>
    <col min="7688" max="7688" width="13.42578125" style="4" customWidth="1"/>
    <col min="7689" max="7697" width="0" style="4" hidden="1" customWidth="1"/>
    <col min="7698" max="7701" width="11" style="4" customWidth="1"/>
    <col min="7702" max="7936" width="11.85546875" style="4"/>
    <col min="7937" max="7937" width="6.7109375" style="4" customWidth="1"/>
    <col min="7938" max="7938" width="3.85546875" style="4" customWidth="1"/>
    <col min="7939" max="7939" width="5.7109375" style="4" customWidth="1"/>
    <col min="7940" max="7940" width="4.85546875" style="4" customWidth="1"/>
    <col min="7941" max="7941" width="72.28515625" style="4" customWidth="1"/>
    <col min="7942" max="7942" width="11" style="4" customWidth="1"/>
    <col min="7943" max="7943" width="13.85546875" style="4" customWidth="1"/>
    <col min="7944" max="7944" width="13.42578125" style="4" customWidth="1"/>
    <col min="7945" max="7953" width="0" style="4" hidden="1" customWidth="1"/>
    <col min="7954" max="7957" width="11" style="4" customWidth="1"/>
    <col min="7958" max="8192" width="11.85546875" style="4"/>
    <col min="8193" max="8193" width="6.7109375" style="4" customWidth="1"/>
    <col min="8194" max="8194" width="3.85546875" style="4" customWidth="1"/>
    <col min="8195" max="8195" width="5.7109375" style="4" customWidth="1"/>
    <col min="8196" max="8196" width="4.85546875" style="4" customWidth="1"/>
    <col min="8197" max="8197" width="72.28515625" style="4" customWidth="1"/>
    <col min="8198" max="8198" width="11" style="4" customWidth="1"/>
    <col min="8199" max="8199" width="13.85546875" style="4" customWidth="1"/>
    <col min="8200" max="8200" width="13.42578125" style="4" customWidth="1"/>
    <col min="8201" max="8209" width="0" style="4" hidden="1" customWidth="1"/>
    <col min="8210" max="8213" width="11" style="4" customWidth="1"/>
    <col min="8214" max="8448" width="11.85546875" style="4"/>
    <col min="8449" max="8449" width="6.7109375" style="4" customWidth="1"/>
    <col min="8450" max="8450" width="3.85546875" style="4" customWidth="1"/>
    <col min="8451" max="8451" width="5.7109375" style="4" customWidth="1"/>
    <col min="8452" max="8452" width="4.85546875" style="4" customWidth="1"/>
    <col min="8453" max="8453" width="72.28515625" style="4" customWidth="1"/>
    <col min="8454" max="8454" width="11" style="4" customWidth="1"/>
    <col min="8455" max="8455" width="13.85546875" style="4" customWidth="1"/>
    <col min="8456" max="8456" width="13.42578125" style="4" customWidth="1"/>
    <col min="8457" max="8465" width="0" style="4" hidden="1" customWidth="1"/>
    <col min="8466" max="8469" width="11" style="4" customWidth="1"/>
    <col min="8470" max="8704" width="11.85546875" style="4"/>
    <col min="8705" max="8705" width="6.7109375" style="4" customWidth="1"/>
    <col min="8706" max="8706" width="3.85546875" style="4" customWidth="1"/>
    <col min="8707" max="8707" width="5.7109375" style="4" customWidth="1"/>
    <col min="8708" max="8708" width="4.85546875" style="4" customWidth="1"/>
    <col min="8709" max="8709" width="72.28515625" style="4" customWidth="1"/>
    <col min="8710" max="8710" width="11" style="4" customWidth="1"/>
    <col min="8711" max="8711" width="13.85546875" style="4" customWidth="1"/>
    <col min="8712" max="8712" width="13.42578125" style="4" customWidth="1"/>
    <col min="8713" max="8721" width="0" style="4" hidden="1" customWidth="1"/>
    <col min="8722" max="8725" width="11" style="4" customWidth="1"/>
    <col min="8726" max="8960" width="11.85546875" style="4"/>
    <col min="8961" max="8961" width="6.7109375" style="4" customWidth="1"/>
    <col min="8962" max="8962" width="3.85546875" style="4" customWidth="1"/>
    <col min="8963" max="8963" width="5.7109375" style="4" customWidth="1"/>
    <col min="8964" max="8964" width="4.85546875" style="4" customWidth="1"/>
    <col min="8965" max="8965" width="72.28515625" style="4" customWidth="1"/>
    <col min="8966" max="8966" width="11" style="4" customWidth="1"/>
    <col min="8967" max="8967" width="13.85546875" style="4" customWidth="1"/>
    <col min="8968" max="8968" width="13.42578125" style="4" customWidth="1"/>
    <col min="8969" max="8977" width="0" style="4" hidden="1" customWidth="1"/>
    <col min="8978" max="8981" width="11" style="4" customWidth="1"/>
    <col min="8982" max="9216" width="11.85546875" style="4"/>
    <col min="9217" max="9217" width="6.7109375" style="4" customWidth="1"/>
    <col min="9218" max="9218" width="3.85546875" style="4" customWidth="1"/>
    <col min="9219" max="9219" width="5.7109375" style="4" customWidth="1"/>
    <col min="9220" max="9220" width="4.85546875" style="4" customWidth="1"/>
    <col min="9221" max="9221" width="72.28515625" style="4" customWidth="1"/>
    <col min="9222" max="9222" width="11" style="4" customWidth="1"/>
    <col min="9223" max="9223" width="13.85546875" style="4" customWidth="1"/>
    <col min="9224" max="9224" width="13.42578125" style="4" customWidth="1"/>
    <col min="9225" max="9233" width="0" style="4" hidden="1" customWidth="1"/>
    <col min="9234" max="9237" width="11" style="4" customWidth="1"/>
    <col min="9238" max="9472" width="11.85546875" style="4"/>
    <col min="9473" max="9473" width="6.7109375" style="4" customWidth="1"/>
    <col min="9474" max="9474" width="3.85546875" style="4" customWidth="1"/>
    <col min="9475" max="9475" width="5.7109375" style="4" customWidth="1"/>
    <col min="9476" max="9476" width="4.85546875" style="4" customWidth="1"/>
    <col min="9477" max="9477" width="72.28515625" style="4" customWidth="1"/>
    <col min="9478" max="9478" width="11" style="4" customWidth="1"/>
    <col min="9479" max="9479" width="13.85546875" style="4" customWidth="1"/>
    <col min="9480" max="9480" width="13.42578125" style="4" customWidth="1"/>
    <col min="9481" max="9489" width="0" style="4" hidden="1" customWidth="1"/>
    <col min="9490" max="9493" width="11" style="4" customWidth="1"/>
    <col min="9494" max="9728" width="11.85546875" style="4"/>
    <col min="9729" max="9729" width="6.7109375" style="4" customWidth="1"/>
    <col min="9730" max="9730" width="3.85546875" style="4" customWidth="1"/>
    <col min="9731" max="9731" width="5.7109375" style="4" customWidth="1"/>
    <col min="9732" max="9732" width="4.85546875" style="4" customWidth="1"/>
    <col min="9733" max="9733" width="72.28515625" style="4" customWidth="1"/>
    <col min="9734" max="9734" width="11" style="4" customWidth="1"/>
    <col min="9735" max="9735" width="13.85546875" style="4" customWidth="1"/>
    <col min="9736" max="9736" width="13.42578125" style="4" customWidth="1"/>
    <col min="9737" max="9745" width="0" style="4" hidden="1" customWidth="1"/>
    <col min="9746" max="9749" width="11" style="4" customWidth="1"/>
    <col min="9750" max="9984" width="11.85546875" style="4"/>
    <col min="9985" max="9985" width="6.7109375" style="4" customWidth="1"/>
    <col min="9986" max="9986" width="3.85546875" style="4" customWidth="1"/>
    <col min="9987" max="9987" width="5.7109375" style="4" customWidth="1"/>
    <col min="9988" max="9988" width="4.85546875" style="4" customWidth="1"/>
    <col min="9989" max="9989" width="72.28515625" style="4" customWidth="1"/>
    <col min="9990" max="9990" width="11" style="4" customWidth="1"/>
    <col min="9991" max="9991" width="13.85546875" style="4" customWidth="1"/>
    <col min="9992" max="9992" width="13.42578125" style="4" customWidth="1"/>
    <col min="9993" max="10001" width="0" style="4" hidden="1" customWidth="1"/>
    <col min="10002" max="10005" width="11" style="4" customWidth="1"/>
    <col min="10006" max="10240" width="11.85546875" style="4"/>
    <col min="10241" max="10241" width="6.7109375" style="4" customWidth="1"/>
    <col min="10242" max="10242" width="3.85546875" style="4" customWidth="1"/>
    <col min="10243" max="10243" width="5.7109375" style="4" customWidth="1"/>
    <col min="10244" max="10244" width="4.85546875" style="4" customWidth="1"/>
    <col min="10245" max="10245" width="72.28515625" style="4" customWidth="1"/>
    <col min="10246" max="10246" width="11" style="4" customWidth="1"/>
    <col min="10247" max="10247" width="13.85546875" style="4" customWidth="1"/>
    <col min="10248" max="10248" width="13.42578125" style="4" customWidth="1"/>
    <col min="10249" max="10257" width="0" style="4" hidden="1" customWidth="1"/>
    <col min="10258" max="10261" width="11" style="4" customWidth="1"/>
    <col min="10262" max="10496" width="11.85546875" style="4"/>
    <col min="10497" max="10497" width="6.7109375" style="4" customWidth="1"/>
    <col min="10498" max="10498" width="3.85546875" style="4" customWidth="1"/>
    <col min="10499" max="10499" width="5.7109375" style="4" customWidth="1"/>
    <col min="10500" max="10500" width="4.85546875" style="4" customWidth="1"/>
    <col min="10501" max="10501" width="72.28515625" style="4" customWidth="1"/>
    <col min="10502" max="10502" width="11" style="4" customWidth="1"/>
    <col min="10503" max="10503" width="13.85546875" style="4" customWidth="1"/>
    <col min="10504" max="10504" width="13.42578125" style="4" customWidth="1"/>
    <col min="10505" max="10513" width="0" style="4" hidden="1" customWidth="1"/>
    <col min="10514" max="10517" width="11" style="4" customWidth="1"/>
    <col min="10518" max="10752" width="11.85546875" style="4"/>
    <col min="10753" max="10753" width="6.7109375" style="4" customWidth="1"/>
    <col min="10754" max="10754" width="3.85546875" style="4" customWidth="1"/>
    <col min="10755" max="10755" width="5.7109375" style="4" customWidth="1"/>
    <col min="10756" max="10756" width="4.85546875" style="4" customWidth="1"/>
    <col min="10757" max="10757" width="72.28515625" style="4" customWidth="1"/>
    <col min="10758" max="10758" width="11" style="4" customWidth="1"/>
    <col min="10759" max="10759" width="13.85546875" style="4" customWidth="1"/>
    <col min="10760" max="10760" width="13.42578125" style="4" customWidth="1"/>
    <col min="10761" max="10769" width="0" style="4" hidden="1" customWidth="1"/>
    <col min="10770" max="10773" width="11" style="4" customWidth="1"/>
    <col min="10774" max="11008" width="11.85546875" style="4"/>
    <col min="11009" max="11009" width="6.7109375" style="4" customWidth="1"/>
    <col min="11010" max="11010" width="3.85546875" style="4" customWidth="1"/>
    <col min="11011" max="11011" width="5.7109375" style="4" customWidth="1"/>
    <col min="11012" max="11012" width="4.85546875" style="4" customWidth="1"/>
    <col min="11013" max="11013" width="72.28515625" style="4" customWidth="1"/>
    <col min="11014" max="11014" width="11" style="4" customWidth="1"/>
    <col min="11015" max="11015" width="13.85546875" style="4" customWidth="1"/>
    <col min="11016" max="11016" width="13.42578125" style="4" customWidth="1"/>
    <col min="11017" max="11025" width="0" style="4" hidden="1" customWidth="1"/>
    <col min="11026" max="11029" width="11" style="4" customWidth="1"/>
    <col min="11030" max="11264" width="11.85546875" style="4"/>
    <col min="11265" max="11265" width="6.7109375" style="4" customWidth="1"/>
    <col min="11266" max="11266" width="3.85546875" style="4" customWidth="1"/>
    <col min="11267" max="11267" width="5.7109375" style="4" customWidth="1"/>
    <col min="11268" max="11268" width="4.85546875" style="4" customWidth="1"/>
    <col min="11269" max="11269" width="72.28515625" style="4" customWidth="1"/>
    <col min="11270" max="11270" width="11" style="4" customWidth="1"/>
    <col min="11271" max="11271" width="13.85546875" style="4" customWidth="1"/>
    <col min="11272" max="11272" width="13.42578125" style="4" customWidth="1"/>
    <col min="11273" max="11281" width="0" style="4" hidden="1" customWidth="1"/>
    <col min="11282" max="11285" width="11" style="4" customWidth="1"/>
    <col min="11286" max="11520" width="11.85546875" style="4"/>
    <col min="11521" max="11521" width="6.7109375" style="4" customWidth="1"/>
    <col min="11522" max="11522" width="3.85546875" style="4" customWidth="1"/>
    <col min="11523" max="11523" width="5.7109375" style="4" customWidth="1"/>
    <col min="11524" max="11524" width="4.85546875" style="4" customWidth="1"/>
    <col min="11525" max="11525" width="72.28515625" style="4" customWidth="1"/>
    <col min="11526" max="11526" width="11" style="4" customWidth="1"/>
    <col min="11527" max="11527" width="13.85546875" style="4" customWidth="1"/>
    <col min="11528" max="11528" width="13.42578125" style="4" customWidth="1"/>
    <col min="11529" max="11537" width="0" style="4" hidden="1" customWidth="1"/>
    <col min="11538" max="11541" width="11" style="4" customWidth="1"/>
    <col min="11542" max="11776" width="11.85546875" style="4"/>
    <col min="11777" max="11777" width="6.7109375" style="4" customWidth="1"/>
    <col min="11778" max="11778" width="3.85546875" style="4" customWidth="1"/>
    <col min="11779" max="11779" width="5.7109375" style="4" customWidth="1"/>
    <col min="11780" max="11780" width="4.85546875" style="4" customWidth="1"/>
    <col min="11781" max="11781" width="72.28515625" style="4" customWidth="1"/>
    <col min="11782" max="11782" width="11" style="4" customWidth="1"/>
    <col min="11783" max="11783" width="13.85546875" style="4" customWidth="1"/>
    <col min="11784" max="11784" width="13.42578125" style="4" customWidth="1"/>
    <col min="11785" max="11793" width="0" style="4" hidden="1" customWidth="1"/>
    <col min="11794" max="11797" width="11" style="4" customWidth="1"/>
    <col min="11798" max="12032" width="11.85546875" style="4"/>
    <col min="12033" max="12033" width="6.7109375" style="4" customWidth="1"/>
    <col min="12034" max="12034" width="3.85546875" style="4" customWidth="1"/>
    <col min="12035" max="12035" width="5.7109375" style="4" customWidth="1"/>
    <col min="12036" max="12036" width="4.85546875" style="4" customWidth="1"/>
    <col min="12037" max="12037" width="72.28515625" style="4" customWidth="1"/>
    <col min="12038" max="12038" width="11" style="4" customWidth="1"/>
    <col min="12039" max="12039" width="13.85546875" style="4" customWidth="1"/>
    <col min="12040" max="12040" width="13.42578125" style="4" customWidth="1"/>
    <col min="12041" max="12049" width="0" style="4" hidden="1" customWidth="1"/>
    <col min="12050" max="12053" width="11" style="4" customWidth="1"/>
    <col min="12054" max="12288" width="11.85546875" style="4"/>
    <col min="12289" max="12289" width="6.7109375" style="4" customWidth="1"/>
    <col min="12290" max="12290" width="3.85546875" style="4" customWidth="1"/>
    <col min="12291" max="12291" width="5.7109375" style="4" customWidth="1"/>
    <col min="12292" max="12292" width="4.85546875" style="4" customWidth="1"/>
    <col min="12293" max="12293" width="72.28515625" style="4" customWidth="1"/>
    <col min="12294" max="12294" width="11" style="4" customWidth="1"/>
    <col min="12295" max="12295" width="13.85546875" style="4" customWidth="1"/>
    <col min="12296" max="12296" width="13.42578125" style="4" customWidth="1"/>
    <col min="12297" max="12305" width="0" style="4" hidden="1" customWidth="1"/>
    <col min="12306" max="12309" width="11" style="4" customWidth="1"/>
    <col min="12310" max="12544" width="11.85546875" style="4"/>
    <col min="12545" max="12545" width="6.7109375" style="4" customWidth="1"/>
    <col min="12546" max="12546" width="3.85546875" style="4" customWidth="1"/>
    <col min="12547" max="12547" width="5.7109375" style="4" customWidth="1"/>
    <col min="12548" max="12548" width="4.85546875" style="4" customWidth="1"/>
    <col min="12549" max="12549" width="72.28515625" style="4" customWidth="1"/>
    <col min="12550" max="12550" width="11" style="4" customWidth="1"/>
    <col min="12551" max="12551" width="13.85546875" style="4" customWidth="1"/>
    <col min="12552" max="12552" width="13.42578125" style="4" customWidth="1"/>
    <col min="12553" max="12561" width="0" style="4" hidden="1" customWidth="1"/>
    <col min="12562" max="12565" width="11" style="4" customWidth="1"/>
    <col min="12566" max="12800" width="11.85546875" style="4"/>
    <col min="12801" max="12801" width="6.7109375" style="4" customWidth="1"/>
    <col min="12802" max="12802" width="3.85546875" style="4" customWidth="1"/>
    <col min="12803" max="12803" width="5.7109375" style="4" customWidth="1"/>
    <col min="12804" max="12804" width="4.85546875" style="4" customWidth="1"/>
    <col min="12805" max="12805" width="72.28515625" style="4" customWidth="1"/>
    <col min="12806" max="12806" width="11" style="4" customWidth="1"/>
    <col min="12807" max="12807" width="13.85546875" style="4" customWidth="1"/>
    <col min="12808" max="12808" width="13.42578125" style="4" customWidth="1"/>
    <col min="12809" max="12817" width="0" style="4" hidden="1" customWidth="1"/>
    <col min="12818" max="12821" width="11" style="4" customWidth="1"/>
    <col min="12822" max="13056" width="11.85546875" style="4"/>
    <col min="13057" max="13057" width="6.7109375" style="4" customWidth="1"/>
    <col min="13058" max="13058" width="3.85546875" style="4" customWidth="1"/>
    <col min="13059" max="13059" width="5.7109375" style="4" customWidth="1"/>
    <col min="13060" max="13060" width="4.85546875" style="4" customWidth="1"/>
    <col min="13061" max="13061" width="72.28515625" style="4" customWidth="1"/>
    <col min="13062" max="13062" width="11" style="4" customWidth="1"/>
    <col min="13063" max="13063" width="13.85546875" style="4" customWidth="1"/>
    <col min="13064" max="13064" width="13.42578125" style="4" customWidth="1"/>
    <col min="13065" max="13073" width="0" style="4" hidden="1" customWidth="1"/>
    <col min="13074" max="13077" width="11" style="4" customWidth="1"/>
    <col min="13078" max="13312" width="11.85546875" style="4"/>
    <col min="13313" max="13313" width="6.7109375" style="4" customWidth="1"/>
    <col min="13314" max="13314" width="3.85546875" style="4" customWidth="1"/>
    <col min="13315" max="13315" width="5.7109375" style="4" customWidth="1"/>
    <col min="13316" max="13316" width="4.85546875" style="4" customWidth="1"/>
    <col min="13317" max="13317" width="72.28515625" style="4" customWidth="1"/>
    <col min="13318" max="13318" width="11" style="4" customWidth="1"/>
    <col min="13319" max="13319" width="13.85546875" style="4" customWidth="1"/>
    <col min="13320" max="13320" width="13.42578125" style="4" customWidth="1"/>
    <col min="13321" max="13329" width="0" style="4" hidden="1" customWidth="1"/>
    <col min="13330" max="13333" width="11" style="4" customWidth="1"/>
    <col min="13334" max="13568" width="11.85546875" style="4"/>
    <col min="13569" max="13569" width="6.7109375" style="4" customWidth="1"/>
    <col min="13570" max="13570" width="3.85546875" style="4" customWidth="1"/>
    <col min="13571" max="13571" width="5.7109375" style="4" customWidth="1"/>
    <col min="13572" max="13572" width="4.85546875" style="4" customWidth="1"/>
    <col min="13573" max="13573" width="72.28515625" style="4" customWidth="1"/>
    <col min="13574" max="13574" width="11" style="4" customWidth="1"/>
    <col min="13575" max="13575" width="13.85546875" style="4" customWidth="1"/>
    <col min="13576" max="13576" width="13.42578125" style="4" customWidth="1"/>
    <col min="13577" max="13585" width="0" style="4" hidden="1" customWidth="1"/>
    <col min="13586" max="13589" width="11" style="4" customWidth="1"/>
    <col min="13590" max="13824" width="11.85546875" style="4"/>
    <col min="13825" max="13825" width="6.7109375" style="4" customWidth="1"/>
    <col min="13826" max="13826" width="3.85546875" style="4" customWidth="1"/>
    <col min="13827" max="13827" width="5.7109375" style="4" customWidth="1"/>
    <col min="13828" max="13828" width="4.85546875" style="4" customWidth="1"/>
    <col min="13829" max="13829" width="72.28515625" style="4" customWidth="1"/>
    <col min="13830" max="13830" width="11" style="4" customWidth="1"/>
    <col min="13831" max="13831" width="13.85546875" style="4" customWidth="1"/>
    <col min="13832" max="13832" width="13.42578125" style="4" customWidth="1"/>
    <col min="13833" max="13841" width="0" style="4" hidden="1" customWidth="1"/>
    <col min="13842" max="13845" width="11" style="4" customWidth="1"/>
    <col min="13846" max="14080" width="11.85546875" style="4"/>
    <col min="14081" max="14081" width="6.7109375" style="4" customWidth="1"/>
    <col min="14082" max="14082" width="3.85546875" style="4" customWidth="1"/>
    <col min="14083" max="14083" width="5.7109375" style="4" customWidth="1"/>
    <col min="14084" max="14084" width="4.85546875" style="4" customWidth="1"/>
    <col min="14085" max="14085" width="72.28515625" style="4" customWidth="1"/>
    <col min="14086" max="14086" width="11" style="4" customWidth="1"/>
    <col min="14087" max="14087" width="13.85546875" style="4" customWidth="1"/>
    <col min="14088" max="14088" width="13.42578125" style="4" customWidth="1"/>
    <col min="14089" max="14097" width="0" style="4" hidden="1" customWidth="1"/>
    <col min="14098" max="14101" width="11" style="4" customWidth="1"/>
    <col min="14102" max="14336" width="11.85546875" style="4"/>
    <col min="14337" max="14337" width="6.7109375" style="4" customWidth="1"/>
    <col min="14338" max="14338" width="3.85546875" style="4" customWidth="1"/>
    <col min="14339" max="14339" width="5.7109375" style="4" customWidth="1"/>
    <col min="14340" max="14340" width="4.85546875" style="4" customWidth="1"/>
    <col min="14341" max="14341" width="72.28515625" style="4" customWidth="1"/>
    <col min="14342" max="14342" width="11" style="4" customWidth="1"/>
    <col min="14343" max="14343" width="13.85546875" style="4" customWidth="1"/>
    <col min="14344" max="14344" width="13.42578125" style="4" customWidth="1"/>
    <col min="14345" max="14353" width="0" style="4" hidden="1" customWidth="1"/>
    <col min="14354" max="14357" width="11" style="4" customWidth="1"/>
    <col min="14358" max="14592" width="11.85546875" style="4"/>
    <col min="14593" max="14593" width="6.7109375" style="4" customWidth="1"/>
    <col min="14594" max="14594" width="3.85546875" style="4" customWidth="1"/>
    <col min="14595" max="14595" width="5.7109375" style="4" customWidth="1"/>
    <col min="14596" max="14596" width="4.85546875" style="4" customWidth="1"/>
    <col min="14597" max="14597" width="72.28515625" style="4" customWidth="1"/>
    <col min="14598" max="14598" width="11" style="4" customWidth="1"/>
    <col min="14599" max="14599" width="13.85546875" style="4" customWidth="1"/>
    <col min="14600" max="14600" width="13.42578125" style="4" customWidth="1"/>
    <col min="14601" max="14609" width="0" style="4" hidden="1" customWidth="1"/>
    <col min="14610" max="14613" width="11" style="4" customWidth="1"/>
    <col min="14614" max="14848" width="11.85546875" style="4"/>
    <col min="14849" max="14849" width="6.7109375" style="4" customWidth="1"/>
    <col min="14850" max="14850" width="3.85546875" style="4" customWidth="1"/>
    <col min="14851" max="14851" width="5.7109375" style="4" customWidth="1"/>
    <col min="14852" max="14852" width="4.85546875" style="4" customWidth="1"/>
    <col min="14853" max="14853" width="72.28515625" style="4" customWidth="1"/>
    <col min="14854" max="14854" width="11" style="4" customWidth="1"/>
    <col min="14855" max="14855" width="13.85546875" style="4" customWidth="1"/>
    <col min="14856" max="14856" width="13.42578125" style="4" customWidth="1"/>
    <col min="14857" max="14865" width="0" style="4" hidden="1" customWidth="1"/>
    <col min="14866" max="14869" width="11" style="4" customWidth="1"/>
    <col min="14870" max="15104" width="11.85546875" style="4"/>
    <col min="15105" max="15105" width="6.7109375" style="4" customWidth="1"/>
    <col min="15106" max="15106" width="3.85546875" style="4" customWidth="1"/>
    <col min="15107" max="15107" width="5.7109375" style="4" customWidth="1"/>
    <col min="15108" max="15108" width="4.85546875" style="4" customWidth="1"/>
    <col min="15109" max="15109" width="72.28515625" style="4" customWidth="1"/>
    <col min="15110" max="15110" width="11" style="4" customWidth="1"/>
    <col min="15111" max="15111" width="13.85546875" style="4" customWidth="1"/>
    <col min="15112" max="15112" width="13.42578125" style="4" customWidth="1"/>
    <col min="15113" max="15121" width="0" style="4" hidden="1" customWidth="1"/>
    <col min="15122" max="15125" width="11" style="4" customWidth="1"/>
    <col min="15126" max="15360" width="11.85546875" style="4"/>
    <col min="15361" max="15361" width="6.7109375" style="4" customWidth="1"/>
    <col min="15362" max="15362" width="3.85546875" style="4" customWidth="1"/>
    <col min="15363" max="15363" width="5.7109375" style="4" customWidth="1"/>
    <col min="15364" max="15364" width="4.85546875" style="4" customWidth="1"/>
    <col min="15365" max="15365" width="72.28515625" style="4" customWidth="1"/>
    <col min="15366" max="15366" width="11" style="4" customWidth="1"/>
    <col min="15367" max="15367" width="13.85546875" style="4" customWidth="1"/>
    <col min="15368" max="15368" width="13.42578125" style="4" customWidth="1"/>
    <col min="15369" max="15377" width="0" style="4" hidden="1" customWidth="1"/>
    <col min="15378" max="15381" width="11" style="4" customWidth="1"/>
    <col min="15382" max="15616" width="11.85546875" style="4"/>
    <col min="15617" max="15617" width="6.7109375" style="4" customWidth="1"/>
    <col min="15618" max="15618" width="3.85546875" style="4" customWidth="1"/>
    <col min="15619" max="15619" width="5.7109375" style="4" customWidth="1"/>
    <col min="15620" max="15620" width="4.85546875" style="4" customWidth="1"/>
    <col min="15621" max="15621" width="72.28515625" style="4" customWidth="1"/>
    <col min="15622" max="15622" width="11" style="4" customWidth="1"/>
    <col min="15623" max="15623" width="13.85546875" style="4" customWidth="1"/>
    <col min="15624" max="15624" width="13.42578125" style="4" customWidth="1"/>
    <col min="15625" max="15633" width="0" style="4" hidden="1" customWidth="1"/>
    <col min="15634" max="15637" width="11" style="4" customWidth="1"/>
    <col min="15638" max="15872" width="11.85546875" style="4"/>
    <col min="15873" max="15873" width="6.7109375" style="4" customWidth="1"/>
    <col min="15874" max="15874" width="3.85546875" style="4" customWidth="1"/>
    <col min="15875" max="15875" width="5.7109375" style="4" customWidth="1"/>
    <col min="15876" max="15876" width="4.85546875" style="4" customWidth="1"/>
    <col min="15877" max="15877" width="72.28515625" style="4" customWidth="1"/>
    <col min="15878" max="15878" width="11" style="4" customWidth="1"/>
    <col min="15879" max="15879" width="13.85546875" style="4" customWidth="1"/>
    <col min="15880" max="15880" width="13.42578125" style="4" customWidth="1"/>
    <col min="15881" max="15889" width="0" style="4" hidden="1" customWidth="1"/>
    <col min="15890" max="15893" width="11" style="4" customWidth="1"/>
    <col min="15894" max="16128" width="11.85546875" style="4"/>
    <col min="16129" max="16129" width="6.7109375" style="4" customWidth="1"/>
    <col min="16130" max="16130" width="3.85546875" style="4" customWidth="1"/>
    <col min="16131" max="16131" width="5.7109375" style="4" customWidth="1"/>
    <col min="16132" max="16132" width="4.85546875" style="4" customWidth="1"/>
    <col min="16133" max="16133" width="72.28515625" style="4" customWidth="1"/>
    <col min="16134" max="16134" width="11" style="4" customWidth="1"/>
    <col min="16135" max="16135" width="13.85546875" style="4" customWidth="1"/>
    <col min="16136" max="16136" width="13.42578125" style="4" customWidth="1"/>
    <col min="16137" max="16145" width="0" style="4" hidden="1" customWidth="1"/>
    <col min="16146" max="16149" width="11" style="4" customWidth="1"/>
    <col min="16150" max="16384" width="11.85546875" style="4"/>
  </cols>
  <sheetData>
    <row r="1" spans="1:18" ht="18.75" customHeight="1">
      <c r="A1" s="1" t="s">
        <v>0</v>
      </c>
      <c r="B1" s="1"/>
      <c r="C1" s="1"/>
      <c r="D1" s="1"/>
      <c r="E1" s="2"/>
      <c r="F1" s="408" t="s">
        <v>1</v>
      </c>
      <c r="G1" s="408"/>
      <c r="H1" s="408"/>
      <c r="I1" s="1"/>
      <c r="J1" s="1"/>
      <c r="K1" s="1"/>
      <c r="L1" s="1"/>
      <c r="M1" s="1"/>
      <c r="N1" s="1"/>
      <c r="O1" s="1"/>
      <c r="P1" s="3"/>
      <c r="Q1" s="1"/>
    </row>
    <row r="2" spans="1:18" ht="15" customHeight="1">
      <c r="A2" s="1" t="s">
        <v>2</v>
      </c>
      <c r="B2" s="1"/>
      <c r="C2" s="1"/>
      <c r="D2" s="1"/>
      <c r="E2" s="2"/>
      <c r="F2" s="409" t="s">
        <v>3</v>
      </c>
      <c r="G2" s="409"/>
      <c r="H2" s="409"/>
      <c r="I2" s="4"/>
      <c r="J2" s="4"/>
      <c r="K2" s="4"/>
      <c r="L2" s="4"/>
      <c r="M2" s="1"/>
    </row>
    <row r="3" spans="1:18" ht="15" customHeight="1">
      <c r="A3" s="1" t="s">
        <v>4</v>
      </c>
      <c r="B3" s="1"/>
      <c r="C3" s="1"/>
      <c r="D3" s="1"/>
      <c r="E3" s="2"/>
      <c r="F3" s="410" t="s">
        <v>5</v>
      </c>
      <c r="G3" s="410"/>
      <c r="H3" s="410"/>
      <c r="I3" s="6"/>
      <c r="J3" s="6"/>
      <c r="K3" s="6"/>
      <c r="L3" s="6"/>
      <c r="M3" s="1"/>
    </row>
    <row r="4" spans="1:18" ht="15" customHeight="1">
      <c r="A4" s="1" t="s">
        <v>6</v>
      </c>
      <c r="B4" s="1"/>
      <c r="C4" s="1"/>
      <c r="D4" s="1"/>
      <c r="E4" s="2"/>
      <c r="F4" s="1"/>
      <c r="G4" s="1"/>
      <c r="H4" s="6"/>
      <c r="I4" s="6"/>
      <c r="J4" s="6"/>
      <c r="K4" s="6"/>
      <c r="L4" s="6"/>
      <c r="M4" s="7"/>
      <c r="N4" s="1"/>
      <c r="O4" s="1"/>
      <c r="P4" s="3"/>
      <c r="Q4" s="1"/>
    </row>
    <row r="5" spans="1:18">
      <c r="A5" s="407" t="s">
        <v>7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</row>
    <row r="6" spans="1:18">
      <c r="A6" s="407" t="s">
        <v>8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</row>
    <row r="7" spans="1:18">
      <c r="A7" s="407"/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</row>
    <row r="8" spans="1:18" s="8" customFormat="1" ht="16.5" customHeight="1" thickBot="1">
      <c r="A8" s="395" t="s">
        <v>9</v>
      </c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</row>
    <row r="9" spans="1:18" s="8" customFormat="1" ht="55.5" customHeight="1">
      <c r="A9" s="396"/>
      <c r="B9" s="397"/>
      <c r="C9" s="397"/>
      <c r="D9" s="400" t="s">
        <v>10</v>
      </c>
      <c r="E9" s="401"/>
      <c r="F9" s="400" t="s">
        <v>11</v>
      </c>
      <c r="G9" s="400" t="s">
        <v>12</v>
      </c>
      <c r="H9" s="402" t="s">
        <v>13</v>
      </c>
      <c r="I9" s="404" t="s">
        <v>14</v>
      </c>
      <c r="J9" s="404"/>
      <c r="K9" s="404"/>
      <c r="L9" s="404"/>
      <c r="M9" s="404" t="s">
        <v>15</v>
      </c>
      <c r="N9" s="400" t="s">
        <v>16</v>
      </c>
      <c r="O9" s="400" t="s">
        <v>17</v>
      </c>
      <c r="P9" s="400" t="s">
        <v>15</v>
      </c>
      <c r="Q9" s="406"/>
    </row>
    <row r="10" spans="1:18" s="8" customFormat="1" ht="54" customHeight="1" thickBot="1">
      <c r="A10" s="398"/>
      <c r="B10" s="399"/>
      <c r="C10" s="399"/>
      <c r="D10" s="350"/>
      <c r="E10" s="350"/>
      <c r="F10" s="399"/>
      <c r="G10" s="399"/>
      <c r="H10" s="403"/>
      <c r="I10" s="9" t="s">
        <v>18</v>
      </c>
      <c r="J10" s="9" t="s">
        <v>19</v>
      </c>
      <c r="K10" s="9" t="s">
        <v>20</v>
      </c>
      <c r="L10" s="10" t="s">
        <v>21</v>
      </c>
      <c r="M10" s="405"/>
      <c r="N10" s="399"/>
      <c r="O10" s="399"/>
      <c r="P10" s="11" t="s">
        <v>22</v>
      </c>
      <c r="Q10" s="12" t="s">
        <v>23</v>
      </c>
    </row>
    <row r="11" spans="1:18" s="19" customFormat="1" ht="18" customHeight="1" thickBot="1">
      <c r="A11" s="13">
        <v>0</v>
      </c>
      <c r="B11" s="391">
        <v>1</v>
      </c>
      <c r="C11" s="392"/>
      <c r="D11" s="393">
        <v>2</v>
      </c>
      <c r="E11" s="394"/>
      <c r="F11" s="14">
        <v>3</v>
      </c>
      <c r="G11" s="14">
        <v>4</v>
      </c>
      <c r="H11" s="15">
        <v>5</v>
      </c>
      <c r="I11" s="16" t="s">
        <v>24</v>
      </c>
      <c r="J11" s="16" t="s">
        <v>25</v>
      </c>
      <c r="K11" s="16" t="s">
        <v>26</v>
      </c>
      <c r="L11" s="16"/>
      <c r="M11" s="16" t="s">
        <v>27</v>
      </c>
      <c r="N11" s="17">
        <v>7</v>
      </c>
      <c r="O11" s="14">
        <v>8</v>
      </c>
      <c r="P11" s="14">
        <v>9</v>
      </c>
      <c r="Q11" s="18">
        <v>10</v>
      </c>
    </row>
    <row r="12" spans="1:18" s="29" customFormat="1" ht="20.25" customHeight="1" thickBot="1">
      <c r="A12" s="20" t="s">
        <v>28</v>
      </c>
      <c r="B12" s="21"/>
      <c r="C12" s="21"/>
      <c r="D12" s="379" t="s">
        <v>29</v>
      </c>
      <c r="E12" s="380"/>
      <c r="F12" s="21">
        <v>1</v>
      </c>
      <c r="G12" s="22">
        <f t="shared" ref="G12:L12" si="0">SUM(G13:G16)</f>
        <v>2499.895</v>
      </c>
      <c r="H12" s="23">
        <f t="shared" si="0"/>
        <v>2757.152</v>
      </c>
      <c r="I12" s="24">
        <f t="shared" si="0"/>
        <v>0</v>
      </c>
      <c r="J12" s="24">
        <f t="shared" si="0"/>
        <v>0.59499999999999997</v>
      </c>
      <c r="K12" s="22">
        <f t="shared" si="0"/>
        <v>0</v>
      </c>
      <c r="L12" s="22">
        <f t="shared" si="0"/>
        <v>69.619</v>
      </c>
      <c r="M12" s="25">
        <f t="shared" ref="M12:M71" si="1">IF(H12=0,"0",H12/G12)</f>
        <v>1.1029071220991282</v>
      </c>
      <c r="N12" s="26">
        <f>SUM(N13:N16)</f>
        <v>2757.152</v>
      </c>
      <c r="O12" s="22">
        <f>SUM(O13:O16)</f>
        <v>2757.152</v>
      </c>
      <c r="P12" s="25">
        <f>IF(H12=0,"0",N12/H12)</f>
        <v>1</v>
      </c>
      <c r="Q12" s="27">
        <f t="shared" ref="Q12:Q24" si="2">IF(N12=0,"",O12/N12)</f>
        <v>1</v>
      </c>
      <c r="R12" s="28">
        <f>'liv2'!V14</f>
        <v>2757.1532289414949</v>
      </c>
    </row>
    <row r="13" spans="1:18" ht="19.5" customHeight="1">
      <c r="A13" s="359"/>
      <c r="B13" s="31">
        <v>1</v>
      </c>
      <c r="C13" s="31"/>
      <c r="D13" s="353" t="s">
        <v>30</v>
      </c>
      <c r="E13" s="354"/>
      <c r="F13" s="31">
        <v>2</v>
      </c>
      <c r="G13" s="33">
        <f>'liv2'!J15</f>
        <v>2499.895</v>
      </c>
      <c r="H13" s="34">
        <f>'liv2'!Q15</f>
        <v>2755.152</v>
      </c>
      <c r="I13" s="35">
        <f>'liv2'!L15</f>
        <v>0</v>
      </c>
      <c r="J13" s="35">
        <f>'liv2'!N15</f>
        <v>0.58499999999999996</v>
      </c>
      <c r="K13" s="35">
        <f>'liv2'!P14</f>
        <v>0</v>
      </c>
      <c r="L13" s="35">
        <f>'liv2'!R15</f>
        <v>69.619</v>
      </c>
      <c r="M13" s="36">
        <f t="shared" si="1"/>
        <v>1.1021070884977169</v>
      </c>
      <c r="N13" s="37">
        <f>H13</f>
        <v>2755.152</v>
      </c>
      <c r="O13" s="33">
        <f>N13</f>
        <v>2755.152</v>
      </c>
      <c r="P13" s="38">
        <f>IF(H13=0,"0",N13/H13)</f>
        <v>1</v>
      </c>
      <c r="Q13" s="39">
        <f t="shared" si="2"/>
        <v>1</v>
      </c>
    </row>
    <row r="14" spans="1:18" ht="21.75" customHeight="1">
      <c r="A14" s="359"/>
      <c r="B14" s="31"/>
      <c r="C14" s="31"/>
      <c r="D14" s="40" t="s">
        <v>31</v>
      </c>
      <c r="E14" s="32" t="s">
        <v>32</v>
      </c>
      <c r="F14" s="31">
        <v>3</v>
      </c>
      <c r="G14" s="33"/>
      <c r="H14" s="34"/>
      <c r="I14" s="35"/>
      <c r="J14" s="35"/>
      <c r="K14" s="35"/>
      <c r="L14" s="35"/>
      <c r="M14" s="41" t="str">
        <f t="shared" si="1"/>
        <v>0</v>
      </c>
      <c r="N14" s="37">
        <f>H14</f>
        <v>0</v>
      </c>
      <c r="O14" s="33">
        <f>N14</f>
        <v>0</v>
      </c>
      <c r="P14" s="42" t="str">
        <f>IF(H14=0,"0",N14/H14)</f>
        <v>0</v>
      </c>
      <c r="Q14" s="39" t="str">
        <f t="shared" si="2"/>
        <v/>
      </c>
    </row>
    <row r="15" spans="1:18" ht="21.75" customHeight="1">
      <c r="A15" s="359"/>
      <c r="B15" s="31"/>
      <c r="C15" s="31"/>
      <c r="D15" s="40" t="s">
        <v>33</v>
      </c>
      <c r="E15" s="32" t="s">
        <v>34</v>
      </c>
      <c r="F15" s="31">
        <v>4</v>
      </c>
      <c r="G15" s="33"/>
      <c r="H15" s="34"/>
      <c r="I15" s="35"/>
      <c r="J15" s="35"/>
      <c r="K15" s="35"/>
      <c r="L15" s="35"/>
      <c r="M15" s="41" t="str">
        <f t="shared" si="1"/>
        <v>0</v>
      </c>
      <c r="N15" s="37">
        <f>H15</f>
        <v>0</v>
      </c>
      <c r="O15" s="33">
        <f>N15</f>
        <v>0</v>
      </c>
      <c r="P15" s="42" t="str">
        <f>IF(H15=0,"0",N15/H15)</f>
        <v>0</v>
      </c>
      <c r="Q15" s="39" t="str">
        <f t="shared" si="2"/>
        <v/>
      </c>
    </row>
    <row r="16" spans="1:18" ht="23.25" customHeight="1" thickBot="1">
      <c r="A16" s="365"/>
      <c r="B16" s="43">
        <v>2</v>
      </c>
      <c r="C16" s="43"/>
      <c r="D16" s="370" t="s">
        <v>35</v>
      </c>
      <c r="E16" s="371"/>
      <c r="F16" s="43">
        <v>5</v>
      </c>
      <c r="G16" s="44">
        <f>'liv2'!J35</f>
        <v>0</v>
      </c>
      <c r="H16" s="45">
        <f>'liv2'!Q35</f>
        <v>2</v>
      </c>
      <c r="I16" s="46">
        <f>'liv2'!L35</f>
        <v>0</v>
      </c>
      <c r="J16" s="46">
        <f>'liv2'!N35</f>
        <v>0.01</v>
      </c>
      <c r="K16" s="46">
        <f>'liv2'!P35</f>
        <v>0</v>
      </c>
      <c r="L16" s="46">
        <f>'liv2'!R35</f>
        <v>0</v>
      </c>
      <c r="M16" s="47" t="e">
        <f t="shared" si="1"/>
        <v>#DIV/0!</v>
      </c>
      <c r="N16" s="48">
        <f>H16</f>
        <v>2</v>
      </c>
      <c r="O16" s="49">
        <f>N16</f>
        <v>2</v>
      </c>
      <c r="P16" s="50">
        <f>IF(H16=0,"0",N16/H16)</f>
        <v>1</v>
      </c>
      <c r="Q16" s="39">
        <f t="shared" si="2"/>
        <v>1</v>
      </c>
    </row>
    <row r="17" spans="1:19" s="29" customFormat="1" ht="20.25" customHeight="1" thickBot="1">
      <c r="A17" s="20" t="s">
        <v>36</v>
      </c>
      <c r="B17" s="21"/>
      <c r="C17" s="21"/>
      <c r="D17" s="379" t="s">
        <v>37</v>
      </c>
      <c r="E17" s="380"/>
      <c r="F17" s="21">
        <v>6</v>
      </c>
      <c r="G17" s="22">
        <f t="shared" ref="G17:L17" si="3">G18+G30</f>
        <v>2342.3220000000001</v>
      </c>
      <c r="H17" s="23">
        <f t="shared" si="3"/>
        <v>2599.0839999999998</v>
      </c>
      <c r="I17" s="24">
        <f t="shared" si="3"/>
        <v>990.53199999999993</v>
      </c>
      <c r="J17" s="24">
        <f t="shared" si="3"/>
        <v>1716.867</v>
      </c>
      <c r="K17" s="22">
        <f t="shared" si="3"/>
        <v>1742.6130000000001</v>
      </c>
      <c r="L17" s="22">
        <f t="shared" si="3"/>
        <v>2342.5079999999994</v>
      </c>
      <c r="M17" s="51">
        <f t="shared" si="1"/>
        <v>1.1096185750720864</v>
      </c>
      <c r="N17" s="22">
        <f>N18+N30</f>
        <v>2432.0700000000002</v>
      </c>
      <c r="O17" s="22">
        <f>O18+O30</f>
        <v>2432.0700000000002</v>
      </c>
      <c r="P17" s="25">
        <v>0</v>
      </c>
      <c r="Q17" s="52">
        <f t="shared" si="2"/>
        <v>1</v>
      </c>
      <c r="R17" s="28">
        <f>'liv2'!V41</f>
        <v>2599.0700718832049</v>
      </c>
      <c r="S17" s="28">
        <f>H17-R17</f>
        <v>1.3928116794886591E-2</v>
      </c>
    </row>
    <row r="18" spans="1:19" ht="36" customHeight="1">
      <c r="A18" s="359"/>
      <c r="B18" s="31">
        <v>1</v>
      </c>
      <c r="C18" s="31"/>
      <c r="D18" s="353" t="s">
        <v>38</v>
      </c>
      <c r="E18" s="354"/>
      <c r="F18" s="31">
        <v>7</v>
      </c>
      <c r="G18" s="33">
        <f>'liv2'!J42</f>
        <v>2342.3209999999999</v>
      </c>
      <c r="H18" s="34">
        <f>'liv2'!Q42</f>
        <v>2599.0839999999998</v>
      </c>
      <c r="I18" s="53">
        <f>'liv2'!L42</f>
        <v>990.53099999999995</v>
      </c>
      <c r="J18" s="53">
        <f>'liv2'!N42</f>
        <v>1716.866</v>
      </c>
      <c r="K18" s="53">
        <f>'liv2'!P42</f>
        <v>1742.6120000000001</v>
      </c>
      <c r="L18" s="53">
        <f>'liv2'!R42</f>
        <v>2342.4079999999994</v>
      </c>
      <c r="M18" s="36">
        <f t="shared" si="1"/>
        <v>1.1096190487981792</v>
      </c>
      <c r="N18" s="54">
        <v>2432.0700000000002</v>
      </c>
      <c r="O18" s="54">
        <v>2432.0700000000002</v>
      </c>
      <c r="P18" s="38">
        <v>0</v>
      </c>
      <c r="Q18" s="39">
        <f t="shared" si="2"/>
        <v>1</v>
      </c>
      <c r="R18" s="55">
        <f>R12-R17</f>
        <v>158.08315705829</v>
      </c>
    </row>
    <row r="19" spans="1:19" ht="22.5" customHeight="1">
      <c r="A19" s="364"/>
      <c r="B19" s="381"/>
      <c r="C19" s="56" t="s">
        <v>39</v>
      </c>
      <c r="D19" s="368" t="s">
        <v>40</v>
      </c>
      <c r="E19" s="369"/>
      <c r="F19" s="56">
        <v>8</v>
      </c>
      <c r="G19" s="57">
        <f>'liv2'!J43</f>
        <v>878.45300000000009</v>
      </c>
      <c r="H19" s="58">
        <f>'liv2'!Q43</f>
        <v>1007.749</v>
      </c>
      <c r="I19" s="59">
        <f>'liv2'!L43</f>
        <v>227.89399999999998</v>
      </c>
      <c r="J19" s="59">
        <f>'liv2'!N43</f>
        <v>530.44899999999996</v>
      </c>
      <c r="K19" s="59">
        <f>'liv2'!P43</f>
        <v>631.17200000000003</v>
      </c>
      <c r="L19" s="59">
        <f>'liv2'!R43</f>
        <v>878.54500000000007</v>
      </c>
      <c r="M19" s="41">
        <f t="shared" si="1"/>
        <v>1.1471860190585039</v>
      </c>
      <c r="N19" s="54">
        <v>897.99</v>
      </c>
      <c r="O19" s="60">
        <v>897.99</v>
      </c>
      <c r="P19" s="42">
        <f>IF(H19=0,"0",N19/H19)</f>
        <v>0.89108498247083345</v>
      </c>
      <c r="Q19" s="39">
        <f t="shared" si="2"/>
        <v>1</v>
      </c>
    </row>
    <row r="20" spans="1:19" ht="22.5" customHeight="1">
      <c r="A20" s="364"/>
      <c r="B20" s="348"/>
      <c r="C20" s="56" t="s">
        <v>41</v>
      </c>
      <c r="D20" s="368" t="s">
        <v>42</v>
      </c>
      <c r="E20" s="369"/>
      <c r="F20" s="56">
        <v>9</v>
      </c>
      <c r="G20" s="57">
        <f>'liv2'!J91</f>
        <v>54.09899999999999</v>
      </c>
      <c r="H20" s="58">
        <f>'liv2'!Q91</f>
        <v>62.649999999999991</v>
      </c>
      <c r="I20" s="59">
        <f>'liv2'!L91</f>
        <v>15.909000000000001</v>
      </c>
      <c r="J20" s="59">
        <f>'liv2'!N91</f>
        <v>41.866</v>
      </c>
      <c r="K20" s="59">
        <f>'liv2'!P91</f>
        <v>49.722999999999999</v>
      </c>
      <c r="L20" s="59">
        <f>'liv2'!R91</f>
        <v>54.09899999999999</v>
      </c>
      <c r="M20" s="41">
        <f t="shared" si="1"/>
        <v>1.1580620713876413</v>
      </c>
      <c r="N20" s="54">
        <v>39.99</v>
      </c>
      <c r="O20" s="60">
        <v>39.99</v>
      </c>
      <c r="P20" s="42">
        <v>0</v>
      </c>
      <c r="Q20" s="39">
        <f t="shared" si="2"/>
        <v>1</v>
      </c>
    </row>
    <row r="21" spans="1:19" ht="38.25" customHeight="1" thickBot="1">
      <c r="A21" s="364"/>
      <c r="B21" s="348"/>
      <c r="C21" s="43" t="s">
        <v>43</v>
      </c>
      <c r="D21" s="370" t="s">
        <v>44</v>
      </c>
      <c r="E21" s="371"/>
      <c r="F21" s="43">
        <v>10</v>
      </c>
      <c r="G21" s="44">
        <f>'liv2'!J98</f>
        <v>1189.1799999999998</v>
      </c>
      <c r="H21" s="45">
        <f>'liv2'!Q98</f>
        <v>1254.5070000000001</v>
      </c>
      <c r="I21" s="46">
        <f>'liv2'!L98</f>
        <v>275.97699999999998</v>
      </c>
      <c r="J21" s="46">
        <f>'liv2'!N98</f>
        <v>597.70900000000006</v>
      </c>
      <c r="K21" s="46">
        <f>'liv2'!P98</f>
        <v>872.8180000000001</v>
      </c>
      <c r="L21" s="46">
        <f>'liv2'!R98</f>
        <v>1189.1799999999998</v>
      </c>
      <c r="M21" s="47">
        <f t="shared" si="1"/>
        <v>1.0549344926756254</v>
      </c>
      <c r="N21" s="54">
        <v>1201.8109999999999</v>
      </c>
      <c r="O21" s="60">
        <v>1201.8109999999999</v>
      </c>
      <c r="P21" s="50">
        <f t="shared" ref="P21:P33" si="4">IF(H21=0,"0",N21/H21)</f>
        <v>0.95799465447382903</v>
      </c>
      <c r="Q21" s="39">
        <f t="shared" si="2"/>
        <v>1</v>
      </c>
    </row>
    <row r="22" spans="1:19" s="68" customFormat="1" ht="25.5" customHeight="1" thickBot="1">
      <c r="A22" s="364"/>
      <c r="B22" s="382"/>
      <c r="C22" s="61"/>
      <c r="D22" s="62" t="s">
        <v>45</v>
      </c>
      <c r="E22" s="63" t="s">
        <v>46</v>
      </c>
      <c r="F22" s="64">
        <v>11</v>
      </c>
      <c r="G22" s="24">
        <f>'liv2'!J99</f>
        <v>1078.258</v>
      </c>
      <c r="H22" s="23">
        <f>'liv2'!Q99</f>
        <v>1065.7629999999999</v>
      </c>
      <c r="I22" s="24">
        <f>'liv2'!L99</f>
        <v>264.74</v>
      </c>
      <c r="J22" s="24">
        <f>'liv2'!N99</f>
        <v>568.798</v>
      </c>
      <c r="K22" s="24">
        <f>'liv2'!P99</f>
        <v>814.8950000000001</v>
      </c>
      <c r="L22" s="24">
        <f>'liv2'!R99</f>
        <v>1078.258</v>
      </c>
      <c r="M22" s="65">
        <f t="shared" si="1"/>
        <v>0.98841186432189687</v>
      </c>
      <c r="N22" s="66">
        <f t="shared" ref="N22:N27" si="5">H22</f>
        <v>1065.7629999999999</v>
      </c>
      <c r="O22" s="62">
        <f>O23+O24</f>
        <v>1065.7629999999999</v>
      </c>
      <c r="P22" s="67">
        <f t="shared" si="4"/>
        <v>1</v>
      </c>
      <c r="Q22" s="39">
        <f t="shared" si="2"/>
        <v>1</v>
      </c>
    </row>
    <row r="23" spans="1:19" ht="22.5" customHeight="1">
      <c r="A23" s="364"/>
      <c r="B23" s="348"/>
      <c r="C23" s="366"/>
      <c r="D23" s="69" t="s">
        <v>47</v>
      </c>
      <c r="E23" s="70" t="s">
        <v>48</v>
      </c>
      <c r="F23" s="31">
        <v>12</v>
      </c>
      <c r="G23" s="33">
        <f>'liv2'!J100</f>
        <v>1046.018</v>
      </c>
      <c r="H23" s="34">
        <f>'liv2'!Q100</f>
        <v>1014.173</v>
      </c>
      <c r="I23" s="35">
        <f>'liv2'!L100</f>
        <v>259.73200000000003</v>
      </c>
      <c r="J23" s="35">
        <f>'liv2'!N100</f>
        <v>552.42999999999995</v>
      </c>
      <c r="K23" s="35">
        <f>'liv2'!P100</f>
        <v>790.81500000000005</v>
      </c>
      <c r="L23" s="35">
        <f>'liv2'!R100</f>
        <v>1046.018</v>
      </c>
      <c r="M23" s="71">
        <f t="shared" si="1"/>
        <v>0.96955597322417009</v>
      </c>
      <c r="N23" s="37">
        <f t="shared" si="5"/>
        <v>1014.173</v>
      </c>
      <c r="O23" s="37">
        <f t="shared" ref="O23:O30" si="6">N23</f>
        <v>1014.173</v>
      </c>
      <c r="P23" s="38">
        <f t="shared" si="4"/>
        <v>1</v>
      </c>
      <c r="Q23" s="39">
        <f t="shared" si="2"/>
        <v>1</v>
      </c>
    </row>
    <row r="24" spans="1:19" ht="23.25" customHeight="1">
      <c r="A24" s="364"/>
      <c r="B24" s="348"/>
      <c r="C24" s="348"/>
      <c r="D24" s="72" t="s">
        <v>49</v>
      </c>
      <c r="E24" s="40" t="s">
        <v>50</v>
      </c>
      <c r="F24" s="56">
        <v>13</v>
      </c>
      <c r="G24" s="57">
        <f>'liv2'!J104</f>
        <v>32.24</v>
      </c>
      <c r="H24" s="58">
        <f>'liv2'!Q104</f>
        <v>51.589999999999996</v>
      </c>
      <c r="I24" s="59">
        <f>'liv2'!L104</f>
        <v>5.008</v>
      </c>
      <c r="J24" s="59">
        <f>'liv2'!N104</f>
        <v>16.367999999999999</v>
      </c>
      <c r="K24" s="59">
        <f>'liv2'!P104</f>
        <v>24.08</v>
      </c>
      <c r="L24" s="59">
        <f>'liv2'!R104</f>
        <v>32.24</v>
      </c>
      <c r="M24" s="41">
        <f t="shared" si="1"/>
        <v>1.600186104218362</v>
      </c>
      <c r="N24" s="73">
        <f t="shared" si="5"/>
        <v>51.589999999999996</v>
      </c>
      <c r="O24" s="73">
        <f t="shared" si="6"/>
        <v>51.589999999999996</v>
      </c>
      <c r="P24" s="42">
        <f t="shared" si="4"/>
        <v>1</v>
      </c>
      <c r="Q24" s="74">
        <f t="shared" si="2"/>
        <v>1</v>
      </c>
    </row>
    <row r="25" spans="1:19" s="68" customFormat="1" ht="21" customHeight="1">
      <c r="A25" s="364"/>
      <c r="B25" s="348"/>
      <c r="C25" s="348"/>
      <c r="D25" s="72" t="s">
        <v>51</v>
      </c>
      <c r="E25" s="40" t="s">
        <v>52</v>
      </c>
      <c r="F25" s="56">
        <v>14</v>
      </c>
      <c r="G25" s="57">
        <f>'liv2'!J112</f>
        <v>0</v>
      </c>
      <c r="H25" s="58">
        <f>'liv2'!Q112</f>
        <v>0</v>
      </c>
      <c r="I25" s="59"/>
      <c r="J25" s="59"/>
      <c r="K25" s="59"/>
      <c r="L25" s="59">
        <f>'liv2'!R112</f>
        <v>0</v>
      </c>
      <c r="M25" s="41" t="str">
        <f t="shared" si="1"/>
        <v>0</v>
      </c>
      <c r="N25" s="73">
        <f t="shared" si="5"/>
        <v>0</v>
      </c>
      <c r="O25" s="73">
        <f t="shared" si="6"/>
        <v>0</v>
      </c>
      <c r="P25" s="42" t="str">
        <f t="shared" si="4"/>
        <v>0</v>
      </c>
      <c r="Q25" s="33">
        <f>'liv2'!T49</f>
        <v>0.82397145483051304</v>
      </c>
    </row>
    <row r="26" spans="1:19" ht="37.5" customHeight="1">
      <c r="A26" s="364"/>
      <c r="B26" s="348"/>
      <c r="C26" s="348"/>
      <c r="D26" s="72"/>
      <c r="E26" s="40" t="s">
        <v>53</v>
      </c>
      <c r="F26" s="56">
        <v>15</v>
      </c>
      <c r="G26" s="57"/>
      <c r="H26" s="58"/>
      <c r="I26" s="59"/>
      <c r="J26" s="59"/>
      <c r="K26" s="59"/>
      <c r="L26" s="59"/>
      <c r="M26" s="41" t="str">
        <f t="shared" si="1"/>
        <v>0</v>
      </c>
      <c r="N26" s="73">
        <f t="shared" si="5"/>
        <v>0</v>
      </c>
      <c r="O26" s="73">
        <f t="shared" si="6"/>
        <v>0</v>
      </c>
      <c r="P26" s="42" t="str">
        <f t="shared" si="4"/>
        <v>0</v>
      </c>
      <c r="Q26" s="74" t="str">
        <f>IF(N26=0,"",O26/N26)</f>
        <v/>
      </c>
    </row>
    <row r="27" spans="1:19" s="68" customFormat="1" ht="39.75" customHeight="1">
      <c r="A27" s="364"/>
      <c r="B27" s="348"/>
      <c r="C27" s="348"/>
      <c r="D27" s="72" t="s">
        <v>54</v>
      </c>
      <c r="E27" s="40" t="s">
        <v>55</v>
      </c>
      <c r="F27" s="56">
        <v>16</v>
      </c>
      <c r="G27" s="57">
        <f>'liv2'!J116</f>
        <v>85.177000000000007</v>
      </c>
      <c r="H27" s="58">
        <f>'liv2'!Q116</f>
        <v>161.114</v>
      </c>
      <c r="I27" s="59">
        <f>'liv2'!L116</f>
        <v>5.3010000000000002</v>
      </c>
      <c r="J27" s="59">
        <f>'liv2'!N116</f>
        <v>15.913</v>
      </c>
      <c r="K27" s="59">
        <f>'liv2'!P116</f>
        <v>39.001000000000005</v>
      </c>
      <c r="L27" s="59">
        <f>'liv2'!R116</f>
        <v>85.177000000000007</v>
      </c>
      <c r="M27" s="41">
        <f t="shared" si="1"/>
        <v>1.8915200112706481</v>
      </c>
      <c r="N27" s="73">
        <f t="shared" si="5"/>
        <v>161.114</v>
      </c>
      <c r="O27" s="73">
        <f t="shared" si="6"/>
        <v>161.114</v>
      </c>
      <c r="P27" s="42">
        <f t="shared" si="4"/>
        <v>1</v>
      </c>
      <c r="Q27" s="74">
        <f>IF(N27=0,"",O27/N27)</f>
        <v>1</v>
      </c>
    </row>
    <row r="28" spans="1:19" s="68" customFormat="1" ht="18.75" customHeight="1">
      <c r="A28" s="364"/>
      <c r="B28" s="348"/>
      <c r="C28" s="348"/>
      <c r="D28" s="72" t="s">
        <v>56</v>
      </c>
      <c r="E28" s="40" t="s">
        <v>57</v>
      </c>
      <c r="F28" s="56">
        <v>17</v>
      </c>
      <c r="G28" s="57">
        <f>'liv2'!J125</f>
        <v>25.744999999999997</v>
      </c>
      <c r="H28" s="58">
        <f>'liv2'!Q125</f>
        <v>27.63</v>
      </c>
      <c r="I28" s="59">
        <f>'liv2'!L125</f>
        <v>5.9359999999999999</v>
      </c>
      <c r="J28" s="59">
        <f>'liv2'!N125</f>
        <v>12.997999999999999</v>
      </c>
      <c r="K28" s="59">
        <f>'liv2'!P125</f>
        <v>18.922000000000001</v>
      </c>
      <c r="L28" s="59">
        <f>'liv2'!R125</f>
        <v>25.744999999999997</v>
      </c>
      <c r="M28" s="41">
        <f t="shared" si="1"/>
        <v>1.0732181006020587</v>
      </c>
      <c r="N28" s="73">
        <v>0</v>
      </c>
      <c r="O28" s="73">
        <f t="shared" si="6"/>
        <v>0</v>
      </c>
      <c r="P28" s="42">
        <f t="shared" si="4"/>
        <v>0</v>
      </c>
      <c r="Q28" s="74">
        <v>3.2</v>
      </c>
    </row>
    <row r="29" spans="1:19" s="68" customFormat="1" ht="20.25" customHeight="1">
      <c r="A29" s="364"/>
      <c r="B29" s="348"/>
      <c r="C29" s="56" t="s">
        <v>58</v>
      </c>
      <c r="D29" s="368" t="s">
        <v>59</v>
      </c>
      <c r="E29" s="369"/>
      <c r="F29" s="56">
        <v>18</v>
      </c>
      <c r="G29" s="57">
        <f>'liv2'!J126</f>
        <v>220.589</v>
      </c>
      <c r="H29" s="58">
        <f>'liv2'!Q126</f>
        <v>274.178</v>
      </c>
      <c r="I29" s="59">
        <f>'liv2'!L126</f>
        <v>470.75099999999998</v>
      </c>
      <c r="J29" s="59">
        <f>'liv2'!N126</f>
        <v>546.84199999999998</v>
      </c>
      <c r="K29" s="59">
        <f>'liv2'!P126</f>
        <v>188.899</v>
      </c>
      <c r="L29" s="59">
        <f>'liv2'!R126</f>
        <v>220.584</v>
      </c>
      <c r="M29" s="41">
        <f t="shared" si="1"/>
        <v>1.2429359578220129</v>
      </c>
      <c r="N29" s="73">
        <f>H29</f>
        <v>274.178</v>
      </c>
      <c r="O29" s="73">
        <f t="shared" si="6"/>
        <v>274.178</v>
      </c>
      <c r="P29" s="42">
        <f t="shared" si="4"/>
        <v>1</v>
      </c>
      <c r="Q29" s="57">
        <f>'liv2'!S126</f>
        <v>1.2429359578220129</v>
      </c>
    </row>
    <row r="30" spans="1:19" ht="20.100000000000001" customHeight="1" thickBot="1">
      <c r="A30" s="365"/>
      <c r="B30" s="43">
        <v>2</v>
      </c>
      <c r="C30" s="43"/>
      <c r="D30" s="370" t="s">
        <v>60</v>
      </c>
      <c r="E30" s="371"/>
      <c r="F30" s="43">
        <v>19</v>
      </c>
      <c r="G30" s="44">
        <f>'liv2'!J143</f>
        <v>1E-3</v>
      </c>
      <c r="H30" s="45">
        <f>'liv2'!Q143</f>
        <v>0</v>
      </c>
      <c r="I30" s="46">
        <f>'liv2'!L143</f>
        <v>1E-3</v>
      </c>
      <c r="J30" s="46">
        <f>'liv2'!N143</f>
        <v>1E-3</v>
      </c>
      <c r="K30" s="46">
        <f>'liv2'!P143</f>
        <v>1E-3</v>
      </c>
      <c r="L30" s="46">
        <f>'liv2'!R143</f>
        <v>0.1</v>
      </c>
      <c r="M30" s="47" t="str">
        <f t="shared" si="1"/>
        <v>0</v>
      </c>
      <c r="N30" s="75">
        <f>H30</f>
        <v>0</v>
      </c>
      <c r="O30" s="75">
        <f t="shared" si="6"/>
        <v>0</v>
      </c>
      <c r="P30" s="50" t="str">
        <f t="shared" si="4"/>
        <v>0</v>
      </c>
      <c r="Q30" s="76" t="str">
        <f>IF(N30=0,"",O30/N30)</f>
        <v/>
      </c>
    </row>
    <row r="31" spans="1:19" s="7" customFormat="1" ht="24.75" customHeight="1">
      <c r="A31" s="77" t="s">
        <v>61</v>
      </c>
      <c r="B31" s="78"/>
      <c r="C31" s="78"/>
      <c r="D31" s="383" t="s">
        <v>62</v>
      </c>
      <c r="E31" s="384"/>
      <c r="F31" s="78">
        <v>20</v>
      </c>
      <c r="G31" s="79">
        <f t="shared" ref="G31:L31" si="7">G12-G17</f>
        <v>157.57299999999987</v>
      </c>
      <c r="H31" s="80">
        <f t="shared" si="7"/>
        <v>158.06800000000021</v>
      </c>
      <c r="I31" s="79">
        <f t="shared" si="7"/>
        <v>-990.53199999999993</v>
      </c>
      <c r="J31" s="79">
        <f t="shared" si="7"/>
        <v>-1716.2719999999999</v>
      </c>
      <c r="K31" s="79">
        <f t="shared" si="7"/>
        <v>-1742.6130000000001</v>
      </c>
      <c r="L31" s="79">
        <f t="shared" si="7"/>
        <v>-2272.8889999999992</v>
      </c>
      <c r="M31" s="81">
        <f t="shared" si="1"/>
        <v>1.0031414011283681</v>
      </c>
      <c r="N31" s="82">
        <f>N12-N17</f>
        <v>325.08199999999988</v>
      </c>
      <c r="O31" s="83">
        <f>O12-O17</f>
        <v>325.08199999999988</v>
      </c>
      <c r="P31" s="84">
        <f t="shared" si="4"/>
        <v>2.0565958954374031</v>
      </c>
      <c r="Q31" s="85">
        <f>IF(N31=0,"",O31/N31)</f>
        <v>1</v>
      </c>
    </row>
    <row r="32" spans="1:19" s="7" customFormat="1" ht="25.5" customHeight="1" thickBot="1">
      <c r="A32" s="86" t="s">
        <v>63</v>
      </c>
      <c r="B32" s="87">
        <v>1</v>
      </c>
      <c r="C32" s="87"/>
      <c r="D32" s="385" t="s">
        <v>64</v>
      </c>
      <c r="E32" s="386"/>
      <c r="F32" s="87">
        <v>21</v>
      </c>
      <c r="G32" s="88">
        <v>15.28</v>
      </c>
      <c r="H32" s="89">
        <f>'liv2'!Q154</f>
        <v>25.290880000000033</v>
      </c>
      <c r="I32" s="90">
        <f>'liv2'!L154</f>
        <v>0</v>
      </c>
      <c r="J32" s="90">
        <f>'liv2'!N154</f>
        <v>0</v>
      </c>
      <c r="K32" s="90">
        <f>'liv2'!P154</f>
        <v>0</v>
      </c>
      <c r="L32" s="90">
        <f>'liv2'!R154</f>
        <v>-363.66223999999988</v>
      </c>
      <c r="M32" s="91">
        <f t="shared" si="1"/>
        <v>1.6551623036649237</v>
      </c>
      <c r="N32" s="90">
        <f>N31*16%</f>
        <v>52.013119999999979</v>
      </c>
      <c r="O32" s="90">
        <f>O31*16%</f>
        <v>52.013119999999979</v>
      </c>
      <c r="P32" s="92">
        <f t="shared" si="4"/>
        <v>2.0565958954374031</v>
      </c>
      <c r="Q32" s="93">
        <f>IF(N32=0,"",O32/N32)</f>
        <v>1</v>
      </c>
    </row>
    <row r="33" spans="1:17" s="1" customFormat="1" ht="23.25" customHeight="1">
      <c r="A33" s="30"/>
      <c r="B33" s="31">
        <v>2</v>
      </c>
      <c r="C33" s="31"/>
      <c r="D33" s="387" t="s">
        <v>65</v>
      </c>
      <c r="E33" s="388"/>
      <c r="F33" s="31">
        <v>22</v>
      </c>
      <c r="G33" s="94"/>
      <c r="H33" s="95"/>
      <c r="I33" s="33"/>
      <c r="J33" s="33"/>
      <c r="K33" s="33"/>
      <c r="L33" s="33"/>
      <c r="M33" s="71" t="str">
        <f t="shared" si="1"/>
        <v>0</v>
      </c>
      <c r="N33" s="33"/>
      <c r="O33" s="33"/>
      <c r="P33" s="38" t="str">
        <f t="shared" si="4"/>
        <v>0</v>
      </c>
      <c r="Q33" s="39"/>
    </row>
    <row r="34" spans="1:17" s="1" customFormat="1" ht="24.75" customHeight="1">
      <c r="A34" s="96"/>
      <c r="B34" s="56">
        <v>3</v>
      </c>
      <c r="C34" s="56"/>
      <c r="D34" s="389" t="s">
        <v>66</v>
      </c>
      <c r="E34" s="390"/>
      <c r="F34" s="56">
        <v>23</v>
      </c>
      <c r="G34" s="97"/>
      <c r="H34" s="98"/>
      <c r="I34" s="57"/>
      <c r="J34" s="57"/>
      <c r="K34" s="57"/>
      <c r="L34" s="57">
        <v>0</v>
      </c>
      <c r="M34" s="41" t="str">
        <f t="shared" si="1"/>
        <v>0</v>
      </c>
      <c r="N34" s="57">
        <v>0</v>
      </c>
      <c r="O34" s="57"/>
      <c r="P34" s="42">
        <v>0</v>
      </c>
      <c r="Q34" s="74"/>
    </row>
    <row r="35" spans="1:17" s="1" customFormat="1" ht="23.25" customHeight="1">
      <c r="A35" s="96"/>
      <c r="B35" s="56">
        <v>4</v>
      </c>
      <c r="C35" s="56"/>
      <c r="D35" s="389" t="s">
        <v>67</v>
      </c>
      <c r="E35" s="390"/>
      <c r="F35" s="56">
        <v>24</v>
      </c>
      <c r="G35" s="97"/>
      <c r="H35" s="98"/>
      <c r="I35" s="57"/>
      <c r="J35" s="57"/>
      <c r="K35" s="57"/>
      <c r="L35" s="57"/>
      <c r="M35" s="41" t="str">
        <f t="shared" si="1"/>
        <v>0</v>
      </c>
      <c r="N35" s="57"/>
      <c r="O35" s="57"/>
      <c r="P35" s="42" t="str">
        <f>IF(H35=0,"0",N35/H35)</f>
        <v>0</v>
      </c>
      <c r="Q35" s="74"/>
    </row>
    <row r="36" spans="1:17" s="1" customFormat="1" ht="35.25" customHeight="1" thickBot="1">
      <c r="A36" s="99"/>
      <c r="B36" s="43">
        <v>5</v>
      </c>
      <c r="C36" s="43"/>
      <c r="D36" s="377" t="s">
        <v>68</v>
      </c>
      <c r="E36" s="378"/>
      <c r="F36" s="43">
        <v>25</v>
      </c>
      <c r="G36" s="100"/>
      <c r="H36" s="101"/>
      <c r="I36" s="44"/>
      <c r="J36" s="44"/>
      <c r="K36" s="44"/>
      <c r="L36" s="44"/>
      <c r="M36" s="47" t="str">
        <f t="shared" si="1"/>
        <v>0</v>
      </c>
      <c r="N36" s="44"/>
      <c r="O36" s="44"/>
      <c r="P36" s="50" t="str">
        <f>IF(H36=0,"0",N36/H36)</f>
        <v>0</v>
      </c>
      <c r="Q36" s="76"/>
    </row>
    <row r="37" spans="1:17" s="7" customFormat="1" ht="54.75" customHeight="1" thickBot="1">
      <c r="A37" s="61" t="s">
        <v>69</v>
      </c>
      <c r="B37" s="64"/>
      <c r="C37" s="64"/>
      <c r="D37" s="372" t="s">
        <v>70</v>
      </c>
      <c r="E37" s="373"/>
      <c r="F37" s="64">
        <v>26</v>
      </c>
      <c r="G37" s="102">
        <f t="shared" ref="G37:L37" si="8">G31-G32-G33+G34-G35-G36</f>
        <v>142.29299999999986</v>
      </c>
      <c r="H37" s="103">
        <f t="shared" si="8"/>
        <v>132.77712000000017</v>
      </c>
      <c r="I37" s="102">
        <f t="shared" si="8"/>
        <v>-990.53199999999993</v>
      </c>
      <c r="J37" s="102">
        <f t="shared" si="8"/>
        <v>-1716.2719999999999</v>
      </c>
      <c r="K37" s="102">
        <f t="shared" si="8"/>
        <v>-1742.6130000000001</v>
      </c>
      <c r="L37" s="102">
        <f t="shared" si="8"/>
        <v>-1909.2267599999993</v>
      </c>
      <c r="M37" s="65">
        <f t="shared" si="1"/>
        <v>0.93312474963631586</v>
      </c>
      <c r="N37" s="102">
        <f>N31-N32-N33+N34-N35-N36</f>
        <v>273.06887999999992</v>
      </c>
      <c r="O37" s="104">
        <f>O31-O32-O33+O34-O35-O36</f>
        <v>273.06887999999992</v>
      </c>
      <c r="P37" s="67">
        <f>IF(H37=0,"0",N37/H37)</f>
        <v>2.0565958954374035</v>
      </c>
      <c r="Q37" s="105">
        <f t="shared" ref="Q37:Q43" si="9">IF(N37=0,"",O37/N37)</f>
        <v>1</v>
      </c>
    </row>
    <row r="38" spans="1:17" s="1" customFormat="1" ht="19.5" customHeight="1">
      <c r="A38" s="359"/>
      <c r="B38" s="31">
        <v>1</v>
      </c>
      <c r="C38" s="31"/>
      <c r="D38" s="353" t="s">
        <v>71</v>
      </c>
      <c r="E38" s="354"/>
      <c r="F38" s="31">
        <v>27</v>
      </c>
      <c r="G38" s="94">
        <v>0</v>
      </c>
      <c r="H38" s="34">
        <v>0</v>
      </c>
      <c r="I38" s="35">
        <v>0</v>
      </c>
      <c r="J38" s="35">
        <v>0</v>
      </c>
      <c r="K38" s="35">
        <v>0</v>
      </c>
      <c r="L38" s="35">
        <v>0</v>
      </c>
      <c r="M38" s="71" t="str">
        <f t="shared" si="1"/>
        <v>0</v>
      </c>
      <c r="N38" s="33">
        <f>'[2] Bis.1'!N32+'liv1'!N33</f>
        <v>0</v>
      </c>
      <c r="O38" s="37">
        <f>'[2] Bis.1'!O32+'liv1'!O33</f>
        <v>0</v>
      </c>
      <c r="P38" s="38">
        <v>0</v>
      </c>
      <c r="Q38" s="39" t="str">
        <f t="shared" si="9"/>
        <v/>
      </c>
    </row>
    <row r="39" spans="1:17" s="1" customFormat="1" ht="24" customHeight="1">
      <c r="A39" s="364"/>
      <c r="B39" s="56">
        <v>2</v>
      </c>
      <c r="C39" s="56"/>
      <c r="D39" s="368" t="s">
        <v>72</v>
      </c>
      <c r="E39" s="369"/>
      <c r="F39" s="56">
        <v>28</v>
      </c>
      <c r="G39" s="97">
        <f>'[2] Bis.1'!G33+'liv1'!G34</f>
        <v>0</v>
      </c>
      <c r="H39" s="58">
        <f>'[2] Bis.1'!H33+'liv1'!H34</f>
        <v>0</v>
      </c>
      <c r="I39" s="59"/>
      <c r="J39" s="59"/>
      <c r="K39" s="59"/>
      <c r="L39" s="59"/>
      <c r="M39" s="41" t="str">
        <f t="shared" si="1"/>
        <v>0</v>
      </c>
      <c r="N39" s="57">
        <v>0</v>
      </c>
      <c r="O39" s="73">
        <f>'[2] Bis.1'!O33+'liv1'!O34</f>
        <v>0</v>
      </c>
      <c r="P39" s="42">
        <v>0</v>
      </c>
      <c r="Q39" s="74" t="str">
        <f t="shared" si="9"/>
        <v/>
      </c>
    </row>
    <row r="40" spans="1:17" s="1" customFormat="1" ht="21" customHeight="1">
      <c r="A40" s="364"/>
      <c r="B40" s="56">
        <v>3</v>
      </c>
      <c r="C40" s="56"/>
      <c r="D40" s="368" t="s">
        <v>73</v>
      </c>
      <c r="E40" s="369"/>
      <c r="F40" s="56">
        <v>29</v>
      </c>
      <c r="G40" s="97">
        <f>'[2] Bis.1'!G34+'liv1'!G35</f>
        <v>0</v>
      </c>
      <c r="H40" s="58">
        <f>'[2] Bis.1'!H34+'liv1'!H35</f>
        <v>0</v>
      </c>
      <c r="I40" s="59"/>
      <c r="J40" s="59"/>
      <c r="K40" s="59"/>
      <c r="L40" s="59"/>
      <c r="M40" s="41" t="str">
        <f t="shared" si="1"/>
        <v>0</v>
      </c>
      <c r="N40" s="57">
        <f>'[2] Bis.1'!N34+'liv1'!N35</f>
        <v>0</v>
      </c>
      <c r="O40" s="73">
        <f>'[2] Bis.1'!O34+'liv1'!O35</f>
        <v>0</v>
      </c>
      <c r="P40" s="42" t="str">
        <f t="shared" ref="P40:P45" si="10">IF(H40=0,"0",N40/H40)</f>
        <v>0</v>
      </c>
      <c r="Q40" s="74" t="str">
        <f t="shared" si="9"/>
        <v/>
      </c>
    </row>
    <row r="41" spans="1:17" s="1" customFormat="1" ht="89.25" customHeight="1">
      <c r="A41" s="364"/>
      <c r="B41" s="56">
        <v>4</v>
      </c>
      <c r="C41" s="56"/>
      <c r="D41" s="368" t="s">
        <v>74</v>
      </c>
      <c r="E41" s="369"/>
      <c r="F41" s="56">
        <v>30</v>
      </c>
      <c r="G41" s="97">
        <f>'[2] Bis.1'!G35+'liv1'!G36</f>
        <v>0</v>
      </c>
      <c r="H41" s="58">
        <f>'[2] Bis.1'!H35+'liv1'!H36</f>
        <v>0</v>
      </c>
      <c r="I41" s="59"/>
      <c r="J41" s="59"/>
      <c r="K41" s="59"/>
      <c r="L41" s="59"/>
      <c r="M41" s="41" t="str">
        <f t="shared" si="1"/>
        <v>0</v>
      </c>
      <c r="N41" s="57">
        <f>'[2] Bis.1'!N35+'liv1'!N36</f>
        <v>0</v>
      </c>
      <c r="O41" s="73">
        <f>'[2] Bis.1'!O35+'liv1'!O36</f>
        <v>0</v>
      </c>
      <c r="P41" s="42" t="str">
        <f t="shared" si="10"/>
        <v>0</v>
      </c>
      <c r="Q41" s="74" t="str">
        <f t="shared" si="9"/>
        <v/>
      </c>
    </row>
    <row r="42" spans="1:17" s="1" customFormat="1" ht="20.25" customHeight="1">
      <c r="A42" s="364"/>
      <c r="B42" s="56">
        <v>5</v>
      </c>
      <c r="C42" s="56"/>
      <c r="D42" s="368" t="s">
        <v>75</v>
      </c>
      <c r="E42" s="369"/>
      <c r="F42" s="56">
        <v>31</v>
      </c>
      <c r="G42" s="97">
        <v>0</v>
      </c>
      <c r="H42" s="58">
        <v>0</v>
      </c>
      <c r="I42" s="59"/>
      <c r="J42" s="59"/>
      <c r="K42" s="59"/>
      <c r="L42" s="59"/>
      <c r="M42" s="41" t="str">
        <f t="shared" si="1"/>
        <v>0</v>
      </c>
      <c r="N42" s="57">
        <v>0</v>
      </c>
      <c r="O42" s="73">
        <v>0</v>
      </c>
      <c r="P42" s="42" t="str">
        <f t="shared" si="10"/>
        <v>0</v>
      </c>
      <c r="Q42" s="74" t="str">
        <f t="shared" si="9"/>
        <v/>
      </c>
    </row>
    <row r="43" spans="1:17" s="1" customFormat="1" ht="39.75" customHeight="1">
      <c r="A43" s="364"/>
      <c r="B43" s="56">
        <v>6</v>
      </c>
      <c r="C43" s="56"/>
      <c r="D43" s="368" t="s">
        <v>76</v>
      </c>
      <c r="E43" s="374"/>
      <c r="F43" s="56">
        <v>32</v>
      </c>
      <c r="G43" s="97">
        <f t="shared" ref="G43:L43" si="11">G37-G38-G39-G40-G41-G42</f>
        <v>142.29299999999986</v>
      </c>
      <c r="H43" s="106">
        <f t="shared" si="11"/>
        <v>132.77712000000017</v>
      </c>
      <c r="I43" s="97">
        <f t="shared" si="11"/>
        <v>-990.53199999999993</v>
      </c>
      <c r="J43" s="97">
        <f t="shared" si="11"/>
        <v>-1716.2719999999999</v>
      </c>
      <c r="K43" s="97">
        <f t="shared" si="11"/>
        <v>-1742.6130000000001</v>
      </c>
      <c r="L43" s="97">
        <f t="shared" si="11"/>
        <v>-1909.2267599999993</v>
      </c>
      <c r="M43" s="41">
        <f t="shared" si="1"/>
        <v>0.93312474963631586</v>
      </c>
      <c r="N43" s="97">
        <f>N37-N38-N39-N40-N41-N42</f>
        <v>273.06887999999992</v>
      </c>
      <c r="O43" s="107">
        <f>O37-O38-O39-O40-O41-O42</f>
        <v>273.06887999999992</v>
      </c>
      <c r="P43" s="42">
        <f t="shared" si="10"/>
        <v>2.0565958954374035</v>
      </c>
      <c r="Q43" s="74">
        <f t="shared" si="9"/>
        <v>1</v>
      </c>
    </row>
    <row r="44" spans="1:17" s="1" customFormat="1" ht="76.5" customHeight="1">
      <c r="A44" s="364"/>
      <c r="B44" s="56">
        <v>7</v>
      </c>
      <c r="C44" s="56"/>
      <c r="D44" s="368" t="s">
        <v>77</v>
      </c>
      <c r="E44" s="369"/>
      <c r="F44" s="56">
        <v>33</v>
      </c>
      <c r="G44" s="97">
        <v>0</v>
      </c>
      <c r="H44" s="58">
        <f>H43*10%</f>
        <v>13.277712000000017</v>
      </c>
      <c r="I44" s="59"/>
      <c r="J44" s="59"/>
      <c r="K44" s="59"/>
      <c r="L44" s="59"/>
      <c r="M44" s="41" t="e">
        <f t="shared" si="1"/>
        <v>#DIV/0!</v>
      </c>
      <c r="N44" s="57">
        <f>'[2] Bis.1'!N38+'liv1'!N39</f>
        <v>0</v>
      </c>
      <c r="O44" s="73">
        <f>'[2] Bis.1'!O38+'liv1'!O39</f>
        <v>0</v>
      </c>
      <c r="P44" s="42">
        <f t="shared" si="10"/>
        <v>0</v>
      </c>
      <c r="Q44" s="74">
        <v>0</v>
      </c>
    </row>
    <row r="45" spans="1:17" s="7" customFormat="1" ht="91.5" customHeight="1">
      <c r="A45" s="364"/>
      <c r="B45" s="108">
        <v>8</v>
      </c>
      <c r="C45" s="108"/>
      <c r="D45" s="375" t="s">
        <v>78</v>
      </c>
      <c r="E45" s="376"/>
      <c r="F45" s="108">
        <v>34</v>
      </c>
      <c r="G45" s="109">
        <f>G43/2</f>
        <v>71.146499999999932</v>
      </c>
      <c r="H45" s="110">
        <f>H43/2</f>
        <v>66.388560000000084</v>
      </c>
      <c r="I45" s="109">
        <v>0</v>
      </c>
      <c r="J45" s="109">
        <v>0</v>
      </c>
      <c r="K45" s="109">
        <f>K43/2</f>
        <v>-871.30650000000003</v>
      </c>
      <c r="L45" s="109">
        <f>L43/2</f>
        <v>-954.61337999999967</v>
      </c>
      <c r="M45" s="41">
        <f t="shared" si="1"/>
        <v>0.93312474963631586</v>
      </c>
      <c r="N45" s="109">
        <f>N43/2</f>
        <v>136.53443999999996</v>
      </c>
      <c r="O45" s="111">
        <f>O43/2</f>
        <v>136.53443999999996</v>
      </c>
      <c r="P45" s="42">
        <f t="shared" si="10"/>
        <v>2.0565958954374035</v>
      </c>
      <c r="Q45" s="74">
        <v>0</v>
      </c>
    </row>
    <row r="46" spans="1:17" s="1" customFormat="1" ht="18.75" customHeight="1">
      <c r="A46" s="364"/>
      <c r="B46" s="56"/>
      <c r="C46" s="56" t="s">
        <v>31</v>
      </c>
      <c r="D46" s="368" t="s">
        <v>79</v>
      </c>
      <c r="E46" s="369"/>
      <c r="F46" s="56">
        <v>35</v>
      </c>
      <c r="G46" s="97"/>
      <c r="H46" s="58"/>
      <c r="I46" s="59"/>
      <c r="J46" s="59"/>
      <c r="K46" s="59"/>
      <c r="L46" s="59">
        <v>0</v>
      </c>
      <c r="M46" s="41" t="str">
        <f t="shared" si="1"/>
        <v>0</v>
      </c>
      <c r="N46" s="57">
        <v>0</v>
      </c>
      <c r="O46" s="73"/>
      <c r="P46" s="42">
        <v>0</v>
      </c>
      <c r="Q46" s="74">
        <v>65.040000000000006</v>
      </c>
    </row>
    <row r="47" spans="1:17" s="1" customFormat="1" ht="18.75" customHeight="1">
      <c r="A47" s="364"/>
      <c r="B47" s="56"/>
      <c r="C47" s="56" t="s">
        <v>33</v>
      </c>
      <c r="D47" s="368" t="s">
        <v>80</v>
      </c>
      <c r="E47" s="369"/>
      <c r="F47" s="56">
        <v>36</v>
      </c>
      <c r="G47" s="97"/>
      <c r="H47" s="58"/>
      <c r="I47" s="59"/>
      <c r="J47" s="59"/>
      <c r="K47" s="59"/>
      <c r="L47" s="59">
        <v>0</v>
      </c>
      <c r="M47" s="41" t="str">
        <f t="shared" si="1"/>
        <v>0</v>
      </c>
      <c r="N47" s="57">
        <v>0</v>
      </c>
      <c r="O47" s="73"/>
      <c r="P47" s="42">
        <v>0</v>
      </c>
      <c r="Q47" s="74">
        <v>6</v>
      </c>
    </row>
    <row r="48" spans="1:17" s="1" customFormat="1" ht="18.75" customHeight="1">
      <c r="A48" s="364"/>
      <c r="B48" s="56"/>
      <c r="C48" s="56" t="s">
        <v>81</v>
      </c>
      <c r="D48" s="368" t="s">
        <v>82</v>
      </c>
      <c r="E48" s="369"/>
      <c r="F48" s="56">
        <v>37</v>
      </c>
      <c r="G48" s="97"/>
      <c r="H48" s="58"/>
      <c r="I48" s="59"/>
      <c r="J48" s="59"/>
      <c r="K48" s="59"/>
      <c r="L48" s="59">
        <v>0</v>
      </c>
      <c r="M48" s="41" t="str">
        <f t="shared" si="1"/>
        <v>0</v>
      </c>
      <c r="N48" s="57">
        <v>0</v>
      </c>
      <c r="O48" s="73"/>
      <c r="P48" s="42">
        <v>0</v>
      </c>
      <c r="Q48" s="74">
        <v>34.43</v>
      </c>
    </row>
    <row r="49" spans="1:17" s="1" customFormat="1" ht="53.25" customHeight="1" thickBot="1">
      <c r="A49" s="365"/>
      <c r="B49" s="43">
        <v>9</v>
      </c>
      <c r="C49" s="43"/>
      <c r="D49" s="370" t="s">
        <v>83</v>
      </c>
      <c r="E49" s="371"/>
      <c r="F49" s="43">
        <v>38</v>
      </c>
      <c r="G49" s="100">
        <f>G43-G44-G45</f>
        <v>71.146499999999932</v>
      </c>
      <c r="H49" s="112">
        <f>H43-H44-H45</f>
        <v>53.110848000000061</v>
      </c>
      <c r="I49" s="100">
        <v>0</v>
      </c>
      <c r="J49" s="100">
        <v>0</v>
      </c>
      <c r="K49" s="100">
        <f>K43-K44-K45</f>
        <v>-871.30650000000003</v>
      </c>
      <c r="L49" s="100">
        <v>0</v>
      </c>
      <c r="M49" s="47">
        <f t="shared" si="1"/>
        <v>0.74649979970905256</v>
      </c>
      <c r="N49" s="100">
        <v>0</v>
      </c>
      <c r="O49" s="113">
        <f>O43-O44-O45</f>
        <v>136.53443999999996</v>
      </c>
      <c r="P49" s="50">
        <v>0</v>
      </c>
      <c r="Q49" s="76">
        <v>17.8</v>
      </c>
    </row>
    <row r="50" spans="1:17" s="1" customFormat="1" ht="21.75" customHeight="1">
      <c r="A50" s="114" t="s">
        <v>84</v>
      </c>
      <c r="B50" s="115"/>
      <c r="C50" s="115"/>
      <c r="D50" s="355" t="s">
        <v>85</v>
      </c>
      <c r="E50" s="356"/>
      <c r="F50" s="115">
        <v>39</v>
      </c>
      <c r="G50" s="116"/>
      <c r="H50" s="117"/>
      <c r="I50" s="83"/>
      <c r="J50" s="83"/>
      <c r="K50" s="83"/>
      <c r="L50" s="83">
        <v>0</v>
      </c>
      <c r="M50" s="81" t="str">
        <f t="shared" si="1"/>
        <v>0</v>
      </c>
      <c r="N50" s="118">
        <v>0</v>
      </c>
      <c r="O50" s="119">
        <v>0</v>
      </c>
      <c r="P50" s="84">
        <v>0</v>
      </c>
      <c r="Q50" s="120">
        <v>7.2</v>
      </c>
    </row>
    <row r="51" spans="1:17" s="1" customFormat="1" ht="39.75" customHeight="1" thickBot="1">
      <c r="A51" s="121" t="s">
        <v>86</v>
      </c>
      <c r="B51" s="122"/>
      <c r="C51" s="122"/>
      <c r="D51" s="357" t="s">
        <v>87</v>
      </c>
      <c r="E51" s="358"/>
      <c r="F51" s="122">
        <v>40</v>
      </c>
      <c r="G51" s="123"/>
      <c r="H51" s="89"/>
      <c r="I51" s="90"/>
      <c r="J51" s="90"/>
      <c r="K51" s="90"/>
      <c r="L51" s="90">
        <v>0</v>
      </c>
      <c r="M51" s="91" t="str">
        <f t="shared" si="1"/>
        <v>0</v>
      </c>
      <c r="N51" s="124"/>
      <c r="O51" s="125"/>
      <c r="P51" s="92" t="str">
        <f t="shared" ref="P51:P71" si="12">IF(H51=0,"0",N51/H51)</f>
        <v>0</v>
      </c>
      <c r="Q51" s="126">
        <v>0</v>
      </c>
    </row>
    <row r="52" spans="1:17" s="1" customFormat="1" ht="18">
      <c r="A52" s="359"/>
      <c r="B52" s="366"/>
      <c r="C52" s="31" t="s">
        <v>31</v>
      </c>
      <c r="D52" s="353" t="s">
        <v>88</v>
      </c>
      <c r="E52" s="354"/>
      <c r="F52" s="31">
        <v>41</v>
      </c>
      <c r="G52" s="94"/>
      <c r="H52" s="34"/>
      <c r="I52" s="35"/>
      <c r="J52" s="35"/>
      <c r="K52" s="35"/>
      <c r="L52" s="35"/>
      <c r="M52" s="71" t="str">
        <f t="shared" si="1"/>
        <v>0</v>
      </c>
      <c r="N52" s="33"/>
      <c r="O52" s="37"/>
      <c r="P52" s="38" t="str">
        <f t="shared" si="12"/>
        <v>0</v>
      </c>
      <c r="Q52" s="39" t="str">
        <f>IF(N52=0,"",O52/N52)</f>
        <v/>
      </c>
    </row>
    <row r="53" spans="1:17" s="1" customFormat="1" ht="18">
      <c r="A53" s="364"/>
      <c r="B53" s="348"/>
      <c r="C53" s="56" t="s">
        <v>33</v>
      </c>
      <c r="D53" s="368" t="s">
        <v>89</v>
      </c>
      <c r="E53" s="369"/>
      <c r="F53" s="56">
        <v>42</v>
      </c>
      <c r="G53" s="97"/>
      <c r="H53" s="58"/>
      <c r="I53" s="59"/>
      <c r="J53" s="59"/>
      <c r="K53" s="59"/>
      <c r="L53" s="59"/>
      <c r="M53" s="41" t="str">
        <f t="shared" si="1"/>
        <v>0</v>
      </c>
      <c r="N53" s="57"/>
      <c r="O53" s="73"/>
      <c r="P53" s="42" t="str">
        <f t="shared" si="12"/>
        <v>0</v>
      </c>
      <c r="Q53" s="74">
        <v>5.7</v>
      </c>
    </row>
    <row r="54" spans="1:17" s="1" customFormat="1" ht="18">
      <c r="A54" s="364"/>
      <c r="B54" s="348"/>
      <c r="C54" s="56" t="s">
        <v>81</v>
      </c>
      <c r="D54" s="368" t="s">
        <v>90</v>
      </c>
      <c r="E54" s="369"/>
      <c r="F54" s="56">
        <v>43</v>
      </c>
      <c r="G54" s="97"/>
      <c r="H54" s="58"/>
      <c r="I54" s="59"/>
      <c r="J54" s="59"/>
      <c r="K54" s="59"/>
      <c r="L54" s="59"/>
      <c r="M54" s="41" t="str">
        <f t="shared" si="1"/>
        <v>0</v>
      </c>
      <c r="N54" s="57"/>
      <c r="O54" s="73"/>
      <c r="P54" s="42" t="str">
        <f t="shared" si="12"/>
        <v>0</v>
      </c>
      <c r="Q54" s="74" t="str">
        <f>IF(N54=0,"",O54/N54)</f>
        <v/>
      </c>
    </row>
    <row r="55" spans="1:17" s="1" customFormat="1" ht="18">
      <c r="A55" s="364"/>
      <c r="B55" s="348"/>
      <c r="C55" s="56" t="s">
        <v>91</v>
      </c>
      <c r="D55" s="368" t="s">
        <v>92</v>
      </c>
      <c r="E55" s="369"/>
      <c r="F55" s="56">
        <v>44</v>
      </c>
      <c r="G55" s="97"/>
      <c r="H55" s="58"/>
      <c r="I55" s="59"/>
      <c r="J55" s="59"/>
      <c r="K55" s="59"/>
      <c r="L55" s="59"/>
      <c r="M55" s="41" t="str">
        <f t="shared" si="1"/>
        <v>0</v>
      </c>
      <c r="N55" s="57"/>
      <c r="O55" s="73"/>
      <c r="P55" s="42" t="str">
        <f t="shared" si="12"/>
        <v>0</v>
      </c>
      <c r="Q55" s="74" t="str">
        <f>IF(N55=0,"",O55/N55)</f>
        <v/>
      </c>
    </row>
    <row r="56" spans="1:17" s="1" customFormat="1" ht="18.75" thickBot="1">
      <c r="A56" s="365"/>
      <c r="B56" s="367"/>
      <c r="C56" s="43" t="s">
        <v>93</v>
      </c>
      <c r="D56" s="370" t="s">
        <v>94</v>
      </c>
      <c r="E56" s="371"/>
      <c r="F56" s="43">
        <v>45</v>
      </c>
      <c r="G56" s="100">
        <f>'[2] Bis.1'!G50+'liv1'!G51</f>
        <v>0</v>
      </c>
      <c r="H56" s="45"/>
      <c r="I56" s="46"/>
      <c r="J56" s="46"/>
      <c r="K56" s="46"/>
      <c r="L56" s="46"/>
      <c r="M56" s="47" t="str">
        <f t="shared" si="1"/>
        <v>0</v>
      </c>
      <c r="N56" s="44"/>
      <c r="O56" s="75"/>
      <c r="P56" s="50" t="str">
        <f t="shared" si="12"/>
        <v>0</v>
      </c>
      <c r="Q56" s="76" t="str">
        <f>IF(N56=0,"",O56/N56)</f>
        <v/>
      </c>
    </row>
    <row r="57" spans="1:17" s="1" customFormat="1" ht="18.75" thickBot="1">
      <c r="A57" s="127" t="s">
        <v>95</v>
      </c>
      <c r="B57" s="128"/>
      <c r="C57" s="128"/>
      <c r="D57" s="351" t="s">
        <v>96</v>
      </c>
      <c r="E57" s="352"/>
      <c r="F57" s="128">
        <v>46</v>
      </c>
      <c r="G57" s="129">
        <f>'liv4'!F13</f>
        <v>2.77</v>
      </c>
      <c r="H57" s="23">
        <f>'liv4'!G13</f>
        <v>233.85300000000001</v>
      </c>
      <c r="I57" s="24"/>
      <c r="J57" s="24"/>
      <c r="K57" s="24"/>
      <c r="L57" s="24"/>
      <c r="M57" s="65">
        <f t="shared" si="1"/>
        <v>84.423465703971118</v>
      </c>
      <c r="N57" s="130">
        <f>'liv4'!L13</f>
        <v>180</v>
      </c>
      <c r="O57" s="131">
        <f>'liv4'!M13</f>
        <v>180</v>
      </c>
      <c r="P57" s="67">
        <f t="shared" si="12"/>
        <v>0.76971430770612304</v>
      </c>
      <c r="Q57" s="132">
        <v>3</v>
      </c>
    </row>
    <row r="58" spans="1:17" s="1" customFormat="1" ht="18">
      <c r="A58" s="30"/>
      <c r="B58" s="31">
        <v>1</v>
      </c>
      <c r="C58" s="31"/>
      <c r="D58" s="353" t="s">
        <v>97</v>
      </c>
      <c r="E58" s="354"/>
      <c r="F58" s="31">
        <v>47</v>
      </c>
      <c r="G58" s="94">
        <f>'liv4'!F18</f>
        <v>0</v>
      </c>
      <c r="H58" s="34">
        <v>0</v>
      </c>
      <c r="I58" s="35"/>
      <c r="J58" s="35"/>
      <c r="K58" s="35"/>
      <c r="L58" s="35"/>
      <c r="M58" s="71" t="str">
        <f t="shared" si="1"/>
        <v>0</v>
      </c>
      <c r="N58" s="33">
        <f>'liv4'!L18</f>
        <v>0</v>
      </c>
      <c r="O58" s="37">
        <f>'liv4'!M18</f>
        <v>0</v>
      </c>
      <c r="P58" s="38" t="str">
        <f t="shared" si="12"/>
        <v>0</v>
      </c>
      <c r="Q58" s="39" t="str">
        <f>IF(N58=0,"",O58/N58)</f>
        <v/>
      </c>
    </row>
    <row r="59" spans="1:17" s="1" customFormat="1" ht="36" customHeight="1" thickBot="1">
      <c r="A59" s="99"/>
      <c r="B59" s="43"/>
      <c r="C59" s="43"/>
      <c r="D59" s="60"/>
      <c r="E59" s="133" t="s">
        <v>98</v>
      </c>
      <c r="F59" s="43">
        <v>48</v>
      </c>
      <c r="G59" s="100"/>
      <c r="H59" s="45"/>
      <c r="I59" s="46"/>
      <c r="J59" s="46"/>
      <c r="K59" s="46"/>
      <c r="L59" s="46"/>
      <c r="M59" s="47" t="str">
        <f t="shared" si="1"/>
        <v>0</v>
      </c>
      <c r="N59" s="44"/>
      <c r="O59" s="75"/>
      <c r="P59" s="50" t="str">
        <f t="shared" si="12"/>
        <v>0</v>
      </c>
      <c r="Q59" s="76">
        <v>53.94</v>
      </c>
    </row>
    <row r="60" spans="1:17" s="1" customFormat="1" ht="18">
      <c r="A60" s="114" t="s">
        <v>99</v>
      </c>
      <c r="B60" s="115"/>
      <c r="C60" s="115"/>
      <c r="D60" s="355" t="s">
        <v>100</v>
      </c>
      <c r="E60" s="356"/>
      <c r="F60" s="115">
        <v>49</v>
      </c>
      <c r="G60" s="116">
        <f>'liv4'!F25</f>
        <v>2.77</v>
      </c>
      <c r="H60" s="117">
        <f>'liv4'!G25</f>
        <v>233.852</v>
      </c>
      <c r="I60" s="83"/>
      <c r="J60" s="83"/>
      <c r="K60" s="83"/>
      <c r="L60" s="83"/>
      <c r="M60" s="81">
        <f t="shared" si="1"/>
        <v>84.4231046931408</v>
      </c>
      <c r="N60" s="118">
        <f>'liv4'!L25</f>
        <v>235</v>
      </c>
      <c r="O60" s="119">
        <f>'liv4'!M25</f>
        <v>180</v>
      </c>
      <c r="P60" s="84">
        <f t="shared" si="12"/>
        <v>1.0049090877991207</v>
      </c>
      <c r="Q60" s="120">
        <v>9.6</v>
      </c>
    </row>
    <row r="61" spans="1:17" s="1" customFormat="1" ht="18.75" thickBot="1">
      <c r="A61" s="121" t="s">
        <v>101</v>
      </c>
      <c r="B61" s="122"/>
      <c r="C61" s="122"/>
      <c r="D61" s="357" t="s">
        <v>102</v>
      </c>
      <c r="E61" s="358"/>
      <c r="F61" s="122"/>
      <c r="G61" s="123"/>
      <c r="H61" s="89"/>
      <c r="I61" s="90"/>
      <c r="J61" s="90"/>
      <c r="K61" s="90"/>
      <c r="L61" s="90"/>
      <c r="M61" s="91" t="str">
        <f t="shared" si="1"/>
        <v>0</v>
      </c>
      <c r="N61" s="124"/>
      <c r="O61" s="125"/>
      <c r="P61" s="92" t="str">
        <f t="shared" si="12"/>
        <v>0</v>
      </c>
      <c r="Q61" s="126">
        <v>9.6</v>
      </c>
    </row>
    <row r="62" spans="1:17" s="1" customFormat="1" ht="21.75" customHeight="1">
      <c r="A62" s="359"/>
      <c r="B62" s="31">
        <v>1</v>
      </c>
      <c r="C62" s="31"/>
      <c r="D62" s="362" t="s">
        <v>103</v>
      </c>
      <c r="E62" s="363"/>
      <c r="F62" s="31">
        <v>50</v>
      </c>
      <c r="G62" s="134">
        <v>10</v>
      </c>
      <c r="H62" s="135">
        <v>9</v>
      </c>
      <c r="I62" s="136">
        <v>11</v>
      </c>
      <c r="J62" s="136">
        <v>11</v>
      </c>
      <c r="K62" s="136">
        <v>9</v>
      </c>
      <c r="L62" s="136">
        <v>10</v>
      </c>
      <c r="M62" s="71">
        <f t="shared" si="1"/>
        <v>0.9</v>
      </c>
      <c r="N62" s="33">
        <v>11</v>
      </c>
      <c r="O62" s="37">
        <v>11</v>
      </c>
      <c r="P62" s="38">
        <f t="shared" si="12"/>
        <v>1.2222222222222223</v>
      </c>
      <c r="Q62" s="39">
        <f>IF(N62=0,"",O62/N62)</f>
        <v>1</v>
      </c>
    </row>
    <row r="63" spans="1:17" s="1" customFormat="1" ht="21" customHeight="1">
      <c r="A63" s="360"/>
      <c r="B63" s="56">
        <v>2</v>
      </c>
      <c r="C63" s="56"/>
      <c r="D63" s="347" t="s">
        <v>104</v>
      </c>
      <c r="E63" s="348"/>
      <c r="F63" s="56">
        <v>51</v>
      </c>
      <c r="G63" s="137">
        <v>10</v>
      </c>
      <c r="H63" s="138">
        <v>9</v>
      </c>
      <c r="I63" s="139">
        <v>11</v>
      </c>
      <c r="J63" s="139">
        <v>11</v>
      </c>
      <c r="K63" s="139">
        <v>9</v>
      </c>
      <c r="L63" s="139">
        <v>10</v>
      </c>
      <c r="M63" s="41">
        <f t="shared" si="1"/>
        <v>0.9</v>
      </c>
      <c r="N63" s="57">
        <v>11</v>
      </c>
      <c r="O63" s="73">
        <v>11</v>
      </c>
      <c r="P63" s="42">
        <f t="shared" si="12"/>
        <v>1.2222222222222223</v>
      </c>
      <c r="Q63" s="74">
        <v>0.5</v>
      </c>
    </row>
    <row r="64" spans="1:17" s="1" customFormat="1" ht="36" customHeight="1">
      <c r="A64" s="360"/>
      <c r="B64" s="56">
        <v>3</v>
      </c>
      <c r="C64" s="56"/>
      <c r="D64" s="347" t="s">
        <v>105</v>
      </c>
      <c r="E64" s="348"/>
      <c r="F64" s="56">
        <v>52</v>
      </c>
      <c r="G64" s="97">
        <f>(G22/G63)/12*1000</f>
        <v>8985.4833333333336</v>
      </c>
      <c r="H64" s="106">
        <f>(H22/H63)/12*1000</f>
        <v>9868.1759259259252</v>
      </c>
      <c r="I64" s="97">
        <f>(I22/I63)/3*1000</f>
        <v>8022.4242424242411</v>
      </c>
      <c r="J64" s="97">
        <f>(J22/J63)/6*1000</f>
        <v>8618.1515151515159</v>
      </c>
      <c r="K64" s="97">
        <f>(K22/K63)/9*1000</f>
        <v>10060.432098765434</v>
      </c>
      <c r="L64" s="97">
        <f>(L22/L63)/12*1000</f>
        <v>8985.4833333333336</v>
      </c>
      <c r="M64" s="41">
        <f t="shared" si="1"/>
        <v>1.0982354048021077</v>
      </c>
      <c r="N64" s="97">
        <f>(N22/N63)/12*1000</f>
        <v>8073.962121212121</v>
      </c>
      <c r="O64" s="97">
        <f>(O22/O63)/12*1000</f>
        <v>8073.962121212121</v>
      </c>
      <c r="P64" s="42">
        <f t="shared" si="12"/>
        <v>0.81818181818181823</v>
      </c>
      <c r="Q64" s="74">
        <v>0</v>
      </c>
    </row>
    <row r="65" spans="1:17" s="1" customFormat="1" ht="56.25" customHeight="1">
      <c r="A65" s="360"/>
      <c r="B65" s="56">
        <v>4</v>
      </c>
      <c r="C65" s="56"/>
      <c r="D65" s="347" t="s">
        <v>106</v>
      </c>
      <c r="E65" s="348"/>
      <c r="F65" s="56">
        <v>53</v>
      </c>
      <c r="G65" s="97">
        <f>(G22/G63)/12*1000</f>
        <v>8985.4833333333336</v>
      </c>
      <c r="H65" s="106">
        <f>(H22/H63)/12*1000</f>
        <v>9868.1759259259252</v>
      </c>
      <c r="I65" s="97">
        <f>(I22/I63)/3*1000</f>
        <v>8022.4242424242411</v>
      </c>
      <c r="J65" s="97">
        <f>(J22/J63)/6*1000</f>
        <v>8618.1515151515159</v>
      </c>
      <c r="K65" s="97">
        <f>(K22/K63)/9*1000</f>
        <v>10060.432098765434</v>
      </c>
      <c r="L65" s="97">
        <f>(L22/L63)/12*1000</f>
        <v>8985.4833333333336</v>
      </c>
      <c r="M65" s="41">
        <f t="shared" si="1"/>
        <v>1.0982354048021077</v>
      </c>
      <c r="N65" s="97">
        <f>(N22/N63)/12*1000</f>
        <v>8073.962121212121</v>
      </c>
      <c r="O65" s="97">
        <f>(O22/O63)/12*1000</f>
        <v>8073.962121212121</v>
      </c>
      <c r="P65" s="42">
        <f t="shared" si="12"/>
        <v>0.81818181818181823</v>
      </c>
      <c r="Q65" s="74">
        <v>0</v>
      </c>
    </row>
    <row r="66" spans="1:17" s="1" customFormat="1" ht="38.25" customHeight="1">
      <c r="A66" s="360"/>
      <c r="B66" s="56">
        <v>5</v>
      </c>
      <c r="C66" s="56"/>
      <c r="D66" s="347" t="s">
        <v>107</v>
      </c>
      <c r="E66" s="348"/>
      <c r="F66" s="56">
        <v>54</v>
      </c>
      <c r="G66" s="97">
        <f t="shared" ref="G66:L66" si="13">G13/G63</f>
        <v>249.98949999999999</v>
      </c>
      <c r="H66" s="106">
        <f t="shared" si="13"/>
        <v>306.12799999999999</v>
      </c>
      <c r="I66" s="97">
        <f t="shared" si="13"/>
        <v>0</v>
      </c>
      <c r="J66" s="97">
        <f t="shared" si="13"/>
        <v>5.3181818181818177E-2</v>
      </c>
      <c r="K66" s="97">
        <f t="shared" si="13"/>
        <v>0</v>
      </c>
      <c r="L66" s="97">
        <f t="shared" si="13"/>
        <v>6.9619</v>
      </c>
      <c r="M66" s="41">
        <f t="shared" si="1"/>
        <v>1.2245634316641298</v>
      </c>
      <c r="N66" s="97"/>
      <c r="O66" s="140"/>
      <c r="P66" s="42">
        <f t="shared" si="12"/>
        <v>0</v>
      </c>
      <c r="Q66" s="141">
        <v>0</v>
      </c>
    </row>
    <row r="67" spans="1:17" s="1" customFormat="1" ht="36" customHeight="1">
      <c r="A67" s="360"/>
      <c r="B67" s="56">
        <v>6</v>
      </c>
      <c r="C67" s="56"/>
      <c r="D67" s="346" t="s">
        <v>108</v>
      </c>
      <c r="E67" s="346"/>
      <c r="F67" s="56">
        <v>55</v>
      </c>
      <c r="G67" s="97"/>
      <c r="H67" s="58"/>
      <c r="I67" s="59"/>
      <c r="J67" s="59"/>
      <c r="K67" s="59"/>
      <c r="L67" s="59"/>
      <c r="M67" s="41" t="str">
        <f t="shared" si="1"/>
        <v>0</v>
      </c>
      <c r="N67" s="57"/>
      <c r="O67" s="73"/>
      <c r="P67" s="42" t="str">
        <f t="shared" si="12"/>
        <v>0</v>
      </c>
      <c r="Q67" s="74">
        <v>0</v>
      </c>
    </row>
    <row r="68" spans="1:17" s="1" customFormat="1" ht="38.25" customHeight="1">
      <c r="A68" s="360"/>
      <c r="B68" s="56">
        <v>7</v>
      </c>
      <c r="C68" s="56"/>
      <c r="D68" s="347" t="s">
        <v>109</v>
      </c>
      <c r="E68" s="348"/>
      <c r="F68" s="56">
        <v>56</v>
      </c>
      <c r="G68" s="97"/>
      <c r="H68" s="58"/>
      <c r="I68" s="59"/>
      <c r="J68" s="59"/>
      <c r="K68" s="59"/>
      <c r="L68" s="59"/>
      <c r="M68" s="41" t="str">
        <f t="shared" si="1"/>
        <v>0</v>
      </c>
      <c r="N68" s="57"/>
      <c r="O68" s="73"/>
      <c r="P68" s="42" t="str">
        <f t="shared" si="12"/>
        <v>0</v>
      </c>
      <c r="Q68" s="74">
        <v>0</v>
      </c>
    </row>
    <row r="69" spans="1:17" s="1" customFormat="1" ht="35.25" customHeight="1">
      <c r="A69" s="360"/>
      <c r="B69" s="56">
        <v>8</v>
      </c>
      <c r="C69" s="56"/>
      <c r="D69" s="347" t="s">
        <v>110</v>
      </c>
      <c r="E69" s="348"/>
      <c r="F69" s="56">
        <v>57</v>
      </c>
      <c r="G69" s="97">
        <f t="shared" ref="G69:L69" si="14">(G17/G12)*1000</f>
        <v>936.96815266241185</v>
      </c>
      <c r="H69" s="106">
        <f t="shared" si="14"/>
        <v>942.66982741611628</v>
      </c>
      <c r="I69" s="97" t="e">
        <f t="shared" si="14"/>
        <v>#DIV/0!</v>
      </c>
      <c r="J69" s="97">
        <f t="shared" si="14"/>
        <v>2885490.7563025211</v>
      </c>
      <c r="K69" s="97" t="e">
        <f t="shared" si="14"/>
        <v>#DIV/0!</v>
      </c>
      <c r="L69" s="97">
        <f t="shared" si="14"/>
        <v>33647.538746606522</v>
      </c>
      <c r="M69" s="41">
        <f t="shared" si="1"/>
        <v>1.0060852385830863</v>
      </c>
      <c r="N69" s="97">
        <f>(N17/N12)*1000</f>
        <v>882.0950023792667</v>
      </c>
      <c r="O69" s="97">
        <f>(O17/O12)*1000</f>
        <v>882.0950023792667</v>
      </c>
      <c r="P69" s="42">
        <f t="shared" si="12"/>
        <v>0.93574120728687493</v>
      </c>
      <c r="Q69" s="141"/>
    </row>
    <row r="70" spans="1:17" s="1" customFormat="1" ht="22.5" customHeight="1">
      <c r="A70" s="360"/>
      <c r="B70" s="56">
        <v>9</v>
      </c>
      <c r="C70" s="56"/>
      <c r="D70" s="347" t="s">
        <v>111</v>
      </c>
      <c r="E70" s="348"/>
      <c r="F70" s="56">
        <v>58</v>
      </c>
      <c r="G70" s="97"/>
      <c r="H70" s="58"/>
      <c r="I70" s="59"/>
      <c r="J70" s="59"/>
      <c r="K70" s="59"/>
      <c r="L70" s="59"/>
      <c r="M70" s="41" t="str">
        <f t="shared" si="1"/>
        <v>0</v>
      </c>
      <c r="N70" s="57"/>
      <c r="O70" s="73"/>
      <c r="P70" s="42" t="str">
        <f t="shared" si="12"/>
        <v>0</v>
      </c>
      <c r="Q70" s="74" t="str">
        <f>IF(N70=0,"",O70/N70)</f>
        <v/>
      </c>
    </row>
    <row r="71" spans="1:17" s="1" customFormat="1" ht="21" customHeight="1" thickBot="1">
      <c r="A71" s="361"/>
      <c r="B71" s="122">
        <v>10</v>
      </c>
      <c r="C71" s="122"/>
      <c r="D71" s="349" t="s">
        <v>112</v>
      </c>
      <c r="E71" s="350"/>
      <c r="F71" s="122">
        <v>59</v>
      </c>
      <c r="G71" s="123"/>
      <c r="H71" s="89"/>
      <c r="I71" s="90"/>
      <c r="J71" s="90"/>
      <c r="K71" s="90"/>
      <c r="L71" s="90"/>
      <c r="M71" s="91" t="str">
        <f t="shared" si="1"/>
        <v>0</v>
      </c>
      <c r="N71" s="124"/>
      <c r="O71" s="125"/>
      <c r="P71" s="92" t="str">
        <f t="shared" si="12"/>
        <v>0</v>
      </c>
      <c r="Q71" s="126" t="str">
        <f>IF(N71=0,"",O71/N71)</f>
        <v/>
      </c>
    </row>
    <row r="72" spans="1:17" ht="20.100000000000001" customHeight="1">
      <c r="A72" s="344" t="s">
        <v>113</v>
      </c>
      <c r="B72" s="344"/>
      <c r="C72" s="344"/>
      <c r="D72" s="344"/>
      <c r="E72" s="344"/>
      <c r="F72" s="143" t="s">
        <v>114</v>
      </c>
      <c r="G72" s="143"/>
      <c r="H72" s="143"/>
      <c r="I72" s="143"/>
      <c r="J72" s="143"/>
      <c r="K72" s="143"/>
      <c r="L72" s="143"/>
      <c r="M72" s="143"/>
      <c r="N72" s="143"/>
      <c r="O72" s="143"/>
      <c r="P72" s="142"/>
      <c r="Q72" s="144"/>
    </row>
    <row r="73" spans="1:17" ht="20.100000000000001" customHeight="1">
      <c r="A73" s="344" t="s">
        <v>115</v>
      </c>
      <c r="B73" s="344"/>
      <c r="C73" s="344"/>
      <c r="D73" s="344"/>
      <c r="E73" s="344"/>
      <c r="F73" s="344" t="s">
        <v>116</v>
      </c>
      <c r="G73" s="344"/>
      <c r="H73" s="344"/>
      <c r="I73" s="344"/>
      <c r="J73" s="344"/>
      <c r="K73" s="344"/>
      <c r="L73" s="344"/>
      <c r="M73" s="344"/>
      <c r="N73" s="344"/>
      <c r="O73" s="344"/>
      <c r="P73" s="344"/>
      <c r="Q73" s="344"/>
    </row>
    <row r="74" spans="1:17" ht="20.100000000000001" customHeight="1">
      <c r="A74" s="344" t="s">
        <v>117</v>
      </c>
      <c r="B74" s="344"/>
      <c r="C74" s="344"/>
      <c r="D74" s="344"/>
      <c r="E74" s="344"/>
      <c r="F74" s="345" t="s">
        <v>118</v>
      </c>
      <c r="G74" s="345"/>
      <c r="H74" s="345"/>
      <c r="I74" s="345"/>
      <c r="J74" s="345"/>
      <c r="K74" s="345"/>
      <c r="L74" s="345"/>
      <c r="M74" s="345"/>
      <c r="N74" s="345"/>
      <c r="O74" s="345"/>
      <c r="P74" s="345"/>
      <c r="Q74" s="345"/>
    </row>
    <row r="75" spans="1:17" ht="20.100000000000001" customHeight="1"/>
    <row r="76" spans="1:17" ht="20.100000000000001" customHeight="1"/>
    <row r="77" spans="1:17" ht="20.100000000000001" customHeight="1"/>
    <row r="78" spans="1:17" ht="24" customHeight="1"/>
    <row r="79" spans="1:17" ht="20.100000000000001" customHeight="1"/>
    <row r="80" spans="1:17" ht="20.100000000000001" customHeight="1"/>
    <row r="81" spans="5:16" ht="20.100000000000001" customHeight="1"/>
    <row r="82" spans="5:16" ht="33.75" customHeight="1"/>
    <row r="83" spans="5:16" ht="16.5" customHeight="1"/>
    <row r="84" spans="5:16" ht="16.5" customHeight="1"/>
    <row r="85" spans="5:16" ht="20.25" customHeight="1"/>
    <row r="86" spans="5:16" ht="20.25" customHeight="1"/>
    <row r="87" spans="5:16" s="68" customFormat="1" ht="20.100000000000001" customHeight="1">
      <c r="E87" s="19"/>
      <c r="P87" s="145"/>
    </row>
    <row r="88" spans="5:16" s="68" customFormat="1" ht="20.100000000000001" customHeight="1">
      <c r="E88" s="19"/>
      <c r="P88" s="145"/>
    </row>
    <row r="89" spans="5:16" ht="20.100000000000001" customHeight="1"/>
    <row r="90" spans="5:16" ht="20.100000000000001" customHeight="1"/>
    <row r="91" spans="5:16" ht="20.100000000000001" customHeight="1"/>
    <row r="92" spans="5:16" ht="20.100000000000001" customHeight="1"/>
    <row r="93" spans="5:16" s="68" customFormat="1" ht="20.100000000000001" customHeight="1">
      <c r="E93" s="19"/>
      <c r="P93" s="145"/>
    </row>
    <row r="94" spans="5:16" ht="22.5" customHeight="1"/>
    <row r="100" ht="51.75" customHeight="1"/>
    <row r="101" ht="35.25" customHeight="1"/>
    <row r="121" spans="4:16" s="68" customFormat="1">
      <c r="E121" s="19"/>
      <c r="P121" s="145"/>
    </row>
    <row r="122" spans="4:16">
      <c r="M122" s="146"/>
    </row>
    <row r="124" spans="4:16" s="148" customFormat="1">
      <c r="D124" s="147"/>
      <c r="H124" s="146"/>
      <c r="I124" s="146"/>
      <c r="J124" s="146"/>
      <c r="K124" s="146"/>
      <c r="L124" s="146"/>
      <c r="M124" s="68"/>
      <c r="P124" s="149"/>
    </row>
  </sheetData>
  <mergeCells count="82">
    <mergeCell ref="A7:Q7"/>
    <mergeCell ref="F1:H1"/>
    <mergeCell ref="F2:H2"/>
    <mergeCell ref="F3:H3"/>
    <mergeCell ref="A5:Q5"/>
    <mergeCell ref="A6:Q6"/>
    <mergeCell ref="A8:Q8"/>
    <mergeCell ref="A9:C10"/>
    <mergeCell ref="D9:E10"/>
    <mergeCell ref="F9:F10"/>
    <mergeCell ref="G9:G10"/>
    <mergeCell ref="H9:H10"/>
    <mergeCell ref="I9:L9"/>
    <mergeCell ref="M9:M10"/>
    <mergeCell ref="N9:N10"/>
    <mergeCell ref="O9:O10"/>
    <mergeCell ref="P9:Q9"/>
    <mergeCell ref="B11:C11"/>
    <mergeCell ref="D11:E11"/>
    <mergeCell ref="D12:E12"/>
    <mergeCell ref="A13:A16"/>
    <mergeCell ref="D13:E13"/>
    <mergeCell ref="D16:E16"/>
    <mergeCell ref="D36:E36"/>
    <mergeCell ref="D17:E17"/>
    <mergeCell ref="A18:A30"/>
    <mergeCell ref="D18:E18"/>
    <mergeCell ref="B19:B29"/>
    <mergeCell ref="D19:E19"/>
    <mergeCell ref="D20:E20"/>
    <mergeCell ref="D21:E21"/>
    <mergeCell ref="C23:C28"/>
    <mergeCell ref="D29:E29"/>
    <mergeCell ref="D30:E30"/>
    <mergeCell ref="D31:E31"/>
    <mergeCell ref="D32:E32"/>
    <mergeCell ref="D33:E33"/>
    <mergeCell ref="D34:E34"/>
    <mergeCell ref="D35:E35"/>
    <mergeCell ref="D51:E51"/>
    <mergeCell ref="D37:E37"/>
    <mergeCell ref="A38:A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A52:A56"/>
    <mergeCell ref="B52:B56"/>
    <mergeCell ref="D52:E52"/>
    <mergeCell ref="D53:E53"/>
    <mergeCell ref="D54:E54"/>
    <mergeCell ref="D55:E55"/>
    <mergeCell ref="D56:E56"/>
    <mergeCell ref="D57:E57"/>
    <mergeCell ref="D58:E58"/>
    <mergeCell ref="D60:E60"/>
    <mergeCell ref="D61:E61"/>
    <mergeCell ref="A62:A71"/>
    <mergeCell ref="D62:E62"/>
    <mergeCell ref="D63:E63"/>
    <mergeCell ref="D64:E64"/>
    <mergeCell ref="D65:E65"/>
    <mergeCell ref="D66:E66"/>
    <mergeCell ref="A73:E73"/>
    <mergeCell ref="F73:Q73"/>
    <mergeCell ref="A74:E74"/>
    <mergeCell ref="F74:Q74"/>
    <mergeCell ref="D67:E67"/>
    <mergeCell ref="D68:E68"/>
    <mergeCell ref="D69:E69"/>
    <mergeCell ref="D70:E70"/>
    <mergeCell ref="D71:E71"/>
    <mergeCell ref="A72:E72"/>
  </mergeCells>
  <printOptions horizontalCentered="1" verticalCentered="1"/>
  <pageMargins left="0.25" right="0.25" top="0.75" bottom="0.75" header="0.3" footer="0.3"/>
  <pageSetup paperSize="9" scale="60" orientation="landscape" r:id="rId1"/>
  <headerFooter alignWithMargins="0">
    <oddFooter>Pagina &amp;P</oddFooter>
  </headerFooter>
  <rowBreaks count="2" manualBreakCount="2">
    <brk id="30" max="12" man="1"/>
    <brk id="48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Y193"/>
  <sheetViews>
    <sheetView view="pageBreakPreview" topLeftCell="C4" zoomScaleSheetLayoutView="100" workbookViewId="0">
      <pane ySplit="10" topLeftCell="A160" activePane="bottomLeft" state="frozen"/>
      <selection activeCell="H64" sqref="H64"/>
      <selection pane="bottomLeft" activeCell="C156" sqref="A156:XFD159"/>
    </sheetView>
  </sheetViews>
  <sheetFormatPr defaultRowHeight="18"/>
  <cols>
    <col min="1" max="1" width="4.7109375" style="153" customWidth="1"/>
    <col min="2" max="2" width="6.85546875" style="153" customWidth="1"/>
    <col min="3" max="3" width="6.5703125" style="153" customWidth="1"/>
    <col min="4" max="4" width="7.28515625" style="153" customWidth="1"/>
    <col min="5" max="5" width="79.5703125" style="289" customWidth="1"/>
    <col min="6" max="6" width="6.28515625" style="153" customWidth="1"/>
    <col min="7" max="7" width="12.85546875" style="287" customWidth="1"/>
    <col min="8" max="8" width="12.5703125" style="153" customWidth="1"/>
    <col min="9" max="9" width="16.5703125" style="215" customWidth="1"/>
    <col min="10" max="10" width="14.7109375" style="153" customWidth="1"/>
    <col min="11" max="11" width="11.85546875" style="155" customWidth="1"/>
    <col min="12" max="12" width="12.28515625" style="155" hidden="1" customWidth="1"/>
    <col min="13" max="13" width="11.5703125" style="155" customWidth="1"/>
    <col min="14" max="14" width="15" style="155" hidden="1" customWidth="1"/>
    <col min="15" max="15" width="12.7109375" style="155" customWidth="1"/>
    <col min="16" max="16" width="12.7109375" style="153" hidden="1" customWidth="1"/>
    <col min="17" max="17" width="16.140625" style="153" customWidth="1"/>
    <col min="18" max="18" width="15.140625" style="153" hidden="1" customWidth="1"/>
    <col min="19" max="19" width="11.140625" style="153" customWidth="1"/>
    <col min="20" max="20" width="12.28515625" style="153" customWidth="1"/>
    <col min="21" max="21" width="0" style="153" hidden="1" customWidth="1"/>
    <col min="22" max="22" width="15.5703125" style="153" hidden="1" customWidth="1"/>
    <col min="23" max="23" width="0" style="153" hidden="1" customWidth="1"/>
    <col min="24" max="24" width="15.7109375" style="153" hidden="1" customWidth="1"/>
    <col min="25" max="256" width="9.140625" style="153"/>
    <col min="257" max="257" width="4.7109375" style="153" customWidth="1"/>
    <col min="258" max="258" width="6.85546875" style="153" customWidth="1"/>
    <col min="259" max="259" width="6.5703125" style="153" customWidth="1"/>
    <col min="260" max="260" width="7.28515625" style="153" customWidth="1"/>
    <col min="261" max="261" width="79.5703125" style="153" customWidth="1"/>
    <col min="262" max="262" width="6.28515625" style="153" customWidth="1"/>
    <col min="263" max="264" width="0" style="153" hidden="1" customWidth="1"/>
    <col min="265" max="265" width="16.5703125" style="153" customWidth="1"/>
    <col min="266" max="266" width="14.7109375" style="153" customWidth="1"/>
    <col min="267" max="272" width="0" style="153" hidden="1" customWidth="1"/>
    <col min="273" max="273" width="16.140625" style="153" customWidth="1"/>
    <col min="274" max="276" width="0" style="153" hidden="1" customWidth="1"/>
    <col min="277" max="279" width="9.140625" style="153"/>
    <col min="280" max="280" width="15.7109375" style="153" customWidth="1"/>
    <col min="281" max="512" width="9.140625" style="153"/>
    <col min="513" max="513" width="4.7109375" style="153" customWidth="1"/>
    <col min="514" max="514" width="6.85546875" style="153" customWidth="1"/>
    <col min="515" max="515" width="6.5703125" style="153" customWidth="1"/>
    <col min="516" max="516" width="7.28515625" style="153" customWidth="1"/>
    <col min="517" max="517" width="79.5703125" style="153" customWidth="1"/>
    <col min="518" max="518" width="6.28515625" style="153" customWidth="1"/>
    <col min="519" max="520" width="0" style="153" hidden="1" customWidth="1"/>
    <col min="521" max="521" width="16.5703125" style="153" customWidth="1"/>
    <col min="522" max="522" width="14.7109375" style="153" customWidth="1"/>
    <col min="523" max="528" width="0" style="153" hidden="1" customWidth="1"/>
    <col min="529" max="529" width="16.140625" style="153" customWidth="1"/>
    <col min="530" max="532" width="0" style="153" hidden="1" customWidth="1"/>
    <col min="533" max="535" width="9.140625" style="153"/>
    <col min="536" max="536" width="15.7109375" style="153" customWidth="1"/>
    <col min="537" max="768" width="9.140625" style="153"/>
    <col min="769" max="769" width="4.7109375" style="153" customWidth="1"/>
    <col min="770" max="770" width="6.85546875" style="153" customWidth="1"/>
    <col min="771" max="771" width="6.5703125" style="153" customWidth="1"/>
    <col min="772" max="772" width="7.28515625" style="153" customWidth="1"/>
    <col min="773" max="773" width="79.5703125" style="153" customWidth="1"/>
    <col min="774" max="774" width="6.28515625" style="153" customWidth="1"/>
    <col min="775" max="776" width="0" style="153" hidden="1" customWidth="1"/>
    <col min="777" max="777" width="16.5703125" style="153" customWidth="1"/>
    <col min="778" max="778" width="14.7109375" style="153" customWidth="1"/>
    <col min="779" max="784" width="0" style="153" hidden="1" customWidth="1"/>
    <col min="785" max="785" width="16.140625" style="153" customWidth="1"/>
    <col min="786" max="788" width="0" style="153" hidden="1" customWidth="1"/>
    <col min="789" max="791" width="9.140625" style="153"/>
    <col min="792" max="792" width="15.7109375" style="153" customWidth="1"/>
    <col min="793" max="1024" width="9.140625" style="153"/>
    <col min="1025" max="1025" width="4.7109375" style="153" customWidth="1"/>
    <col min="1026" max="1026" width="6.85546875" style="153" customWidth="1"/>
    <col min="1027" max="1027" width="6.5703125" style="153" customWidth="1"/>
    <col min="1028" max="1028" width="7.28515625" style="153" customWidth="1"/>
    <col min="1029" max="1029" width="79.5703125" style="153" customWidth="1"/>
    <col min="1030" max="1030" width="6.28515625" style="153" customWidth="1"/>
    <col min="1031" max="1032" width="0" style="153" hidden="1" customWidth="1"/>
    <col min="1033" max="1033" width="16.5703125" style="153" customWidth="1"/>
    <col min="1034" max="1034" width="14.7109375" style="153" customWidth="1"/>
    <col min="1035" max="1040" width="0" style="153" hidden="1" customWidth="1"/>
    <col min="1041" max="1041" width="16.140625" style="153" customWidth="1"/>
    <col min="1042" max="1044" width="0" style="153" hidden="1" customWidth="1"/>
    <col min="1045" max="1047" width="9.140625" style="153"/>
    <col min="1048" max="1048" width="15.7109375" style="153" customWidth="1"/>
    <col min="1049" max="1280" width="9.140625" style="153"/>
    <col min="1281" max="1281" width="4.7109375" style="153" customWidth="1"/>
    <col min="1282" max="1282" width="6.85546875" style="153" customWidth="1"/>
    <col min="1283" max="1283" width="6.5703125" style="153" customWidth="1"/>
    <col min="1284" max="1284" width="7.28515625" style="153" customWidth="1"/>
    <col min="1285" max="1285" width="79.5703125" style="153" customWidth="1"/>
    <col min="1286" max="1286" width="6.28515625" style="153" customWidth="1"/>
    <col min="1287" max="1288" width="0" style="153" hidden="1" customWidth="1"/>
    <col min="1289" max="1289" width="16.5703125" style="153" customWidth="1"/>
    <col min="1290" max="1290" width="14.7109375" style="153" customWidth="1"/>
    <col min="1291" max="1296" width="0" style="153" hidden="1" customWidth="1"/>
    <col min="1297" max="1297" width="16.140625" style="153" customWidth="1"/>
    <col min="1298" max="1300" width="0" style="153" hidden="1" customWidth="1"/>
    <col min="1301" max="1303" width="9.140625" style="153"/>
    <col min="1304" max="1304" width="15.7109375" style="153" customWidth="1"/>
    <col min="1305" max="1536" width="9.140625" style="153"/>
    <col min="1537" max="1537" width="4.7109375" style="153" customWidth="1"/>
    <col min="1538" max="1538" width="6.85546875" style="153" customWidth="1"/>
    <col min="1539" max="1539" width="6.5703125" style="153" customWidth="1"/>
    <col min="1540" max="1540" width="7.28515625" style="153" customWidth="1"/>
    <col min="1541" max="1541" width="79.5703125" style="153" customWidth="1"/>
    <col min="1542" max="1542" width="6.28515625" style="153" customWidth="1"/>
    <col min="1543" max="1544" width="0" style="153" hidden="1" customWidth="1"/>
    <col min="1545" max="1545" width="16.5703125" style="153" customWidth="1"/>
    <col min="1546" max="1546" width="14.7109375" style="153" customWidth="1"/>
    <col min="1547" max="1552" width="0" style="153" hidden="1" customWidth="1"/>
    <col min="1553" max="1553" width="16.140625" style="153" customWidth="1"/>
    <col min="1554" max="1556" width="0" style="153" hidden="1" customWidth="1"/>
    <col min="1557" max="1559" width="9.140625" style="153"/>
    <col min="1560" max="1560" width="15.7109375" style="153" customWidth="1"/>
    <col min="1561" max="1792" width="9.140625" style="153"/>
    <col min="1793" max="1793" width="4.7109375" style="153" customWidth="1"/>
    <col min="1794" max="1794" width="6.85546875" style="153" customWidth="1"/>
    <col min="1795" max="1795" width="6.5703125" style="153" customWidth="1"/>
    <col min="1796" max="1796" width="7.28515625" style="153" customWidth="1"/>
    <col min="1797" max="1797" width="79.5703125" style="153" customWidth="1"/>
    <col min="1798" max="1798" width="6.28515625" style="153" customWidth="1"/>
    <col min="1799" max="1800" width="0" style="153" hidden="1" customWidth="1"/>
    <col min="1801" max="1801" width="16.5703125" style="153" customWidth="1"/>
    <col min="1802" max="1802" width="14.7109375" style="153" customWidth="1"/>
    <col min="1803" max="1808" width="0" style="153" hidden="1" customWidth="1"/>
    <col min="1809" max="1809" width="16.140625" style="153" customWidth="1"/>
    <col min="1810" max="1812" width="0" style="153" hidden="1" customWidth="1"/>
    <col min="1813" max="1815" width="9.140625" style="153"/>
    <col min="1816" max="1816" width="15.7109375" style="153" customWidth="1"/>
    <col min="1817" max="2048" width="9.140625" style="153"/>
    <col min="2049" max="2049" width="4.7109375" style="153" customWidth="1"/>
    <col min="2050" max="2050" width="6.85546875" style="153" customWidth="1"/>
    <col min="2051" max="2051" width="6.5703125" style="153" customWidth="1"/>
    <col min="2052" max="2052" width="7.28515625" style="153" customWidth="1"/>
    <col min="2053" max="2053" width="79.5703125" style="153" customWidth="1"/>
    <col min="2054" max="2054" width="6.28515625" style="153" customWidth="1"/>
    <col min="2055" max="2056" width="0" style="153" hidden="1" customWidth="1"/>
    <col min="2057" max="2057" width="16.5703125" style="153" customWidth="1"/>
    <col min="2058" max="2058" width="14.7109375" style="153" customWidth="1"/>
    <col min="2059" max="2064" width="0" style="153" hidden="1" customWidth="1"/>
    <col min="2065" max="2065" width="16.140625" style="153" customWidth="1"/>
    <col min="2066" max="2068" width="0" style="153" hidden="1" customWidth="1"/>
    <col min="2069" max="2071" width="9.140625" style="153"/>
    <col min="2072" max="2072" width="15.7109375" style="153" customWidth="1"/>
    <col min="2073" max="2304" width="9.140625" style="153"/>
    <col min="2305" max="2305" width="4.7109375" style="153" customWidth="1"/>
    <col min="2306" max="2306" width="6.85546875" style="153" customWidth="1"/>
    <col min="2307" max="2307" width="6.5703125" style="153" customWidth="1"/>
    <col min="2308" max="2308" width="7.28515625" style="153" customWidth="1"/>
    <col min="2309" max="2309" width="79.5703125" style="153" customWidth="1"/>
    <col min="2310" max="2310" width="6.28515625" style="153" customWidth="1"/>
    <col min="2311" max="2312" width="0" style="153" hidden="1" customWidth="1"/>
    <col min="2313" max="2313" width="16.5703125" style="153" customWidth="1"/>
    <col min="2314" max="2314" width="14.7109375" style="153" customWidth="1"/>
    <col min="2315" max="2320" width="0" style="153" hidden="1" customWidth="1"/>
    <col min="2321" max="2321" width="16.140625" style="153" customWidth="1"/>
    <col min="2322" max="2324" width="0" style="153" hidden="1" customWidth="1"/>
    <col min="2325" max="2327" width="9.140625" style="153"/>
    <col min="2328" max="2328" width="15.7109375" style="153" customWidth="1"/>
    <col min="2329" max="2560" width="9.140625" style="153"/>
    <col min="2561" max="2561" width="4.7109375" style="153" customWidth="1"/>
    <col min="2562" max="2562" width="6.85546875" style="153" customWidth="1"/>
    <col min="2563" max="2563" width="6.5703125" style="153" customWidth="1"/>
    <col min="2564" max="2564" width="7.28515625" style="153" customWidth="1"/>
    <col min="2565" max="2565" width="79.5703125" style="153" customWidth="1"/>
    <col min="2566" max="2566" width="6.28515625" style="153" customWidth="1"/>
    <col min="2567" max="2568" width="0" style="153" hidden="1" customWidth="1"/>
    <col min="2569" max="2569" width="16.5703125" style="153" customWidth="1"/>
    <col min="2570" max="2570" width="14.7109375" style="153" customWidth="1"/>
    <col min="2571" max="2576" width="0" style="153" hidden="1" customWidth="1"/>
    <col min="2577" max="2577" width="16.140625" style="153" customWidth="1"/>
    <col min="2578" max="2580" width="0" style="153" hidden="1" customWidth="1"/>
    <col min="2581" max="2583" width="9.140625" style="153"/>
    <col min="2584" max="2584" width="15.7109375" style="153" customWidth="1"/>
    <col min="2585" max="2816" width="9.140625" style="153"/>
    <col min="2817" max="2817" width="4.7109375" style="153" customWidth="1"/>
    <col min="2818" max="2818" width="6.85546875" style="153" customWidth="1"/>
    <col min="2819" max="2819" width="6.5703125" style="153" customWidth="1"/>
    <col min="2820" max="2820" width="7.28515625" style="153" customWidth="1"/>
    <col min="2821" max="2821" width="79.5703125" style="153" customWidth="1"/>
    <col min="2822" max="2822" width="6.28515625" style="153" customWidth="1"/>
    <col min="2823" max="2824" width="0" style="153" hidden="1" customWidth="1"/>
    <col min="2825" max="2825" width="16.5703125" style="153" customWidth="1"/>
    <col min="2826" max="2826" width="14.7109375" style="153" customWidth="1"/>
    <col min="2827" max="2832" width="0" style="153" hidden="1" customWidth="1"/>
    <col min="2833" max="2833" width="16.140625" style="153" customWidth="1"/>
    <col min="2834" max="2836" width="0" style="153" hidden="1" customWidth="1"/>
    <col min="2837" max="2839" width="9.140625" style="153"/>
    <col min="2840" max="2840" width="15.7109375" style="153" customWidth="1"/>
    <col min="2841" max="3072" width="9.140625" style="153"/>
    <col min="3073" max="3073" width="4.7109375" style="153" customWidth="1"/>
    <col min="3074" max="3074" width="6.85546875" style="153" customWidth="1"/>
    <col min="3075" max="3075" width="6.5703125" style="153" customWidth="1"/>
    <col min="3076" max="3076" width="7.28515625" style="153" customWidth="1"/>
    <col min="3077" max="3077" width="79.5703125" style="153" customWidth="1"/>
    <col min="3078" max="3078" width="6.28515625" style="153" customWidth="1"/>
    <col min="3079" max="3080" width="0" style="153" hidden="1" customWidth="1"/>
    <col min="3081" max="3081" width="16.5703125" style="153" customWidth="1"/>
    <col min="3082" max="3082" width="14.7109375" style="153" customWidth="1"/>
    <col min="3083" max="3088" width="0" style="153" hidden="1" customWidth="1"/>
    <col min="3089" max="3089" width="16.140625" style="153" customWidth="1"/>
    <col min="3090" max="3092" width="0" style="153" hidden="1" customWidth="1"/>
    <col min="3093" max="3095" width="9.140625" style="153"/>
    <col min="3096" max="3096" width="15.7109375" style="153" customWidth="1"/>
    <col min="3097" max="3328" width="9.140625" style="153"/>
    <col min="3329" max="3329" width="4.7109375" style="153" customWidth="1"/>
    <col min="3330" max="3330" width="6.85546875" style="153" customWidth="1"/>
    <col min="3331" max="3331" width="6.5703125" style="153" customWidth="1"/>
    <col min="3332" max="3332" width="7.28515625" style="153" customWidth="1"/>
    <col min="3333" max="3333" width="79.5703125" style="153" customWidth="1"/>
    <col min="3334" max="3334" width="6.28515625" style="153" customWidth="1"/>
    <col min="3335" max="3336" width="0" style="153" hidden="1" customWidth="1"/>
    <col min="3337" max="3337" width="16.5703125" style="153" customWidth="1"/>
    <col min="3338" max="3338" width="14.7109375" style="153" customWidth="1"/>
    <col min="3339" max="3344" width="0" style="153" hidden="1" customWidth="1"/>
    <col min="3345" max="3345" width="16.140625" style="153" customWidth="1"/>
    <col min="3346" max="3348" width="0" style="153" hidden="1" customWidth="1"/>
    <col min="3349" max="3351" width="9.140625" style="153"/>
    <col min="3352" max="3352" width="15.7109375" style="153" customWidth="1"/>
    <col min="3353" max="3584" width="9.140625" style="153"/>
    <col min="3585" max="3585" width="4.7109375" style="153" customWidth="1"/>
    <col min="3586" max="3586" width="6.85546875" style="153" customWidth="1"/>
    <col min="3587" max="3587" width="6.5703125" style="153" customWidth="1"/>
    <col min="3588" max="3588" width="7.28515625" style="153" customWidth="1"/>
    <col min="3589" max="3589" width="79.5703125" style="153" customWidth="1"/>
    <col min="3590" max="3590" width="6.28515625" style="153" customWidth="1"/>
    <col min="3591" max="3592" width="0" style="153" hidden="1" customWidth="1"/>
    <col min="3593" max="3593" width="16.5703125" style="153" customWidth="1"/>
    <col min="3594" max="3594" width="14.7109375" style="153" customWidth="1"/>
    <col min="3595" max="3600" width="0" style="153" hidden="1" customWidth="1"/>
    <col min="3601" max="3601" width="16.140625" style="153" customWidth="1"/>
    <col min="3602" max="3604" width="0" style="153" hidden="1" customWidth="1"/>
    <col min="3605" max="3607" width="9.140625" style="153"/>
    <col min="3608" max="3608" width="15.7109375" style="153" customWidth="1"/>
    <col min="3609" max="3840" width="9.140625" style="153"/>
    <col min="3841" max="3841" width="4.7109375" style="153" customWidth="1"/>
    <col min="3842" max="3842" width="6.85546875" style="153" customWidth="1"/>
    <col min="3843" max="3843" width="6.5703125" style="153" customWidth="1"/>
    <col min="3844" max="3844" width="7.28515625" style="153" customWidth="1"/>
    <col min="3845" max="3845" width="79.5703125" style="153" customWidth="1"/>
    <col min="3846" max="3846" width="6.28515625" style="153" customWidth="1"/>
    <col min="3847" max="3848" width="0" style="153" hidden="1" customWidth="1"/>
    <col min="3849" max="3849" width="16.5703125" style="153" customWidth="1"/>
    <col min="3850" max="3850" width="14.7109375" style="153" customWidth="1"/>
    <col min="3851" max="3856" width="0" style="153" hidden="1" customWidth="1"/>
    <col min="3857" max="3857" width="16.140625" style="153" customWidth="1"/>
    <col min="3858" max="3860" width="0" style="153" hidden="1" customWidth="1"/>
    <col min="3861" max="3863" width="9.140625" style="153"/>
    <col min="3864" max="3864" width="15.7109375" style="153" customWidth="1"/>
    <col min="3865" max="4096" width="9.140625" style="153"/>
    <col min="4097" max="4097" width="4.7109375" style="153" customWidth="1"/>
    <col min="4098" max="4098" width="6.85546875" style="153" customWidth="1"/>
    <col min="4099" max="4099" width="6.5703125" style="153" customWidth="1"/>
    <col min="4100" max="4100" width="7.28515625" style="153" customWidth="1"/>
    <col min="4101" max="4101" width="79.5703125" style="153" customWidth="1"/>
    <col min="4102" max="4102" width="6.28515625" style="153" customWidth="1"/>
    <col min="4103" max="4104" width="0" style="153" hidden="1" customWidth="1"/>
    <col min="4105" max="4105" width="16.5703125" style="153" customWidth="1"/>
    <col min="4106" max="4106" width="14.7109375" style="153" customWidth="1"/>
    <col min="4107" max="4112" width="0" style="153" hidden="1" customWidth="1"/>
    <col min="4113" max="4113" width="16.140625" style="153" customWidth="1"/>
    <col min="4114" max="4116" width="0" style="153" hidden="1" customWidth="1"/>
    <col min="4117" max="4119" width="9.140625" style="153"/>
    <col min="4120" max="4120" width="15.7109375" style="153" customWidth="1"/>
    <col min="4121" max="4352" width="9.140625" style="153"/>
    <col min="4353" max="4353" width="4.7109375" style="153" customWidth="1"/>
    <col min="4354" max="4354" width="6.85546875" style="153" customWidth="1"/>
    <col min="4355" max="4355" width="6.5703125" style="153" customWidth="1"/>
    <col min="4356" max="4356" width="7.28515625" style="153" customWidth="1"/>
    <col min="4357" max="4357" width="79.5703125" style="153" customWidth="1"/>
    <col min="4358" max="4358" width="6.28515625" style="153" customWidth="1"/>
    <col min="4359" max="4360" width="0" style="153" hidden="1" customWidth="1"/>
    <col min="4361" max="4361" width="16.5703125" style="153" customWidth="1"/>
    <col min="4362" max="4362" width="14.7109375" style="153" customWidth="1"/>
    <col min="4363" max="4368" width="0" style="153" hidden="1" customWidth="1"/>
    <col min="4369" max="4369" width="16.140625" style="153" customWidth="1"/>
    <col min="4370" max="4372" width="0" style="153" hidden="1" customWidth="1"/>
    <col min="4373" max="4375" width="9.140625" style="153"/>
    <col min="4376" max="4376" width="15.7109375" style="153" customWidth="1"/>
    <col min="4377" max="4608" width="9.140625" style="153"/>
    <col min="4609" max="4609" width="4.7109375" style="153" customWidth="1"/>
    <col min="4610" max="4610" width="6.85546875" style="153" customWidth="1"/>
    <col min="4611" max="4611" width="6.5703125" style="153" customWidth="1"/>
    <col min="4612" max="4612" width="7.28515625" style="153" customWidth="1"/>
    <col min="4613" max="4613" width="79.5703125" style="153" customWidth="1"/>
    <col min="4614" max="4614" width="6.28515625" style="153" customWidth="1"/>
    <col min="4615" max="4616" width="0" style="153" hidden="1" customWidth="1"/>
    <col min="4617" max="4617" width="16.5703125" style="153" customWidth="1"/>
    <col min="4618" max="4618" width="14.7109375" style="153" customWidth="1"/>
    <col min="4619" max="4624" width="0" style="153" hidden="1" customWidth="1"/>
    <col min="4625" max="4625" width="16.140625" style="153" customWidth="1"/>
    <col min="4626" max="4628" width="0" style="153" hidden="1" customWidth="1"/>
    <col min="4629" max="4631" width="9.140625" style="153"/>
    <col min="4632" max="4632" width="15.7109375" style="153" customWidth="1"/>
    <col min="4633" max="4864" width="9.140625" style="153"/>
    <col min="4865" max="4865" width="4.7109375" style="153" customWidth="1"/>
    <col min="4866" max="4866" width="6.85546875" style="153" customWidth="1"/>
    <col min="4867" max="4867" width="6.5703125" style="153" customWidth="1"/>
    <col min="4868" max="4868" width="7.28515625" style="153" customWidth="1"/>
    <col min="4869" max="4869" width="79.5703125" style="153" customWidth="1"/>
    <col min="4870" max="4870" width="6.28515625" style="153" customWidth="1"/>
    <col min="4871" max="4872" width="0" style="153" hidden="1" customWidth="1"/>
    <col min="4873" max="4873" width="16.5703125" style="153" customWidth="1"/>
    <col min="4874" max="4874" width="14.7109375" style="153" customWidth="1"/>
    <col min="4875" max="4880" width="0" style="153" hidden="1" customWidth="1"/>
    <col min="4881" max="4881" width="16.140625" style="153" customWidth="1"/>
    <col min="4882" max="4884" width="0" style="153" hidden="1" customWidth="1"/>
    <col min="4885" max="4887" width="9.140625" style="153"/>
    <col min="4888" max="4888" width="15.7109375" style="153" customWidth="1"/>
    <col min="4889" max="5120" width="9.140625" style="153"/>
    <col min="5121" max="5121" width="4.7109375" style="153" customWidth="1"/>
    <col min="5122" max="5122" width="6.85546875" style="153" customWidth="1"/>
    <col min="5123" max="5123" width="6.5703125" style="153" customWidth="1"/>
    <col min="5124" max="5124" width="7.28515625" style="153" customWidth="1"/>
    <col min="5125" max="5125" width="79.5703125" style="153" customWidth="1"/>
    <col min="5126" max="5126" width="6.28515625" style="153" customWidth="1"/>
    <col min="5127" max="5128" width="0" style="153" hidden="1" customWidth="1"/>
    <col min="5129" max="5129" width="16.5703125" style="153" customWidth="1"/>
    <col min="5130" max="5130" width="14.7109375" style="153" customWidth="1"/>
    <col min="5131" max="5136" width="0" style="153" hidden="1" customWidth="1"/>
    <col min="5137" max="5137" width="16.140625" style="153" customWidth="1"/>
    <col min="5138" max="5140" width="0" style="153" hidden="1" customWidth="1"/>
    <col min="5141" max="5143" width="9.140625" style="153"/>
    <col min="5144" max="5144" width="15.7109375" style="153" customWidth="1"/>
    <col min="5145" max="5376" width="9.140625" style="153"/>
    <col min="5377" max="5377" width="4.7109375" style="153" customWidth="1"/>
    <col min="5378" max="5378" width="6.85546875" style="153" customWidth="1"/>
    <col min="5379" max="5379" width="6.5703125" style="153" customWidth="1"/>
    <col min="5380" max="5380" width="7.28515625" style="153" customWidth="1"/>
    <col min="5381" max="5381" width="79.5703125" style="153" customWidth="1"/>
    <col min="5382" max="5382" width="6.28515625" style="153" customWidth="1"/>
    <col min="5383" max="5384" width="0" style="153" hidden="1" customWidth="1"/>
    <col min="5385" max="5385" width="16.5703125" style="153" customWidth="1"/>
    <col min="5386" max="5386" width="14.7109375" style="153" customWidth="1"/>
    <col min="5387" max="5392" width="0" style="153" hidden="1" customWidth="1"/>
    <col min="5393" max="5393" width="16.140625" style="153" customWidth="1"/>
    <col min="5394" max="5396" width="0" style="153" hidden="1" customWidth="1"/>
    <col min="5397" max="5399" width="9.140625" style="153"/>
    <col min="5400" max="5400" width="15.7109375" style="153" customWidth="1"/>
    <col min="5401" max="5632" width="9.140625" style="153"/>
    <col min="5633" max="5633" width="4.7109375" style="153" customWidth="1"/>
    <col min="5634" max="5634" width="6.85546875" style="153" customWidth="1"/>
    <col min="5635" max="5635" width="6.5703125" style="153" customWidth="1"/>
    <col min="5636" max="5636" width="7.28515625" style="153" customWidth="1"/>
    <col min="5637" max="5637" width="79.5703125" style="153" customWidth="1"/>
    <col min="5638" max="5638" width="6.28515625" style="153" customWidth="1"/>
    <col min="5639" max="5640" width="0" style="153" hidden="1" customWidth="1"/>
    <col min="5641" max="5641" width="16.5703125" style="153" customWidth="1"/>
    <col min="5642" max="5642" width="14.7109375" style="153" customWidth="1"/>
    <col min="5643" max="5648" width="0" style="153" hidden="1" customWidth="1"/>
    <col min="5649" max="5649" width="16.140625" style="153" customWidth="1"/>
    <col min="5650" max="5652" width="0" style="153" hidden="1" customWidth="1"/>
    <col min="5653" max="5655" width="9.140625" style="153"/>
    <col min="5656" max="5656" width="15.7109375" style="153" customWidth="1"/>
    <col min="5657" max="5888" width="9.140625" style="153"/>
    <col min="5889" max="5889" width="4.7109375" style="153" customWidth="1"/>
    <col min="5890" max="5890" width="6.85546875" style="153" customWidth="1"/>
    <col min="5891" max="5891" width="6.5703125" style="153" customWidth="1"/>
    <col min="5892" max="5892" width="7.28515625" style="153" customWidth="1"/>
    <col min="5893" max="5893" width="79.5703125" style="153" customWidth="1"/>
    <col min="5894" max="5894" width="6.28515625" style="153" customWidth="1"/>
    <col min="5895" max="5896" width="0" style="153" hidden="1" customWidth="1"/>
    <col min="5897" max="5897" width="16.5703125" style="153" customWidth="1"/>
    <col min="5898" max="5898" width="14.7109375" style="153" customWidth="1"/>
    <col min="5899" max="5904" width="0" style="153" hidden="1" customWidth="1"/>
    <col min="5905" max="5905" width="16.140625" style="153" customWidth="1"/>
    <col min="5906" max="5908" width="0" style="153" hidden="1" customWidth="1"/>
    <col min="5909" max="5911" width="9.140625" style="153"/>
    <col min="5912" max="5912" width="15.7109375" style="153" customWidth="1"/>
    <col min="5913" max="6144" width="9.140625" style="153"/>
    <col min="6145" max="6145" width="4.7109375" style="153" customWidth="1"/>
    <col min="6146" max="6146" width="6.85546875" style="153" customWidth="1"/>
    <col min="6147" max="6147" width="6.5703125" style="153" customWidth="1"/>
    <col min="6148" max="6148" width="7.28515625" style="153" customWidth="1"/>
    <col min="6149" max="6149" width="79.5703125" style="153" customWidth="1"/>
    <col min="6150" max="6150" width="6.28515625" style="153" customWidth="1"/>
    <col min="6151" max="6152" width="0" style="153" hidden="1" customWidth="1"/>
    <col min="6153" max="6153" width="16.5703125" style="153" customWidth="1"/>
    <col min="6154" max="6154" width="14.7109375" style="153" customWidth="1"/>
    <col min="6155" max="6160" width="0" style="153" hidden="1" customWidth="1"/>
    <col min="6161" max="6161" width="16.140625" style="153" customWidth="1"/>
    <col min="6162" max="6164" width="0" style="153" hidden="1" customWidth="1"/>
    <col min="6165" max="6167" width="9.140625" style="153"/>
    <col min="6168" max="6168" width="15.7109375" style="153" customWidth="1"/>
    <col min="6169" max="6400" width="9.140625" style="153"/>
    <col min="6401" max="6401" width="4.7109375" style="153" customWidth="1"/>
    <col min="6402" max="6402" width="6.85546875" style="153" customWidth="1"/>
    <col min="6403" max="6403" width="6.5703125" style="153" customWidth="1"/>
    <col min="6404" max="6404" width="7.28515625" style="153" customWidth="1"/>
    <col min="6405" max="6405" width="79.5703125" style="153" customWidth="1"/>
    <col min="6406" max="6406" width="6.28515625" style="153" customWidth="1"/>
    <col min="6407" max="6408" width="0" style="153" hidden="1" customWidth="1"/>
    <col min="6409" max="6409" width="16.5703125" style="153" customWidth="1"/>
    <col min="6410" max="6410" width="14.7109375" style="153" customWidth="1"/>
    <col min="6411" max="6416" width="0" style="153" hidden="1" customWidth="1"/>
    <col min="6417" max="6417" width="16.140625" style="153" customWidth="1"/>
    <col min="6418" max="6420" width="0" style="153" hidden="1" customWidth="1"/>
    <col min="6421" max="6423" width="9.140625" style="153"/>
    <col min="6424" max="6424" width="15.7109375" style="153" customWidth="1"/>
    <col min="6425" max="6656" width="9.140625" style="153"/>
    <col min="6657" max="6657" width="4.7109375" style="153" customWidth="1"/>
    <col min="6658" max="6658" width="6.85546875" style="153" customWidth="1"/>
    <col min="6659" max="6659" width="6.5703125" style="153" customWidth="1"/>
    <col min="6660" max="6660" width="7.28515625" style="153" customWidth="1"/>
    <col min="6661" max="6661" width="79.5703125" style="153" customWidth="1"/>
    <col min="6662" max="6662" width="6.28515625" style="153" customWidth="1"/>
    <col min="6663" max="6664" width="0" style="153" hidden="1" customWidth="1"/>
    <col min="6665" max="6665" width="16.5703125" style="153" customWidth="1"/>
    <col min="6666" max="6666" width="14.7109375" style="153" customWidth="1"/>
    <col min="6667" max="6672" width="0" style="153" hidden="1" customWidth="1"/>
    <col min="6673" max="6673" width="16.140625" style="153" customWidth="1"/>
    <col min="6674" max="6676" width="0" style="153" hidden="1" customWidth="1"/>
    <col min="6677" max="6679" width="9.140625" style="153"/>
    <col min="6680" max="6680" width="15.7109375" style="153" customWidth="1"/>
    <col min="6681" max="6912" width="9.140625" style="153"/>
    <col min="6913" max="6913" width="4.7109375" style="153" customWidth="1"/>
    <col min="6914" max="6914" width="6.85546875" style="153" customWidth="1"/>
    <col min="6915" max="6915" width="6.5703125" style="153" customWidth="1"/>
    <col min="6916" max="6916" width="7.28515625" style="153" customWidth="1"/>
    <col min="6917" max="6917" width="79.5703125" style="153" customWidth="1"/>
    <col min="6918" max="6918" width="6.28515625" style="153" customWidth="1"/>
    <col min="6919" max="6920" width="0" style="153" hidden="1" customWidth="1"/>
    <col min="6921" max="6921" width="16.5703125" style="153" customWidth="1"/>
    <col min="6922" max="6922" width="14.7109375" style="153" customWidth="1"/>
    <col min="6923" max="6928" width="0" style="153" hidden="1" customWidth="1"/>
    <col min="6929" max="6929" width="16.140625" style="153" customWidth="1"/>
    <col min="6930" max="6932" width="0" style="153" hidden="1" customWidth="1"/>
    <col min="6933" max="6935" width="9.140625" style="153"/>
    <col min="6936" max="6936" width="15.7109375" style="153" customWidth="1"/>
    <col min="6937" max="7168" width="9.140625" style="153"/>
    <col min="7169" max="7169" width="4.7109375" style="153" customWidth="1"/>
    <col min="7170" max="7170" width="6.85546875" style="153" customWidth="1"/>
    <col min="7171" max="7171" width="6.5703125" style="153" customWidth="1"/>
    <col min="7172" max="7172" width="7.28515625" style="153" customWidth="1"/>
    <col min="7173" max="7173" width="79.5703125" style="153" customWidth="1"/>
    <col min="7174" max="7174" width="6.28515625" style="153" customWidth="1"/>
    <col min="7175" max="7176" width="0" style="153" hidden="1" customWidth="1"/>
    <col min="7177" max="7177" width="16.5703125" style="153" customWidth="1"/>
    <col min="7178" max="7178" width="14.7109375" style="153" customWidth="1"/>
    <col min="7179" max="7184" width="0" style="153" hidden="1" customWidth="1"/>
    <col min="7185" max="7185" width="16.140625" style="153" customWidth="1"/>
    <col min="7186" max="7188" width="0" style="153" hidden="1" customWidth="1"/>
    <col min="7189" max="7191" width="9.140625" style="153"/>
    <col min="7192" max="7192" width="15.7109375" style="153" customWidth="1"/>
    <col min="7193" max="7424" width="9.140625" style="153"/>
    <col min="7425" max="7425" width="4.7109375" style="153" customWidth="1"/>
    <col min="7426" max="7426" width="6.85546875" style="153" customWidth="1"/>
    <col min="7427" max="7427" width="6.5703125" style="153" customWidth="1"/>
    <col min="7428" max="7428" width="7.28515625" style="153" customWidth="1"/>
    <col min="7429" max="7429" width="79.5703125" style="153" customWidth="1"/>
    <col min="7430" max="7430" width="6.28515625" style="153" customWidth="1"/>
    <col min="7431" max="7432" width="0" style="153" hidden="1" customWidth="1"/>
    <col min="7433" max="7433" width="16.5703125" style="153" customWidth="1"/>
    <col min="7434" max="7434" width="14.7109375" style="153" customWidth="1"/>
    <col min="7435" max="7440" width="0" style="153" hidden="1" customWidth="1"/>
    <col min="7441" max="7441" width="16.140625" style="153" customWidth="1"/>
    <col min="7442" max="7444" width="0" style="153" hidden="1" customWidth="1"/>
    <col min="7445" max="7447" width="9.140625" style="153"/>
    <col min="7448" max="7448" width="15.7109375" style="153" customWidth="1"/>
    <col min="7449" max="7680" width="9.140625" style="153"/>
    <col min="7681" max="7681" width="4.7109375" style="153" customWidth="1"/>
    <col min="7682" max="7682" width="6.85546875" style="153" customWidth="1"/>
    <col min="7683" max="7683" width="6.5703125" style="153" customWidth="1"/>
    <col min="7684" max="7684" width="7.28515625" style="153" customWidth="1"/>
    <col min="7685" max="7685" width="79.5703125" style="153" customWidth="1"/>
    <col min="7686" max="7686" width="6.28515625" style="153" customWidth="1"/>
    <col min="7687" max="7688" width="0" style="153" hidden="1" customWidth="1"/>
    <col min="7689" max="7689" width="16.5703125" style="153" customWidth="1"/>
    <col min="7690" max="7690" width="14.7109375" style="153" customWidth="1"/>
    <col min="7691" max="7696" width="0" style="153" hidden="1" customWidth="1"/>
    <col min="7697" max="7697" width="16.140625" style="153" customWidth="1"/>
    <col min="7698" max="7700" width="0" style="153" hidden="1" customWidth="1"/>
    <col min="7701" max="7703" width="9.140625" style="153"/>
    <col min="7704" max="7704" width="15.7109375" style="153" customWidth="1"/>
    <col min="7705" max="7936" width="9.140625" style="153"/>
    <col min="7937" max="7937" width="4.7109375" style="153" customWidth="1"/>
    <col min="7938" max="7938" width="6.85546875" style="153" customWidth="1"/>
    <col min="7939" max="7939" width="6.5703125" style="153" customWidth="1"/>
    <col min="7940" max="7940" width="7.28515625" style="153" customWidth="1"/>
    <col min="7941" max="7941" width="79.5703125" style="153" customWidth="1"/>
    <col min="7942" max="7942" width="6.28515625" style="153" customWidth="1"/>
    <col min="7943" max="7944" width="0" style="153" hidden="1" customWidth="1"/>
    <col min="7945" max="7945" width="16.5703125" style="153" customWidth="1"/>
    <col min="7946" max="7946" width="14.7109375" style="153" customWidth="1"/>
    <col min="7947" max="7952" width="0" style="153" hidden="1" customWidth="1"/>
    <col min="7953" max="7953" width="16.140625" style="153" customWidth="1"/>
    <col min="7954" max="7956" width="0" style="153" hidden="1" customWidth="1"/>
    <col min="7957" max="7959" width="9.140625" style="153"/>
    <col min="7960" max="7960" width="15.7109375" style="153" customWidth="1"/>
    <col min="7961" max="8192" width="9.140625" style="153"/>
    <col min="8193" max="8193" width="4.7109375" style="153" customWidth="1"/>
    <col min="8194" max="8194" width="6.85546875" style="153" customWidth="1"/>
    <col min="8195" max="8195" width="6.5703125" style="153" customWidth="1"/>
    <col min="8196" max="8196" width="7.28515625" style="153" customWidth="1"/>
    <col min="8197" max="8197" width="79.5703125" style="153" customWidth="1"/>
    <col min="8198" max="8198" width="6.28515625" style="153" customWidth="1"/>
    <col min="8199" max="8200" width="0" style="153" hidden="1" customWidth="1"/>
    <col min="8201" max="8201" width="16.5703125" style="153" customWidth="1"/>
    <col min="8202" max="8202" width="14.7109375" style="153" customWidth="1"/>
    <col min="8203" max="8208" width="0" style="153" hidden="1" customWidth="1"/>
    <col min="8209" max="8209" width="16.140625" style="153" customWidth="1"/>
    <col min="8210" max="8212" width="0" style="153" hidden="1" customWidth="1"/>
    <col min="8213" max="8215" width="9.140625" style="153"/>
    <col min="8216" max="8216" width="15.7109375" style="153" customWidth="1"/>
    <col min="8217" max="8448" width="9.140625" style="153"/>
    <col min="8449" max="8449" width="4.7109375" style="153" customWidth="1"/>
    <col min="8450" max="8450" width="6.85546875" style="153" customWidth="1"/>
    <col min="8451" max="8451" width="6.5703125" style="153" customWidth="1"/>
    <col min="8452" max="8452" width="7.28515625" style="153" customWidth="1"/>
    <col min="8453" max="8453" width="79.5703125" style="153" customWidth="1"/>
    <col min="8454" max="8454" width="6.28515625" style="153" customWidth="1"/>
    <col min="8455" max="8456" width="0" style="153" hidden="1" customWidth="1"/>
    <col min="8457" max="8457" width="16.5703125" style="153" customWidth="1"/>
    <col min="8458" max="8458" width="14.7109375" style="153" customWidth="1"/>
    <col min="8459" max="8464" width="0" style="153" hidden="1" customWidth="1"/>
    <col min="8465" max="8465" width="16.140625" style="153" customWidth="1"/>
    <col min="8466" max="8468" width="0" style="153" hidden="1" customWidth="1"/>
    <col min="8469" max="8471" width="9.140625" style="153"/>
    <col min="8472" max="8472" width="15.7109375" style="153" customWidth="1"/>
    <col min="8473" max="8704" width="9.140625" style="153"/>
    <col min="8705" max="8705" width="4.7109375" style="153" customWidth="1"/>
    <col min="8706" max="8706" width="6.85546875" style="153" customWidth="1"/>
    <col min="8707" max="8707" width="6.5703125" style="153" customWidth="1"/>
    <col min="8708" max="8708" width="7.28515625" style="153" customWidth="1"/>
    <col min="8709" max="8709" width="79.5703125" style="153" customWidth="1"/>
    <col min="8710" max="8710" width="6.28515625" style="153" customWidth="1"/>
    <col min="8711" max="8712" width="0" style="153" hidden="1" customWidth="1"/>
    <col min="8713" max="8713" width="16.5703125" style="153" customWidth="1"/>
    <col min="8714" max="8714" width="14.7109375" style="153" customWidth="1"/>
    <col min="8715" max="8720" width="0" style="153" hidden="1" customWidth="1"/>
    <col min="8721" max="8721" width="16.140625" style="153" customWidth="1"/>
    <col min="8722" max="8724" width="0" style="153" hidden="1" customWidth="1"/>
    <col min="8725" max="8727" width="9.140625" style="153"/>
    <col min="8728" max="8728" width="15.7109375" style="153" customWidth="1"/>
    <col min="8729" max="8960" width="9.140625" style="153"/>
    <col min="8961" max="8961" width="4.7109375" style="153" customWidth="1"/>
    <col min="8962" max="8962" width="6.85546875" style="153" customWidth="1"/>
    <col min="8963" max="8963" width="6.5703125" style="153" customWidth="1"/>
    <col min="8964" max="8964" width="7.28515625" style="153" customWidth="1"/>
    <col min="8965" max="8965" width="79.5703125" style="153" customWidth="1"/>
    <col min="8966" max="8966" width="6.28515625" style="153" customWidth="1"/>
    <col min="8967" max="8968" width="0" style="153" hidden="1" customWidth="1"/>
    <col min="8969" max="8969" width="16.5703125" style="153" customWidth="1"/>
    <col min="8970" max="8970" width="14.7109375" style="153" customWidth="1"/>
    <col min="8971" max="8976" width="0" style="153" hidden="1" customWidth="1"/>
    <col min="8977" max="8977" width="16.140625" style="153" customWidth="1"/>
    <col min="8978" max="8980" width="0" style="153" hidden="1" customWidth="1"/>
    <col min="8981" max="8983" width="9.140625" style="153"/>
    <col min="8984" max="8984" width="15.7109375" style="153" customWidth="1"/>
    <col min="8985" max="9216" width="9.140625" style="153"/>
    <col min="9217" max="9217" width="4.7109375" style="153" customWidth="1"/>
    <col min="9218" max="9218" width="6.85546875" style="153" customWidth="1"/>
    <col min="9219" max="9219" width="6.5703125" style="153" customWidth="1"/>
    <col min="9220" max="9220" width="7.28515625" style="153" customWidth="1"/>
    <col min="9221" max="9221" width="79.5703125" style="153" customWidth="1"/>
    <col min="9222" max="9222" width="6.28515625" style="153" customWidth="1"/>
    <col min="9223" max="9224" width="0" style="153" hidden="1" customWidth="1"/>
    <col min="9225" max="9225" width="16.5703125" style="153" customWidth="1"/>
    <col min="9226" max="9226" width="14.7109375" style="153" customWidth="1"/>
    <col min="9227" max="9232" width="0" style="153" hidden="1" customWidth="1"/>
    <col min="9233" max="9233" width="16.140625" style="153" customWidth="1"/>
    <col min="9234" max="9236" width="0" style="153" hidden="1" customWidth="1"/>
    <col min="9237" max="9239" width="9.140625" style="153"/>
    <col min="9240" max="9240" width="15.7109375" style="153" customWidth="1"/>
    <col min="9241" max="9472" width="9.140625" style="153"/>
    <col min="9473" max="9473" width="4.7109375" style="153" customWidth="1"/>
    <col min="9474" max="9474" width="6.85546875" style="153" customWidth="1"/>
    <col min="9475" max="9475" width="6.5703125" style="153" customWidth="1"/>
    <col min="9476" max="9476" width="7.28515625" style="153" customWidth="1"/>
    <col min="9477" max="9477" width="79.5703125" style="153" customWidth="1"/>
    <col min="9478" max="9478" width="6.28515625" style="153" customWidth="1"/>
    <col min="9479" max="9480" width="0" style="153" hidden="1" customWidth="1"/>
    <col min="9481" max="9481" width="16.5703125" style="153" customWidth="1"/>
    <col min="9482" max="9482" width="14.7109375" style="153" customWidth="1"/>
    <col min="9483" max="9488" width="0" style="153" hidden="1" customWidth="1"/>
    <col min="9489" max="9489" width="16.140625" style="153" customWidth="1"/>
    <col min="9490" max="9492" width="0" style="153" hidden="1" customWidth="1"/>
    <col min="9493" max="9495" width="9.140625" style="153"/>
    <col min="9496" max="9496" width="15.7109375" style="153" customWidth="1"/>
    <col min="9497" max="9728" width="9.140625" style="153"/>
    <col min="9729" max="9729" width="4.7109375" style="153" customWidth="1"/>
    <col min="9730" max="9730" width="6.85546875" style="153" customWidth="1"/>
    <col min="9731" max="9731" width="6.5703125" style="153" customWidth="1"/>
    <col min="9732" max="9732" width="7.28515625" style="153" customWidth="1"/>
    <col min="9733" max="9733" width="79.5703125" style="153" customWidth="1"/>
    <col min="9734" max="9734" width="6.28515625" style="153" customWidth="1"/>
    <col min="9735" max="9736" width="0" style="153" hidden="1" customWidth="1"/>
    <col min="9737" max="9737" width="16.5703125" style="153" customWidth="1"/>
    <col min="9738" max="9738" width="14.7109375" style="153" customWidth="1"/>
    <col min="9739" max="9744" width="0" style="153" hidden="1" customWidth="1"/>
    <col min="9745" max="9745" width="16.140625" style="153" customWidth="1"/>
    <col min="9746" max="9748" width="0" style="153" hidden="1" customWidth="1"/>
    <col min="9749" max="9751" width="9.140625" style="153"/>
    <col min="9752" max="9752" width="15.7109375" style="153" customWidth="1"/>
    <col min="9753" max="9984" width="9.140625" style="153"/>
    <col min="9985" max="9985" width="4.7109375" style="153" customWidth="1"/>
    <col min="9986" max="9986" width="6.85546875" style="153" customWidth="1"/>
    <col min="9987" max="9987" width="6.5703125" style="153" customWidth="1"/>
    <col min="9988" max="9988" width="7.28515625" style="153" customWidth="1"/>
    <col min="9989" max="9989" width="79.5703125" style="153" customWidth="1"/>
    <col min="9990" max="9990" width="6.28515625" style="153" customWidth="1"/>
    <col min="9991" max="9992" width="0" style="153" hidden="1" customWidth="1"/>
    <col min="9993" max="9993" width="16.5703125" style="153" customWidth="1"/>
    <col min="9994" max="9994" width="14.7109375" style="153" customWidth="1"/>
    <col min="9995" max="10000" width="0" style="153" hidden="1" customWidth="1"/>
    <col min="10001" max="10001" width="16.140625" style="153" customWidth="1"/>
    <col min="10002" max="10004" width="0" style="153" hidden="1" customWidth="1"/>
    <col min="10005" max="10007" width="9.140625" style="153"/>
    <col min="10008" max="10008" width="15.7109375" style="153" customWidth="1"/>
    <col min="10009" max="10240" width="9.140625" style="153"/>
    <col min="10241" max="10241" width="4.7109375" style="153" customWidth="1"/>
    <col min="10242" max="10242" width="6.85546875" style="153" customWidth="1"/>
    <col min="10243" max="10243" width="6.5703125" style="153" customWidth="1"/>
    <col min="10244" max="10244" width="7.28515625" style="153" customWidth="1"/>
    <col min="10245" max="10245" width="79.5703125" style="153" customWidth="1"/>
    <col min="10246" max="10246" width="6.28515625" style="153" customWidth="1"/>
    <col min="10247" max="10248" width="0" style="153" hidden="1" customWidth="1"/>
    <col min="10249" max="10249" width="16.5703125" style="153" customWidth="1"/>
    <col min="10250" max="10250" width="14.7109375" style="153" customWidth="1"/>
    <col min="10251" max="10256" width="0" style="153" hidden="1" customWidth="1"/>
    <col min="10257" max="10257" width="16.140625" style="153" customWidth="1"/>
    <col min="10258" max="10260" width="0" style="153" hidden="1" customWidth="1"/>
    <col min="10261" max="10263" width="9.140625" style="153"/>
    <col min="10264" max="10264" width="15.7109375" style="153" customWidth="1"/>
    <col min="10265" max="10496" width="9.140625" style="153"/>
    <col min="10497" max="10497" width="4.7109375" style="153" customWidth="1"/>
    <col min="10498" max="10498" width="6.85546875" style="153" customWidth="1"/>
    <col min="10499" max="10499" width="6.5703125" style="153" customWidth="1"/>
    <col min="10500" max="10500" width="7.28515625" style="153" customWidth="1"/>
    <col min="10501" max="10501" width="79.5703125" style="153" customWidth="1"/>
    <col min="10502" max="10502" width="6.28515625" style="153" customWidth="1"/>
    <col min="10503" max="10504" width="0" style="153" hidden="1" customWidth="1"/>
    <col min="10505" max="10505" width="16.5703125" style="153" customWidth="1"/>
    <col min="10506" max="10506" width="14.7109375" style="153" customWidth="1"/>
    <col min="10507" max="10512" width="0" style="153" hidden="1" customWidth="1"/>
    <col min="10513" max="10513" width="16.140625" style="153" customWidth="1"/>
    <col min="10514" max="10516" width="0" style="153" hidden="1" customWidth="1"/>
    <col min="10517" max="10519" width="9.140625" style="153"/>
    <col min="10520" max="10520" width="15.7109375" style="153" customWidth="1"/>
    <col min="10521" max="10752" width="9.140625" style="153"/>
    <col min="10753" max="10753" width="4.7109375" style="153" customWidth="1"/>
    <col min="10754" max="10754" width="6.85546875" style="153" customWidth="1"/>
    <col min="10755" max="10755" width="6.5703125" style="153" customWidth="1"/>
    <col min="10756" max="10756" width="7.28515625" style="153" customWidth="1"/>
    <col min="10757" max="10757" width="79.5703125" style="153" customWidth="1"/>
    <col min="10758" max="10758" width="6.28515625" style="153" customWidth="1"/>
    <col min="10759" max="10760" width="0" style="153" hidden="1" customWidth="1"/>
    <col min="10761" max="10761" width="16.5703125" style="153" customWidth="1"/>
    <col min="10762" max="10762" width="14.7109375" style="153" customWidth="1"/>
    <col min="10763" max="10768" width="0" style="153" hidden="1" customWidth="1"/>
    <col min="10769" max="10769" width="16.140625" style="153" customWidth="1"/>
    <col min="10770" max="10772" width="0" style="153" hidden="1" customWidth="1"/>
    <col min="10773" max="10775" width="9.140625" style="153"/>
    <col min="10776" max="10776" width="15.7109375" style="153" customWidth="1"/>
    <col min="10777" max="11008" width="9.140625" style="153"/>
    <col min="11009" max="11009" width="4.7109375" style="153" customWidth="1"/>
    <col min="11010" max="11010" width="6.85546875" style="153" customWidth="1"/>
    <col min="11011" max="11011" width="6.5703125" style="153" customWidth="1"/>
    <col min="11012" max="11012" width="7.28515625" style="153" customWidth="1"/>
    <col min="11013" max="11013" width="79.5703125" style="153" customWidth="1"/>
    <col min="11014" max="11014" width="6.28515625" style="153" customWidth="1"/>
    <col min="11015" max="11016" width="0" style="153" hidden="1" customWidth="1"/>
    <col min="11017" max="11017" width="16.5703125" style="153" customWidth="1"/>
    <col min="11018" max="11018" width="14.7109375" style="153" customWidth="1"/>
    <col min="11019" max="11024" width="0" style="153" hidden="1" customWidth="1"/>
    <col min="11025" max="11025" width="16.140625" style="153" customWidth="1"/>
    <col min="11026" max="11028" width="0" style="153" hidden="1" customWidth="1"/>
    <col min="11029" max="11031" width="9.140625" style="153"/>
    <col min="11032" max="11032" width="15.7109375" style="153" customWidth="1"/>
    <col min="11033" max="11264" width="9.140625" style="153"/>
    <col min="11265" max="11265" width="4.7109375" style="153" customWidth="1"/>
    <col min="11266" max="11266" width="6.85546875" style="153" customWidth="1"/>
    <col min="11267" max="11267" width="6.5703125" style="153" customWidth="1"/>
    <col min="11268" max="11268" width="7.28515625" style="153" customWidth="1"/>
    <col min="11269" max="11269" width="79.5703125" style="153" customWidth="1"/>
    <col min="11270" max="11270" width="6.28515625" style="153" customWidth="1"/>
    <col min="11271" max="11272" width="0" style="153" hidden="1" customWidth="1"/>
    <col min="11273" max="11273" width="16.5703125" style="153" customWidth="1"/>
    <col min="11274" max="11274" width="14.7109375" style="153" customWidth="1"/>
    <col min="11275" max="11280" width="0" style="153" hidden="1" customWidth="1"/>
    <col min="11281" max="11281" width="16.140625" style="153" customWidth="1"/>
    <col min="11282" max="11284" width="0" style="153" hidden="1" customWidth="1"/>
    <col min="11285" max="11287" width="9.140625" style="153"/>
    <col min="11288" max="11288" width="15.7109375" style="153" customWidth="1"/>
    <col min="11289" max="11520" width="9.140625" style="153"/>
    <col min="11521" max="11521" width="4.7109375" style="153" customWidth="1"/>
    <col min="11522" max="11522" width="6.85546875" style="153" customWidth="1"/>
    <col min="11523" max="11523" width="6.5703125" style="153" customWidth="1"/>
    <col min="11524" max="11524" width="7.28515625" style="153" customWidth="1"/>
    <col min="11525" max="11525" width="79.5703125" style="153" customWidth="1"/>
    <col min="11526" max="11526" width="6.28515625" style="153" customWidth="1"/>
    <col min="11527" max="11528" width="0" style="153" hidden="1" customWidth="1"/>
    <col min="11529" max="11529" width="16.5703125" style="153" customWidth="1"/>
    <col min="11530" max="11530" width="14.7109375" style="153" customWidth="1"/>
    <col min="11531" max="11536" width="0" style="153" hidden="1" customWidth="1"/>
    <col min="11537" max="11537" width="16.140625" style="153" customWidth="1"/>
    <col min="11538" max="11540" width="0" style="153" hidden="1" customWidth="1"/>
    <col min="11541" max="11543" width="9.140625" style="153"/>
    <col min="11544" max="11544" width="15.7109375" style="153" customWidth="1"/>
    <col min="11545" max="11776" width="9.140625" style="153"/>
    <col min="11777" max="11777" width="4.7109375" style="153" customWidth="1"/>
    <col min="11778" max="11778" width="6.85546875" style="153" customWidth="1"/>
    <col min="11779" max="11779" width="6.5703125" style="153" customWidth="1"/>
    <col min="11780" max="11780" width="7.28515625" style="153" customWidth="1"/>
    <col min="11781" max="11781" width="79.5703125" style="153" customWidth="1"/>
    <col min="11782" max="11782" width="6.28515625" style="153" customWidth="1"/>
    <col min="11783" max="11784" width="0" style="153" hidden="1" customWidth="1"/>
    <col min="11785" max="11785" width="16.5703125" style="153" customWidth="1"/>
    <col min="11786" max="11786" width="14.7109375" style="153" customWidth="1"/>
    <col min="11787" max="11792" width="0" style="153" hidden="1" customWidth="1"/>
    <col min="11793" max="11793" width="16.140625" style="153" customWidth="1"/>
    <col min="11794" max="11796" width="0" style="153" hidden="1" customWidth="1"/>
    <col min="11797" max="11799" width="9.140625" style="153"/>
    <col min="11800" max="11800" width="15.7109375" style="153" customWidth="1"/>
    <col min="11801" max="12032" width="9.140625" style="153"/>
    <col min="12033" max="12033" width="4.7109375" style="153" customWidth="1"/>
    <col min="12034" max="12034" width="6.85546875" style="153" customWidth="1"/>
    <col min="12035" max="12035" width="6.5703125" style="153" customWidth="1"/>
    <col min="12036" max="12036" width="7.28515625" style="153" customWidth="1"/>
    <col min="12037" max="12037" width="79.5703125" style="153" customWidth="1"/>
    <col min="12038" max="12038" width="6.28515625" style="153" customWidth="1"/>
    <col min="12039" max="12040" width="0" style="153" hidden="1" customWidth="1"/>
    <col min="12041" max="12041" width="16.5703125" style="153" customWidth="1"/>
    <col min="12042" max="12042" width="14.7109375" style="153" customWidth="1"/>
    <col min="12043" max="12048" width="0" style="153" hidden="1" customWidth="1"/>
    <col min="12049" max="12049" width="16.140625" style="153" customWidth="1"/>
    <col min="12050" max="12052" width="0" style="153" hidden="1" customWidth="1"/>
    <col min="12053" max="12055" width="9.140625" style="153"/>
    <col min="12056" max="12056" width="15.7109375" style="153" customWidth="1"/>
    <col min="12057" max="12288" width="9.140625" style="153"/>
    <col min="12289" max="12289" width="4.7109375" style="153" customWidth="1"/>
    <col min="12290" max="12290" width="6.85546875" style="153" customWidth="1"/>
    <col min="12291" max="12291" width="6.5703125" style="153" customWidth="1"/>
    <col min="12292" max="12292" width="7.28515625" style="153" customWidth="1"/>
    <col min="12293" max="12293" width="79.5703125" style="153" customWidth="1"/>
    <col min="12294" max="12294" width="6.28515625" style="153" customWidth="1"/>
    <col min="12295" max="12296" width="0" style="153" hidden="1" customWidth="1"/>
    <col min="12297" max="12297" width="16.5703125" style="153" customWidth="1"/>
    <col min="12298" max="12298" width="14.7109375" style="153" customWidth="1"/>
    <col min="12299" max="12304" width="0" style="153" hidden="1" customWidth="1"/>
    <col min="12305" max="12305" width="16.140625" style="153" customWidth="1"/>
    <col min="12306" max="12308" width="0" style="153" hidden="1" customWidth="1"/>
    <col min="12309" max="12311" width="9.140625" style="153"/>
    <col min="12312" max="12312" width="15.7109375" style="153" customWidth="1"/>
    <col min="12313" max="12544" width="9.140625" style="153"/>
    <col min="12545" max="12545" width="4.7109375" style="153" customWidth="1"/>
    <col min="12546" max="12546" width="6.85546875" style="153" customWidth="1"/>
    <col min="12547" max="12547" width="6.5703125" style="153" customWidth="1"/>
    <col min="12548" max="12548" width="7.28515625" style="153" customWidth="1"/>
    <col min="12549" max="12549" width="79.5703125" style="153" customWidth="1"/>
    <col min="12550" max="12550" width="6.28515625" style="153" customWidth="1"/>
    <col min="12551" max="12552" width="0" style="153" hidden="1" customWidth="1"/>
    <col min="12553" max="12553" width="16.5703125" style="153" customWidth="1"/>
    <col min="12554" max="12554" width="14.7109375" style="153" customWidth="1"/>
    <col min="12555" max="12560" width="0" style="153" hidden="1" customWidth="1"/>
    <col min="12561" max="12561" width="16.140625" style="153" customWidth="1"/>
    <col min="12562" max="12564" width="0" style="153" hidden="1" customWidth="1"/>
    <col min="12565" max="12567" width="9.140625" style="153"/>
    <col min="12568" max="12568" width="15.7109375" style="153" customWidth="1"/>
    <col min="12569" max="12800" width="9.140625" style="153"/>
    <col min="12801" max="12801" width="4.7109375" style="153" customWidth="1"/>
    <col min="12802" max="12802" width="6.85546875" style="153" customWidth="1"/>
    <col min="12803" max="12803" width="6.5703125" style="153" customWidth="1"/>
    <col min="12804" max="12804" width="7.28515625" style="153" customWidth="1"/>
    <col min="12805" max="12805" width="79.5703125" style="153" customWidth="1"/>
    <col min="12806" max="12806" width="6.28515625" style="153" customWidth="1"/>
    <col min="12807" max="12808" width="0" style="153" hidden="1" customWidth="1"/>
    <col min="12809" max="12809" width="16.5703125" style="153" customWidth="1"/>
    <col min="12810" max="12810" width="14.7109375" style="153" customWidth="1"/>
    <col min="12811" max="12816" width="0" style="153" hidden="1" customWidth="1"/>
    <col min="12817" max="12817" width="16.140625" style="153" customWidth="1"/>
    <col min="12818" max="12820" width="0" style="153" hidden="1" customWidth="1"/>
    <col min="12821" max="12823" width="9.140625" style="153"/>
    <col min="12824" max="12824" width="15.7109375" style="153" customWidth="1"/>
    <col min="12825" max="13056" width="9.140625" style="153"/>
    <col min="13057" max="13057" width="4.7109375" style="153" customWidth="1"/>
    <col min="13058" max="13058" width="6.85546875" style="153" customWidth="1"/>
    <col min="13059" max="13059" width="6.5703125" style="153" customWidth="1"/>
    <col min="13060" max="13060" width="7.28515625" style="153" customWidth="1"/>
    <col min="13061" max="13061" width="79.5703125" style="153" customWidth="1"/>
    <col min="13062" max="13062" width="6.28515625" style="153" customWidth="1"/>
    <col min="13063" max="13064" width="0" style="153" hidden="1" customWidth="1"/>
    <col min="13065" max="13065" width="16.5703125" style="153" customWidth="1"/>
    <col min="13066" max="13066" width="14.7109375" style="153" customWidth="1"/>
    <col min="13067" max="13072" width="0" style="153" hidden="1" customWidth="1"/>
    <col min="13073" max="13073" width="16.140625" style="153" customWidth="1"/>
    <col min="13074" max="13076" width="0" style="153" hidden="1" customWidth="1"/>
    <col min="13077" max="13079" width="9.140625" style="153"/>
    <col min="13080" max="13080" width="15.7109375" style="153" customWidth="1"/>
    <col min="13081" max="13312" width="9.140625" style="153"/>
    <col min="13313" max="13313" width="4.7109375" style="153" customWidth="1"/>
    <col min="13314" max="13314" width="6.85546875" style="153" customWidth="1"/>
    <col min="13315" max="13315" width="6.5703125" style="153" customWidth="1"/>
    <col min="13316" max="13316" width="7.28515625" style="153" customWidth="1"/>
    <col min="13317" max="13317" width="79.5703125" style="153" customWidth="1"/>
    <col min="13318" max="13318" width="6.28515625" style="153" customWidth="1"/>
    <col min="13319" max="13320" width="0" style="153" hidden="1" customWidth="1"/>
    <col min="13321" max="13321" width="16.5703125" style="153" customWidth="1"/>
    <col min="13322" max="13322" width="14.7109375" style="153" customWidth="1"/>
    <col min="13323" max="13328" width="0" style="153" hidden="1" customWidth="1"/>
    <col min="13329" max="13329" width="16.140625" style="153" customWidth="1"/>
    <col min="13330" max="13332" width="0" style="153" hidden="1" customWidth="1"/>
    <col min="13333" max="13335" width="9.140625" style="153"/>
    <col min="13336" max="13336" width="15.7109375" style="153" customWidth="1"/>
    <col min="13337" max="13568" width="9.140625" style="153"/>
    <col min="13569" max="13569" width="4.7109375" style="153" customWidth="1"/>
    <col min="13570" max="13570" width="6.85546875" style="153" customWidth="1"/>
    <col min="13571" max="13571" width="6.5703125" style="153" customWidth="1"/>
    <col min="13572" max="13572" width="7.28515625" style="153" customWidth="1"/>
    <col min="13573" max="13573" width="79.5703125" style="153" customWidth="1"/>
    <col min="13574" max="13574" width="6.28515625" style="153" customWidth="1"/>
    <col min="13575" max="13576" width="0" style="153" hidden="1" customWidth="1"/>
    <col min="13577" max="13577" width="16.5703125" style="153" customWidth="1"/>
    <col min="13578" max="13578" width="14.7109375" style="153" customWidth="1"/>
    <col min="13579" max="13584" width="0" style="153" hidden="1" customWidth="1"/>
    <col min="13585" max="13585" width="16.140625" style="153" customWidth="1"/>
    <col min="13586" max="13588" width="0" style="153" hidden="1" customWidth="1"/>
    <col min="13589" max="13591" width="9.140625" style="153"/>
    <col min="13592" max="13592" width="15.7109375" style="153" customWidth="1"/>
    <col min="13593" max="13824" width="9.140625" style="153"/>
    <col min="13825" max="13825" width="4.7109375" style="153" customWidth="1"/>
    <col min="13826" max="13826" width="6.85546875" style="153" customWidth="1"/>
    <col min="13827" max="13827" width="6.5703125" style="153" customWidth="1"/>
    <col min="13828" max="13828" width="7.28515625" style="153" customWidth="1"/>
    <col min="13829" max="13829" width="79.5703125" style="153" customWidth="1"/>
    <col min="13830" max="13830" width="6.28515625" style="153" customWidth="1"/>
    <col min="13831" max="13832" width="0" style="153" hidden="1" customWidth="1"/>
    <col min="13833" max="13833" width="16.5703125" style="153" customWidth="1"/>
    <col min="13834" max="13834" width="14.7109375" style="153" customWidth="1"/>
    <col min="13835" max="13840" width="0" style="153" hidden="1" customWidth="1"/>
    <col min="13841" max="13841" width="16.140625" style="153" customWidth="1"/>
    <col min="13842" max="13844" width="0" style="153" hidden="1" customWidth="1"/>
    <col min="13845" max="13847" width="9.140625" style="153"/>
    <col min="13848" max="13848" width="15.7109375" style="153" customWidth="1"/>
    <col min="13849" max="14080" width="9.140625" style="153"/>
    <col min="14081" max="14081" width="4.7109375" style="153" customWidth="1"/>
    <col min="14082" max="14082" width="6.85546875" style="153" customWidth="1"/>
    <col min="14083" max="14083" width="6.5703125" style="153" customWidth="1"/>
    <col min="14084" max="14084" width="7.28515625" style="153" customWidth="1"/>
    <col min="14085" max="14085" width="79.5703125" style="153" customWidth="1"/>
    <col min="14086" max="14086" width="6.28515625" style="153" customWidth="1"/>
    <col min="14087" max="14088" width="0" style="153" hidden="1" customWidth="1"/>
    <col min="14089" max="14089" width="16.5703125" style="153" customWidth="1"/>
    <col min="14090" max="14090" width="14.7109375" style="153" customWidth="1"/>
    <col min="14091" max="14096" width="0" style="153" hidden="1" customWidth="1"/>
    <col min="14097" max="14097" width="16.140625" style="153" customWidth="1"/>
    <col min="14098" max="14100" width="0" style="153" hidden="1" customWidth="1"/>
    <col min="14101" max="14103" width="9.140625" style="153"/>
    <col min="14104" max="14104" width="15.7109375" style="153" customWidth="1"/>
    <col min="14105" max="14336" width="9.140625" style="153"/>
    <col min="14337" max="14337" width="4.7109375" style="153" customWidth="1"/>
    <col min="14338" max="14338" width="6.85546875" style="153" customWidth="1"/>
    <col min="14339" max="14339" width="6.5703125" style="153" customWidth="1"/>
    <col min="14340" max="14340" width="7.28515625" style="153" customWidth="1"/>
    <col min="14341" max="14341" width="79.5703125" style="153" customWidth="1"/>
    <col min="14342" max="14342" width="6.28515625" style="153" customWidth="1"/>
    <col min="14343" max="14344" width="0" style="153" hidden="1" customWidth="1"/>
    <col min="14345" max="14345" width="16.5703125" style="153" customWidth="1"/>
    <col min="14346" max="14346" width="14.7109375" style="153" customWidth="1"/>
    <col min="14347" max="14352" width="0" style="153" hidden="1" customWidth="1"/>
    <col min="14353" max="14353" width="16.140625" style="153" customWidth="1"/>
    <col min="14354" max="14356" width="0" style="153" hidden="1" customWidth="1"/>
    <col min="14357" max="14359" width="9.140625" style="153"/>
    <col min="14360" max="14360" width="15.7109375" style="153" customWidth="1"/>
    <col min="14361" max="14592" width="9.140625" style="153"/>
    <col min="14593" max="14593" width="4.7109375" style="153" customWidth="1"/>
    <col min="14594" max="14594" width="6.85546875" style="153" customWidth="1"/>
    <col min="14595" max="14595" width="6.5703125" style="153" customWidth="1"/>
    <col min="14596" max="14596" width="7.28515625" style="153" customWidth="1"/>
    <col min="14597" max="14597" width="79.5703125" style="153" customWidth="1"/>
    <col min="14598" max="14598" width="6.28515625" style="153" customWidth="1"/>
    <col min="14599" max="14600" width="0" style="153" hidden="1" customWidth="1"/>
    <col min="14601" max="14601" width="16.5703125" style="153" customWidth="1"/>
    <col min="14602" max="14602" width="14.7109375" style="153" customWidth="1"/>
    <col min="14603" max="14608" width="0" style="153" hidden="1" customWidth="1"/>
    <col min="14609" max="14609" width="16.140625" style="153" customWidth="1"/>
    <col min="14610" max="14612" width="0" style="153" hidden="1" customWidth="1"/>
    <col min="14613" max="14615" width="9.140625" style="153"/>
    <col min="14616" max="14616" width="15.7109375" style="153" customWidth="1"/>
    <col min="14617" max="14848" width="9.140625" style="153"/>
    <col min="14849" max="14849" width="4.7109375" style="153" customWidth="1"/>
    <col min="14850" max="14850" width="6.85546875" style="153" customWidth="1"/>
    <col min="14851" max="14851" width="6.5703125" style="153" customWidth="1"/>
    <col min="14852" max="14852" width="7.28515625" style="153" customWidth="1"/>
    <col min="14853" max="14853" width="79.5703125" style="153" customWidth="1"/>
    <col min="14854" max="14854" width="6.28515625" style="153" customWidth="1"/>
    <col min="14855" max="14856" width="0" style="153" hidden="1" customWidth="1"/>
    <col min="14857" max="14857" width="16.5703125" style="153" customWidth="1"/>
    <col min="14858" max="14858" width="14.7109375" style="153" customWidth="1"/>
    <col min="14859" max="14864" width="0" style="153" hidden="1" customWidth="1"/>
    <col min="14865" max="14865" width="16.140625" style="153" customWidth="1"/>
    <col min="14866" max="14868" width="0" style="153" hidden="1" customWidth="1"/>
    <col min="14869" max="14871" width="9.140625" style="153"/>
    <col min="14872" max="14872" width="15.7109375" style="153" customWidth="1"/>
    <col min="14873" max="15104" width="9.140625" style="153"/>
    <col min="15105" max="15105" width="4.7109375" style="153" customWidth="1"/>
    <col min="15106" max="15106" width="6.85546875" style="153" customWidth="1"/>
    <col min="15107" max="15107" width="6.5703125" style="153" customWidth="1"/>
    <col min="15108" max="15108" width="7.28515625" style="153" customWidth="1"/>
    <col min="15109" max="15109" width="79.5703125" style="153" customWidth="1"/>
    <col min="15110" max="15110" width="6.28515625" style="153" customWidth="1"/>
    <col min="15111" max="15112" width="0" style="153" hidden="1" customWidth="1"/>
    <col min="15113" max="15113" width="16.5703125" style="153" customWidth="1"/>
    <col min="15114" max="15114" width="14.7109375" style="153" customWidth="1"/>
    <col min="15115" max="15120" width="0" style="153" hidden="1" customWidth="1"/>
    <col min="15121" max="15121" width="16.140625" style="153" customWidth="1"/>
    <col min="15122" max="15124" width="0" style="153" hidden="1" customWidth="1"/>
    <col min="15125" max="15127" width="9.140625" style="153"/>
    <col min="15128" max="15128" width="15.7109375" style="153" customWidth="1"/>
    <col min="15129" max="15360" width="9.140625" style="153"/>
    <col min="15361" max="15361" width="4.7109375" style="153" customWidth="1"/>
    <col min="15362" max="15362" width="6.85546875" style="153" customWidth="1"/>
    <col min="15363" max="15363" width="6.5703125" style="153" customWidth="1"/>
    <col min="15364" max="15364" width="7.28515625" style="153" customWidth="1"/>
    <col min="15365" max="15365" width="79.5703125" style="153" customWidth="1"/>
    <col min="15366" max="15366" width="6.28515625" style="153" customWidth="1"/>
    <col min="15367" max="15368" width="0" style="153" hidden="1" customWidth="1"/>
    <col min="15369" max="15369" width="16.5703125" style="153" customWidth="1"/>
    <col min="15370" max="15370" width="14.7109375" style="153" customWidth="1"/>
    <col min="15371" max="15376" width="0" style="153" hidden="1" customWidth="1"/>
    <col min="15377" max="15377" width="16.140625" style="153" customWidth="1"/>
    <col min="15378" max="15380" width="0" style="153" hidden="1" customWidth="1"/>
    <col min="15381" max="15383" width="9.140625" style="153"/>
    <col min="15384" max="15384" width="15.7109375" style="153" customWidth="1"/>
    <col min="15385" max="15616" width="9.140625" style="153"/>
    <col min="15617" max="15617" width="4.7109375" style="153" customWidth="1"/>
    <col min="15618" max="15618" width="6.85546875" style="153" customWidth="1"/>
    <col min="15619" max="15619" width="6.5703125" style="153" customWidth="1"/>
    <col min="15620" max="15620" width="7.28515625" style="153" customWidth="1"/>
    <col min="15621" max="15621" width="79.5703125" style="153" customWidth="1"/>
    <col min="15622" max="15622" width="6.28515625" style="153" customWidth="1"/>
    <col min="15623" max="15624" width="0" style="153" hidden="1" customWidth="1"/>
    <col min="15625" max="15625" width="16.5703125" style="153" customWidth="1"/>
    <col min="15626" max="15626" width="14.7109375" style="153" customWidth="1"/>
    <col min="15627" max="15632" width="0" style="153" hidden="1" customWidth="1"/>
    <col min="15633" max="15633" width="16.140625" style="153" customWidth="1"/>
    <col min="15634" max="15636" width="0" style="153" hidden="1" customWidth="1"/>
    <col min="15637" max="15639" width="9.140625" style="153"/>
    <col min="15640" max="15640" width="15.7109375" style="153" customWidth="1"/>
    <col min="15641" max="15872" width="9.140625" style="153"/>
    <col min="15873" max="15873" width="4.7109375" style="153" customWidth="1"/>
    <col min="15874" max="15874" width="6.85546875" style="153" customWidth="1"/>
    <col min="15875" max="15875" width="6.5703125" style="153" customWidth="1"/>
    <col min="15876" max="15876" width="7.28515625" style="153" customWidth="1"/>
    <col min="15877" max="15877" width="79.5703125" style="153" customWidth="1"/>
    <col min="15878" max="15878" width="6.28515625" style="153" customWidth="1"/>
    <col min="15879" max="15880" width="0" style="153" hidden="1" customWidth="1"/>
    <col min="15881" max="15881" width="16.5703125" style="153" customWidth="1"/>
    <col min="15882" max="15882" width="14.7109375" style="153" customWidth="1"/>
    <col min="15883" max="15888" width="0" style="153" hidden="1" customWidth="1"/>
    <col min="15889" max="15889" width="16.140625" style="153" customWidth="1"/>
    <col min="15890" max="15892" width="0" style="153" hidden="1" customWidth="1"/>
    <col min="15893" max="15895" width="9.140625" style="153"/>
    <col min="15896" max="15896" width="15.7109375" style="153" customWidth="1"/>
    <col min="15897" max="16128" width="9.140625" style="153"/>
    <col min="16129" max="16129" width="4.7109375" style="153" customWidth="1"/>
    <col min="16130" max="16130" width="6.85546875" style="153" customWidth="1"/>
    <col min="16131" max="16131" width="6.5703125" style="153" customWidth="1"/>
    <col min="16132" max="16132" width="7.28515625" style="153" customWidth="1"/>
    <col min="16133" max="16133" width="79.5703125" style="153" customWidth="1"/>
    <col min="16134" max="16134" width="6.28515625" style="153" customWidth="1"/>
    <col min="16135" max="16136" width="0" style="153" hidden="1" customWidth="1"/>
    <col min="16137" max="16137" width="16.5703125" style="153" customWidth="1"/>
    <col min="16138" max="16138" width="14.7109375" style="153" customWidth="1"/>
    <col min="16139" max="16144" width="0" style="153" hidden="1" customWidth="1"/>
    <col min="16145" max="16145" width="16.140625" style="153" customWidth="1"/>
    <col min="16146" max="16148" width="0" style="153" hidden="1" customWidth="1"/>
    <col min="16149" max="16151" width="9.140625" style="153"/>
    <col min="16152" max="16152" width="15.7109375" style="153" customWidth="1"/>
    <col min="16153" max="16384" width="9.140625" style="153"/>
  </cols>
  <sheetData>
    <row r="1" spans="1:25">
      <c r="A1" s="150" t="s">
        <v>0</v>
      </c>
      <c r="B1" s="150"/>
      <c r="C1" s="150"/>
      <c r="D1" s="150"/>
      <c r="E1" s="151"/>
      <c r="F1" s="150"/>
      <c r="G1" s="152"/>
      <c r="H1" s="150"/>
      <c r="I1" s="448" t="s">
        <v>119</v>
      </c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</row>
    <row r="2" spans="1:25">
      <c r="A2" s="150" t="s">
        <v>2</v>
      </c>
      <c r="B2" s="150"/>
      <c r="C2" s="150"/>
      <c r="D2" s="150"/>
      <c r="E2" s="150"/>
      <c r="F2" s="150"/>
      <c r="G2" s="152"/>
      <c r="H2" s="150"/>
      <c r="I2" s="150" t="s">
        <v>3</v>
      </c>
      <c r="J2" s="150"/>
      <c r="K2" s="154"/>
      <c r="L2" s="154"/>
      <c r="M2" s="154"/>
      <c r="N2" s="154"/>
      <c r="O2" s="154"/>
      <c r="P2" s="150"/>
      <c r="Q2" s="150"/>
      <c r="R2" s="150"/>
      <c r="S2" s="150"/>
      <c r="T2" s="150"/>
    </row>
    <row r="3" spans="1:25">
      <c r="A3" s="150" t="s">
        <v>120</v>
      </c>
      <c r="B3" s="150"/>
      <c r="C3" s="150"/>
      <c r="D3" s="150"/>
      <c r="E3" s="151"/>
      <c r="F3" s="150"/>
      <c r="G3" s="152"/>
      <c r="H3" s="150"/>
      <c r="I3" s="150" t="s">
        <v>5</v>
      </c>
      <c r="J3" s="150"/>
      <c r="K3" s="154"/>
      <c r="L3" s="154"/>
      <c r="M3" s="154"/>
      <c r="N3" s="154"/>
      <c r="O3" s="154"/>
      <c r="P3" s="150"/>
      <c r="Q3" s="150"/>
      <c r="R3" s="150"/>
      <c r="S3" s="150"/>
      <c r="T3" s="150"/>
    </row>
    <row r="4" spans="1:25">
      <c r="A4" s="150" t="s">
        <v>121</v>
      </c>
      <c r="B4" s="150"/>
      <c r="C4" s="150"/>
      <c r="D4" s="150"/>
      <c r="E4" s="151"/>
      <c r="F4" s="150"/>
      <c r="G4" s="152"/>
      <c r="H4" s="150"/>
      <c r="I4" s="150"/>
      <c r="J4" s="150"/>
      <c r="K4" s="154"/>
      <c r="L4" s="154"/>
      <c r="M4" s="154"/>
      <c r="N4" s="154"/>
      <c r="O4" s="154"/>
      <c r="P4" s="150"/>
      <c r="Q4" s="150"/>
      <c r="R4" s="150"/>
      <c r="S4" s="150"/>
      <c r="T4" s="150"/>
    </row>
    <row r="5" spans="1:25" ht="12.75" customHeight="1">
      <c r="A5" s="449" t="s">
        <v>122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 s="449"/>
      <c r="T5" s="449"/>
    </row>
    <row r="6" spans="1:25" ht="6.75" customHeight="1">
      <c r="A6" s="449"/>
      <c r="B6" s="449"/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49"/>
    </row>
    <row r="7" spans="1:25" ht="15.75" customHeight="1">
      <c r="A7" s="449" t="s">
        <v>123</v>
      </c>
      <c r="B7" s="449"/>
      <c r="C7" s="449"/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  <c r="T7" s="449"/>
    </row>
    <row r="8" spans="1:25" ht="8.25" customHeight="1">
      <c r="E8" s="153"/>
      <c r="G8" s="153"/>
      <c r="I8" s="153"/>
    </row>
    <row r="9" spans="1:25" ht="14.25" customHeight="1" thickBot="1">
      <c r="A9" s="450" t="s">
        <v>9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50"/>
      <c r="S9" s="450"/>
      <c r="T9" s="450"/>
      <c r="U9" s="150"/>
      <c r="V9" s="150"/>
      <c r="W9" s="150"/>
      <c r="X9" s="150"/>
      <c r="Y9" s="150"/>
    </row>
    <row r="10" spans="1:25" s="156" customFormat="1" ht="15.75" customHeight="1">
      <c r="A10" s="451"/>
      <c r="B10" s="437"/>
      <c r="C10" s="437"/>
      <c r="D10" s="437" t="s">
        <v>10</v>
      </c>
      <c r="E10" s="437"/>
      <c r="F10" s="437" t="s">
        <v>124</v>
      </c>
      <c r="G10" s="455" t="s">
        <v>125</v>
      </c>
      <c r="H10" s="437" t="s">
        <v>126</v>
      </c>
      <c r="I10" s="437"/>
      <c r="J10" s="457"/>
      <c r="K10" s="437" t="s">
        <v>127</v>
      </c>
      <c r="L10" s="437"/>
      <c r="M10" s="437"/>
      <c r="N10" s="437"/>
      <c r="O10" s="437"/>
      <c r="P10" s="437"/>
      <c r="Q10" s="437"/>
      <c r="R10" s="457"/>
      <c r="S10" s="437" t="s">
        <v>15</v>
      </c>
      <c r="T10" s="439" t="s">
        <v>15</v>
      </c>
      <c r="U10" s="483"/>
      <c r="V10" s="483"/>
      <c r="W10" s="483"/>
      <c r="X10" s="483"/>
      <c r="Y10" s="483"/>
    </row>
    <row r="11" spans="1:25" s="156" customFormat="1" ht="15.75" customHeight="1">
      <c r="A11" s="452"/>
      <c r="B11" s="438"/>
      <c r="C11" s="438"/>
      <c r="D11" s="438"/>
      <c r="E11" s="438"/>
      <c r="F11" s="438"/>
      <c r="G11" s="456"/>
      <c r="H11" s="438" t="s">
        <v>128</v>
      </c>
      <c r="I11" s="438"/>
      <c r="J11" s="441" t="s">
        <v>129</v>
      </c>
      <c r="K11" s="438" t="s">
        <v>130</v>
      </c>
      <c r="L11" s="438"/>
      <c r="M11" s="438"/>
      <c r="N11" s="438"/>
      <c r="O11" s="438"/>
      <c r="P11" s="438"/>
      <c r="Q11" s="438"/>
      <c r="R11" s="443"/>
      <c r="S11" s="438"/>
      <c r="T11" s="440"/>
      <c r="U11" s="483"/>
      <c r="V11" s="483"/>
      <c r="W11" s="483"/>
      <c r="X11" s="483"/>
      <c r="Y11" s="483"/>
    </row>
    <row r="12" spans="1:25" s="156" customFormat="1" ht="53.25" customHeight="1" thickBot="1">
      <c r="A12" s="453"/>
      <c r="B12" s="454"/>
      <c r="C12" s="454"/>
      <c r="D12" s="454"/>
      <c r="E12" s="454"/>
      <c r="F12" s="454"/>
      <c r="G12" s="159" t="s">
        <v>131</v>
      </c>
      <c r="H12" s="158" t="s">
        <v>132</v>
      </c>
      <c r="I12" s="160" t="s">
        <v>133</v>
      </c>
      <c r="J12" s="442"/>
      <c r="K12" s="444" t="s">
        <v>134</v>
      </c>
      <c r="L12" s="445"/>
      <c r="M12" s="444" t="s">
        <v>135</v>
      </c>
      <c r="N12" s="445"/>
      <c r="O12" s="446" t="s">
        <v>136</v>
      </c>
      <c r="P12" s="447"/>
      <c r="Q12" s="161" t="s">
        <v>137</v>
      </c>
      <c r="R12" s="162" t="s">
        <v>138</v>
      </c>
      <c r="S12" s="163" t="s">
        <v>139</v>
      </c>
      <c r="T12" s="164" t="s">
        <v>140</v>
      </c>
      <c r="U12" s="483"/>
      <c r="V12" s="157" t="s">
        <v>137</v>
      </c>
      <c r="W12" s="483"/>
      <c r="X12" s="483"/>
      <c r="Y12" s="483"/>
    </row>
    <row r="13" spans="1:25" ht="17.25" customHeight="1" thickBot="1">
      <c r="A13" s="165">
        <v>0</v>
      </c>
      <c r="B13" s="428">
        <v>1</v>
      </c>
      <c r="C13" s="429"/>
      <c r="D13" s="430">
        <v>2</v>
      </c>
      <c r="E13" s="431"/>
      <c r="F13" s="169">
        <v>3</v>
      </c>
      <c r="G13" s="170" t="s">
        <v>141</v>
      </c>
      <c r="H13" s="169">
        <v>4</v>
      </c>
      <c r="I13" s="171" t="s">
        <v>142</v>
      </c>
      <c r="J13" s="166">
        <v>5</v>
      </c>
      <c r="K13" s="172" t="s">
        <v>24</v>
      </c>
      <c r="L13" s="172" t="s">
        <v>143</v>
      </c>
      <c r="M13" s="172" t="s">
        <v>25</v>
      </c>
      <c r="N13" s="172" t="s">
        <v>143</v>
      </c>
      <c r="O13" s="172" t="s">
        <v>26</v>
      </c>
      <c r="P13" s="166" t="s">
        <v>143</v>
      </c>
      <c r="Q13" s="167">
        <v>6</v>
      </c>
      <c r="R13" s="168" t="s">
        <v>143</v>
      </c>
      <c r="S13" s="169">
        <v>7</v>
      </c>
      <c r="T13" s="173">
        <v>8</v>
      </c>
      <c r="U13" s="150"/>
      <c r="V13" s="150"/>
      <c r="W13" s="150"/>
      <c r="X13" s="150"/>
      <c r="Y13" s="150"/>
    </row>
    <row r="14" spans="1:25" s="179" customFormat="1" ht="26.25" customHeight="1" thickBot="1">
      <c r="A14" s="174" t="s">
        <v>28</v>
      </c>
      <c r="B14" s="175"/>
      <c r="C14" s="175"/>
      <c r="D14" s="432" t="s">
        <v>144</v>
      </c>
      <c r="E14" s="432"/>
      <c r="F14" s="175">
        <v>1</v>
      </c>
      <c r="G14" s="176">
        <f>G15+G35</f>
        <v>2194.0400000000004</v>
      </c>
      <c r="H14" s="176"/>
      <c r="I14" s="176">
        <f t="shared" ref="I14:V14" si="0">I15+I35</f>
        <v>2527.6790000000001</v>
      </c>
      <c r="J14" s="176">
        <f t="shared" si="0"/>
        <v>2499.895</v>
      </c>
      <c r="K14" s="176">
        <f t="shared" si="0"/>
        <v>732.90099999999995</v>
      </c>
      <c r="L14" s="176">
        <f t="shared" si="0"/>
        <v>0</v>
      </c>
      <c r="M14" s="176">
        <f t="shared" si="0"/>
        <v>698.23599999999999</v>
      </c>
      <c r="N14" s="176">
        <f t="shared" si="0"/>
        <v>0.59499999999999997</v>
      </c>
      <c r="O14" s="176">
        <f t="shared" si="0"/>
        <v>630.18599999999992</v>
      </c>
      <c r="P14" s="176">
        <f t="shared" si="0"/>
        <v>0</v>
      </c>
      <c r="Q14" s="176">
        <f t="shared" si="0"/>
        <v>2757.152</v>
      </c>
      <c r="R14" s="176">
        <f t="shared" si="0"/>
        <v>69.619</v>
      </c>
      <c r="S14" s="176">
        <f>IF(Q14=0,"0",Q14/J14)</f>
        <v>1.1029071220991282</v>
      </c>
      <c r="T14" s="176">
        <f>IF(J14=0,"0",J14/G14)</f>
        <v>1.1394026544639111</v>
      </c>
      <c r="U14" s="177"/>
      <c r="V14" s="178">
        <f t="shared" si="0"/>
        <v>2757.1532289414949</v>
      </c>
      <c r="W14" s="484"/>
      <c r="X14" s="484">
        <v>2637.1</v>
      </c>
      <c r="Y14" s="484"/>
    </row>
    <row r="15" spans="1:25" ht="42" customHeight="1" thickBot="1">
      <c r="A15" s="433"/>
      <c r="B15" s="180">
        <v>1</v>
      </c>
      <c r="C15" s="180"/>
      <c r="D15" s="420" t="s">
        <v>145</v>
      </c>
      <c r="E15" s="420"/>
      <c r="F15" s="180">
        <v>2</v>
      </c>
      <c r="G15" s="178">
        <f>G16+G21+G22+G25+G26+G27</f>
        <v>2194.0300000000002</v>
      </c>
      <c r="H15" s="181"/>
      <c r="I15" s="178">
        <f t="shared" ref="I15:V15" si="1">I16+I21+I22+I25+I26+I27</f>
        <v>2527.6790000000001</v>
      </c>
      <c r="J15" s="178">
        <f t="shared" si="1"/>
        <v>2499.895</v>
      </c>
      <c r="K15" s="178">
        <f t="shared" si="1"/>
        <v>732.90099999999995</v>
      </c>
      <c r="L15" s="178">
        <f t="shared" si="1"/>
        <v>0</v>
      </c>
      <c r="M15" s="178">
        <f t="shared" si="1"/>
        <v>698.23599999999999</v>
      </c>
      <c r="N15" s="178">
        <f t="shared" si="1"/>
        <v>0.58499999999999996</v>
      </c>
      <c r="O15" s="178">
        <f t="shared" si="1"/>
        <v>630.18599999999992</v>
      </c>
      <c r="P15" s="178">
        <f t="shared" si="1"/>
        <v>0</v>
      </c>
      <c r="Q15" s="178">
        <f t="shared" si="1"/>
        <v>2755.152</v>
      </c>
      <c r="R15" s="178">
        <f t="shared" si="1"/>
        <v>69.619</v>
      </c>
      <c r="S15" s="176">
        <f t="shared" ref="S15:S78" si="2">IF(Q15=0,"0",Q15/J15)</f>
        <v>1.1021070884977169</v>
      </c>
      <c r="T15" s="176">
        <f t="shared" ref="T15:T78" si="3">IF(J15=0,"0",J15/G15)</f>
        <v>1.1394078476593299</v>
      </c>
      <c r="U15" s="182"/>
      <c r="V15" s="178">
        <f t="shared" si="1"/>
        <v>2755.1532289414949</v>
      </c>
      <c r="W15" s="150"/>
      <c r="X15" s="150"/>
      <c r="Y15" s="150"/>
    </row>
    <row r="16" spans="1:25" ht="34.5" customHeight="1" thickBot="1">
      <c r="A16" s="426"/>
      <c r="B16" s="417"/>
      <c r="C16" s="180" t="s">
        <v>31</v>
      </c>
      <c r="D16" s="420" t="s">
        <v>146</v>
      </c>
      <c r="E16" s="420"/>
      <c r="F16" s="180">
        <v>3</v>
      </c>
      <c r="G16" s="178">
        <f>G17+G18+G19+G20</f>
        <v>2115.13</v>
      </c>
      <c r="H16" s="181"/>
      <c r="I16" s="178">
        <f t="shared" ref="I16:V16" si="4">I17+I18+I19+I20</f>
        <v>2415.5889999999999</v>
      </c>
      <c r="J16" s="178">
        <f t="shared" si="4"/>
        <v>2310.5509999999999</v>
      </c>
      <c r="K16" s="178">
        <f t="shared" si="4"/>
        <v>730.64199999999994</v>
      </c>
      <c r="L16" s="178">
        <f t="shared" si="4"/>
        <v>0</v>
      </c>
      <c r="M16" s="178">
        <f t="shared" si="4"/>
        <v>490.13599999999997</v>
      </c>
      <c r="N16" s="178">
        <f t="shared" si="4"/>
        <v>0</v>
      </c>
      <c r="O16" s="178">
        <f t="shared" si="4"/>
        <v>490.13599999999997</v>
      </c>
      <c r="P16" s="178">
        <f t="shared" si="4"/>
        <v>0</v>
      </c>
      <c r="Q16" s="178">
        <f t="shared" si="4"/>
        <v>2267.3540000000003</v>
      </c>
      <c r="R16" s="178">
        <f t="shared" si="4"/>
        <v>0</v>
      </c>
      <c r="S16" s="176">
        <f t="shared" si="2"/>
        <v>0.98130445941249522</v>
      </c>
      <c r="T16" s="176">
        <f t="shared" si="3"/>
        <v>1.0923919569955509</v>
      </c>
      <c r="U16" s="182"/>
      <c r="V16" s="178">
        <f t="shared" si="4"/>
        <v>2267.3587713335951</v>
      </c>
      <c r="W16" s="150"/>
      <c r="X16" s="150"/>
      <c r="Y16" s="150"/>
    </row>
    <row r="17" spans="1:25" ht="18.75" thickBot="1">
      <c r="A17" s="426"/>
      <c r="B17" s="417"/>
      <c r="C17" s="417"/>
      <c r="D17" s="183" t="s">
        <v>147</v>
      </c>
      <c r="E17" s="184" t="s">
        <v>148</v>
      </c>
      <c r="F17" s="183">
        <v>4</v>
      </c>
      <c r="G17" s="185">
        <v>2053.63</v>
      </c>
      <c r="H17" s="186"/>
      <c r="I17" s="187">
        <v>2320.6289999999999</v>
      </c>
      <c r="J17" s="188">
        <f>1202.019+1151.69-196.797</f>
        <v>2156.9119999999998</v>
      </c>
      <c r="K17" s="189">
        <v>724.45299999999997</v>
      </c>
      <c r="L17" s="189">
        <v>0</v>
      </c>
      <c r="M17" s="189">
        <v>482.2</v>
      </c>
      <c r="N17" s="189">
        <v>0</v>
      </c>
      <c r="O17" s="189">
        <v>482.2</v>
      </c>
      <c r="P17" s="190">
        <v>0</v>
      </c>
      <c r="Q17" s="187">
        <f>2171.05</f>
        <v>2171.0500000000002</v>
      </c>
      <c r="R17" s="188">
        <v>0</v>
      </c>
      <c r="S17" s="176">
        <f t="shared" si="2"/>
        <v>1.006554741222637</v>
      </c>
      <c r="T17" s="176">
        <f t="shared" si="3"/>
        <v>1.0502924090512895</v>
      </c>
      <c r="U17" s="150"/>
      <c r="V17" s="485">
        <f t="array" ref="V17:W17">'[3]LP -venituri'!R59:S59/1000</f>
        <v>2171.054771333595</v>
      </c>
      <c r="W17" s="150">
        <v>0</v>
      </c>
      <c r="X17" s="150"/>
      <c r="Y17" s="150"/>
    </row>
    <row r="18" spans="1:25" ht="18.75" thickBot="1">
      <c r="A18" s="426"/>
      <c r="B18" s="417"/>
      <c r="C18" s="417"/>
      <c r="D18" s="183" t="s">
        <v>149</v>
      </c>
      <c r="E18" s="184" t="s">
        <v>150</v>
      </c>
      <c r="F18" s="183">
        <v>5</v>
      </c>
      <c r="G18" s="185">
        <v>16.489999999999998</v>
      </c>
      <c r="H18" s="186"/>
      <c r="I18" s="187">
        <v>26.61</v>
      </c>
      <c r="J18" s="188">
        <f>33.657</f>
        <v>33.656999999999996</v>
      </c>
      <c r="K18" s="189">
        <v>3.1890000000000001</v>
      </c>
      <c r="L18" s="189">
        <v>0</v>
      </c>
      <c r="M18" s="189">
        <v>4.9359999999999999</v>
      </c>
      <c r="N18" s="189">
        <v>0</v>
      </c>
      <c r="O18" s="189">
        <v>4.9359999999999999</v>
      </c>
      <c r="P18" s="190">
        <v>0</v>
      </c>
      <c r="Q18" s="187">
        <v>18.004000000000001</v>
      </c>
      <c r="R18" s="188">
        <v>0</v>
      </c>
      <c r="S18" s="176">
        <f t="shared" si="2"/>
        <v>0.53492586980420131</v>
      </c>
      <c r="T18" s="176">
        <f t="shared" si="3"/>
        <v>2.041055184960582</v>
      </c>
      <c r="U18" s="150"/>
      <c r="V18" s="485">
        <f t="array" ref="V18:W18">'[3]LP -venituri'!R62:S62/1000</f>
        <v>18.004000000000001</v>
      </c>
      <c r="W18" s="150">
        <v>0</v>
      </c>
      <c r="X18" s="150"/>
      <c r="Y18" s="150"/>
    </row>
    <row r="19" spans="1:25" ht="18.75" thickBot="1">
      <c r="A19" s="426"/>
      <c r="B19" s="417"/>
      <c r="C19" s="417"/>
      <c r="D19" s="183" t="s">
        <v>151</v>
      </c>
      <c r="E19" s="184" t="s">
        <v>152</v>
      </c>
      <c r="F19" s="183">
        <v>6</v>
      </c>
      <c r="G19" s="185">
        <v>0</v>
      </c>
      <c r="H19" s="186"/>
      <c r="I19" s="187"/>
      <c r="J19" s="188">
        <v>0</v>
      </c>
      <c r="K19" s="189">
        <v>0</v>
      </c>
      <c r="L19" s="189"/>
      <c r="M19" s="189">
        <v>0</v>
      </c>
      <c r="N19" s="189"/>
      <c r="O19" s="189">
        <v>0</v>
      </c>
      <c r="P19" s="190">
        <v>0</v>
      </c>
      <c r="Q19" s="187"/>
      <c r="R19" s="188">
        <v>0</v>
      </c>
      <c r="S19" s="176" t="str">
        <f t="shared" si="2"/>
        <v>0</v>
      </c>
      <c r="T19" s="176" t="str">
        <f t="shared" si="3"/>
        <v>0</v>
      </c>
      <c r="U19" s="150"/>
      <c r="V19" s="283"/>
      <c r="W19" s="150"/>
      <c r="X19" s="150"/>
      <c r="Y19" s="150"/>
    </row>
    <row r="20" spans="1:25" ht="18.75" thickBot="1">
      <c r="A20" s="426"/>
      <c r="B20" s="417"/>
      <c r="C20" s="417"/>
      <c r="D20" s="183" t="s">
        <v>153</v>
      </c>
      <c r="E20" s="184" t="s">
        <v>154</v>
      </c>
      <c r="F20" s="183">
        <v>7</v>
      </c>
      <c r="G20" s="185">
        <v>45.01</v>
      </c>
      <c r="H20" s="186"/>
      <c r="I20" s="187">
        <v>68.349999999999994</v>
      </c>
      <c r="J20" s="188">
        <f>113.231+6.751</f>
        <v>119.982</v>
      </c>
      <c r="K20" s="189">
        <f>3</f>
        <v>3</v>
      </c>
      <c r="L20" s="189">
        <v>0</v>
      </c>
      <c r="M20" s="189">
        <v>3</v>
      </c>
      <c r="N20" s="189">
        <v>0</v>
      </c>
      <c r="O20" s="189">
        <v>3</v>
      </c>
      <c r="P20" s="190">
        <v>0</v>
      </c>
      <c r="Q20" s="187">
        <v>78.3</v>
      </c>
      <c r="R20" s="188">
        <v>0</v>
      </c>
      <c r="S20" s="176">
        <f t="shared" si="2"/>
        <v>0.65259788968345245</v>
      </c>
      <c r="T20" s="176">
        <f t="shared" si="3"/>
        <v>2.6656742946012</v>
      </c>
      <c r="U20" s="150"/>
      <c r="V20" s="188">
        <f>'[3]LP -venituri'!T63/1000</f>
        <v>78.3</v>
      </c>
      <c r="W20" s="150"/>
      <c r="X20" s="150"/>
      <c r="Y20" s="150"/>
    </row>
    <row r="21" spans="1:25" ht="17.25" customHeight="1" thickBot="1">
      <c r="A21" s="426"/>
      <c r="B21" s="417"/>
      <c r="C21" s="183" t="s">
        <v>33</v>
      </c>
      <c r="D21" s="418" t="s">
        <v>155</v>
      </c>
      <c r="E21" s="418"/>
      <c r="F21" s="183">
        <v>8</v>
      </c>
      <c r="G21" s="191">
        <v>0</v>
      </c>
      <c r="H21" s="186"/>
      <c r="I21" s="187"/>
      <c r="J21" s="192"/>
      <c r="K21" s="189">
        <v>0</v>
      </c>
      <c r="L21" s="189"/>
      <c r="M21" s="189">
        <v>0</v>
      </c>
      <c r="N21" s="189"/>
      <c r="O21" s="189">
        <v>0</v>
      </c>
      <c r="P21" s="190">
        <v>0</v>
      </c>
      <c r="Q21" s="187"/>
      <c r="R21" s="192"/>
      <c r="S21" s="176" t="str">
        <f t="shared" si="2"/>
        <v>0</v>
      </c>
      <c r="T21" s="176" t="str">
        <f t="shared" si="3"/>
        <v>0</v>
      </c>
      <c r="U21" s="150"/>
      <c r="V21" s="283"/>
      <c r="W21" s="150"/>
      <c r="X21" s="150"/>
      <c r="Y21" s="150"/>
    </row>
    <row r="22" spans="1:25" s="195" customFormat="1" ht="35.25" customHeight="1" thickBot="1">
      <c r="A22" s="426"/>
      <c r="B22" s="417"/>
      <c r="C22" s="180" t="s">
        <v>81</v>
      </c>
      <c r="D22" s="420" t="s">
        <v>156</v>
      </c>
      <c r="E22" s="420"/>
      <c r="F22" s="180">
        <v>9</v>
      </c>
      <c r="G22" s="182">
        <f>G23+G24</f>
        <v>0</v>
      </c>
      <c r="H22" s="193"/>
      <c r="I22" s="178"/>
      <c r="J22" s="182">
        <f t="shared" ref="J22:P22" si="5">J23+J24</f>
        <v>0</v>
      </c>
      <c r="K22" s="194">
        <f t="shared" si="5"/>
        <v>0</v>
      </c>
      <c r="L22" s="194">
        <f t="shared" si="5"/>
        <v>0</v>
      </c>
      <c r="M22" s="194">
        <f t="shared" si="5"/>
        <v>0</v>
      </c>
      <c r="N22" s="194">
        <f t="shared" si="5"/>
        <v>0</v>
      </c>
      <c r="O22" s="194">
        <f t="shared" si="5"/>
        <v>0</v>
      </c>
      <c r="P22" s="194">
        <f t="shared" si="5"/>
        <v>0</v>
      </c>
      <c r="Q22" s="178"/>
      <c r="R22" s="182">
        <f>R23+R24</f>
        <v>0</v>
      </c>
      <c r="S22" s="176" t="str">
        <f t="shared" si="2"/>
        <v>0</v>
      </c>
      <c r="T22" s="176" t="str">
        <f t="shared" si="3"/>
        <v>0</v>
      </c>
      <c r="U22" s="486"/>
      <c r="V22" s="487"/>
      <c r="W22" s="486"/>
      <c r="X22" s="486"/>
      <c r="Y22" s="486"/>
    </row>
    <row r="23" spans="1:25" ht="21" customHeight="1" thickBot="1">
      <c r="A23" s="426"/>
      <c r="B23" s="417"/>
      <c r="C23" s="417"/>
      <c r="D23" s="183" t="s">
        <v>157</v>
      </c>
      <c r="E23" s="184" t="s">
        <v>158</v>
      </c>
      <c r="F23" s="183">
        <v>10</v>
      </c>
      <c r="G23" s="191"/>
      <c r="H23" s="186"/>
      <c r="I23" s="187">
        <v>0</v>
      </c>
      <c r="J23" s="192">
        <v>0</v>
      </c>
      <c r="K23" s="189">
        <f>Q23/4</f>
        <v>0</v>
      </c>
      <c r="L23" s="189"/>
      <c r="M23" s="189">
        <f>(Q23/4)+K23</f>
        <v>0</v>
      </c>
      <c r="N23" s="189"/>
      <c r="O23" s="189">
        <f>(Q23/4)+M23</f>
        <v>0</v>
      </c>
      <c r="P23" s="190">
        <v>0</v>
      </c>
      <c r="Q23" s="187">
        <v>0</v>
      </c>
      <c r="R23" s="192">
        <v>0</v>
      </c>
      <c r="S23" s="176" t="str">
        <f t="shared" si="2"/>
        <v>0</v>
      </c>
      <c r="T23" s="176" t="str">
        <f t="shared" si="3"/>
        <v>0</v>
      </c>
      <c r="U23" s="150"/>
      <c r="V23" s="283"/>
      <c r="W23" s="150"/>
      <c r="X23" s="150"/>
      <c r="Y23" s="150"/>
    </row>
    <row r="24" spans="1:25" ht="18.75" customHeight="1" thickBot="1">
      <c r="A24" s="426"/>
      <c r="B24" s="417"/>
      <c r="C24" s="417"/>
      <c r="D24" s="183" t="s">
        <v>159</v>
      </c>
      <c r="E24" s="184" t="s">
        <v>160</v>
      </c>
      <c r="F24" s="183">
        <v>11</v>
      </c>
      <c r="G24" s="191"/>
      <c r="H24" s="186"/>
      <c r="I24" s="187">
        <v>0</v>
      </c>
      <c r="J24" s="192">
        <v>0</v>
      </c>
      <c r="K24" s="189">
        <f>Q24/4</f>
        <v>0</v>
      </c>
      <c r="L24" s="189"/>
      <c r="M24" s="189">
        <f>(Q24/4)+K24</f>
        <v>0</v>
      </c>
      <c r="N24" s="189"/>
      <c r="O24" s="189">
        <f>(Q24/4)+M24</f>
        <v>0</v>
      </c>
      <c r="P24" s="190">
        <v>0</v>
      </c>
      <c r="Q24" s="187">
        <v>0</v>
      </c>
      <c r="R24" s="192">
        <v>0</v>
      </c>
      <c r="S24" s="176" t="str">
        <f t="shared" si="2"/>
        <v>0</v>
      </c>
      <c r="T24" s="176" t="str">
        <f t="shared" si="3"/>
        <v>0</v>
      </c>
      <c r="U24" s="150"/>
      <c r="V24" s="283"/>
      <c r="W24" s="150"/>
      <c r="X24" s="150"/>
      <c r="Y24" s="150"/>
    </row>
    <row r="25" spans="1:25" ht="17.25" customHeight="1" thickBot="1">
      <c r="A25" s="426"/>
      <c r="B25" s="417"/>
      <c r="C25" s="183" t="s">
        <v>91</v>
      </c>
      <c r="D25" s="418" t="s">
        <v>161</v>
      </c>
      <c r="E25" s="418"/>
      <c r="F25" s="183">
        <v>12</v>
      </c>
      <c r="G25" s="191"/>
      <c r="H25" s="186"/>
      <c r="I25" s="187">
        <v>0</v>
      </c>
      <c r="J25" s="192">
        <v>0</v>
      </c>
      <c r="K25" s="189">
        <f>Q25/4</f>
        <v>0</v>
      </c>
      <c r="L25" s="189"/>
      <c r="M25" s="189">
        <f>(Q25/4)+K25</f>
        <v>0</v>
      </c>
      <c r="N25" s="189"/>
      <c r="O25" s="189">
        <f>(Q25/4)+M25</f>
        <v>0</v>
      </c>
      <c r="P25" s="190">
        <v>0</v>
      </c>
      <c r="Q25" s="187">
        <v>0</v>
      </c>
      <c r="R25" s="192">
        <v>0</v>
      </c>
      <c r="S25" s="176" t="str">
        <f t="shared" si="2"/>
        <v>0</v>
      </c>
      <c r="T25" s="176" t="str">
        <f t="shared" si="3"/>
        <v>0</v>
      </c>
      <c r="U25" s="150"/>
      <c r="V25" s="283"/>
      <c r="W25" s="150"/>
      <c r="X25" s="150"/>
      <c r="Y25" s="150"/>
    </row>
    <row r="26" spans="1:25" ht="21.75" customHeight="1" thickBot="1">
      <c r="A26" s="426"/>
      <c r="B26" s="417"/>
      <c r="C26" s="183" t="s">
        <v>93</v>
      </c>
      <c r="D26" s="418" t="s">
        <v>162</v>
      </c>
      <c r="E26" s="418"/>
      <c r="F26" s="183">
        <v>13</v>
      </c>
      <c r="G26" s="191"/>
      <c r="H26" s="186"/>
      <c r="I26" s="187">
        <v>0</v>
      </c>
      <c r="J26" s="192">
        <v>0</v>
      </c>
      <c r="K26" s="189">
        <f>Q26/4</f>
        <v>0</v>
      </c>
      <c r="L26" s="189"/>
      <c r="M26" s="189">
        <f>(Q26/4)+K26</f>
        <v>0</v>
      </c>
      <c r="N26" s="189"/>
      <c r="O26" s="189">
        <f>(Q26/4)+M26</f>
        <v>0</v>
      </c>
      <c r="P26" s="190">
        <v>0</v>
      </c>
      <c r="Q26" s="187">
        <v>0</v>
      </c>
      <c r="R26" s="192">
        <v>0</v>
      </c>
      <c r="S26" s="176" t="str">
        <f t="shared" si="2"/>
        <v>0</v>
      </c>
      <c r="T26" s="176" t="str">
        <f t="shared" si="3"/>
        <v>0</v>
      </c>
      <c r="U26" s="150"/>
      <c r="V26" s="283"/>
      <c r="W26" s="150"/>
      <c r="X26" s="150"/>
      <c r="Y26" s="150"/>
    </row>
    <row r="27" spans="1:25" s="195" customFormat="1" ht="34.5" customHeight="1" thickBot="1">
      <c r="A27" s="426"/>
      <c r="B27" s="417"/>
      <c r="C27" s="180" t="s">
        <v>163</v>
      </c>
      <c r="D27" s="420" t="s">
        <v>164</v>
      </c>
      <c r="E27" s="420"/>
      <c r="F27" s="180">
        <v>14</v>
      </c>
      <c r="G27" s="178">
        <f>G28+G29+G32+G33+G34</f>
        <v>78.900000000000006</v>
      </c>
      <c r="H27" s="193"/>
      <c r="I27" s="178">
        <f t="shared" ref="I27:V27" si="6">I28+I29+I32+I33+I34</f>
        <v>112.09</v>
      </c>
      <c r="J27" s="182">
        <f t="shared" si="6"/>
        <v>189.34399999999999</v>
      </c>
      <c r="K27" s="196">
        <f t="shared" si="6"/>
        <v>2.2589999999999999</v>
      </c>
      <c r="L27" s="196">
        <f t="shared" si="6"/>
        <v>0</v>
      </c>
      <c r="M27" s="196">
        <f t="shared" si="6"/>
        <v>208.1</v>
      </c>
      <c r="N27" s="196">
        <f t="shared" si="6"/>
        <v>0.58499999999999996</v>
      </c>
      <c r="O27" s="196">
        <f t="shared" si="6"/>
        <v>140.05000000000001</v>
      </c>
      <c r="P27" s="196">
        <f t="shared" si="6"/>
        <v>0</v>
      </c>
      <c r="Q27" s="197">
        <f t="shared" si="6"/>
        <v>487.798</v>
      </c>
      <c r="R27" s="178">
        <f t="shared" si="6"/>
        <v>69.619</v>
      </c>
      <c r="S27" s="176">
        <f t="shared" si="2"/>
        <v>2.5762527463241507</v>
      </c>
      <c r="T27" s="176">
        <f t="shared" si="3"/>
        <v>2.3997972116603292</v>
      </c>
      <c r="U27" s="182"/>
      <c r="V27" s="178">
        <f t="shared" si="6"/>
        <v>487.79445760789997</v>
      </c>
      <c r="W27" s="198"/>
      <c r="X27" s="486"/>
      <c r="Y27" s="486"/>
    </row>
    <row r="28" spans="1:25" ht="18.75" thickBot="1">
      <c r="A28" s="426"/>
      <c r="B28" s="417"/>
      <c r="C28" s="417"/>
      <c r="D28" s="183" t="s">
        <v>165</v>
      </c>
      <c r="E28" s="184" t="s">
        <v>166</v>
      </c>
      <c r="F28" s="183">
        <v>15</v>
      </c>
      <c r="G28" s="191">
        <v>1.04</v>
      </c>
      <c r="H28" s="186"/>
      <c r="I28" s="187">
        <v>1.2</v>
      </c>
      <c r="J28" s="192">
        <v>1.2709999999999999</v>
      </c>
      <c r="K28" s="189">
        <v>0.3</v>
      </c>
      <c r="L28" s="189"/>
      <c r="M28" s="189">
        <v>0.6</v>
      </c>
      <c r="N28" s="189">
        <f>0.585</f>
        <v>0.58499999999999996</v>
      </c>
      <c r="O28" s="189">
        <v>0.9</v>
      </c>
      <c r="P28" s="190">
        <v>0</v>
      </c>
      <c r="Q28" s="187">
        <v>2</v>
      </c>
      <c r="R28" s="192">
        <v>1.2709999999999999</v>
      </c>
      <c r="S28" s="176">
        <f t="shared" si="2"/>
        <v>1.5735641227380017</v>
      </c>
      <c r="T28" s="176">
        <f t="shared" si="3"/>
        <v>1.2221153846153845</v>
      </c>
      <c r="U28" s="150"/>
      <c r="V28" s="485">
        <f t="array" ref="V28:W28">'[3]LP -venituri'!R60:S60/1000</f>
        <v>2</v>
      </c>
      <c r="W28" s="150">
        <v>0</v>
      </c>
      <c r="X28" s="150"/>
      <c r="Y28" s="150"/>
    </row>
    <row r="29" spans="1:25" ht="38.25" customHeight="1" thickBot="1">
      <c r="A29" s="426"/>
      <c r="B29" s="417"/>
      <c r="C29" s="417"/>
      <c r="D29" s="183" t="s">
        <v>167</v>
      </c>
      <c r="E29" s="184" t="s">
        <v>168</v>
      </c>
      <c r="F29" s="183">
        <v>16</v>
      </c>
      <c r="G29" s="199">
        <v>0</v>
      </c>
      <c r="H29" s="200"/>
      <c r="I29" s="187">
        <f>I30+I31</f>
        <v>0</v>
      </c>
      <c r="J29" s="201">
        <f>J30+J31</f>
        <v>0</v>
      </c>
      <c r="K29" s="189">
        <f>Q29/4</f>
        <v>0</v>
      </c>
      <c r="L29" s="189"/>
      <c r="M29" s="189">
        <f>(Q29/4)+K29</f>
        <v>0</v>
      </c>
      <c r="N29" s="189">
        <f>(S29/4)+L29</f>
        <v>0</v>
      </c>
      <c r="O29" s="189">
        <f>(Q29/4)+M29</f>
        <v>0</v>
      </c>
      <c r="P29" s="199">
        <f>(U29/4)+N29</f>
        <v>0</v>
      </c>
      <c r="Q29" s="187">
        <f>Q30+Q31</f>
        <v>0</v>
      </c>
      <c r="R29" s="201">
        <f>R30+R31</f>
        <v>0</v>
      </c>
      <c r="S29" s="176" t="str">
        <f t="shared" si="2"/>
        <v>0</v>
      </c>
      <c r="T29" s="176" t="str">
        <f t="shared" si="3"/>
        <v>0</v>
      </c>
      <c r="U29" s="150"/>
      <c r="V29" s="283"/>
      <c r="W29" s="150"/>
      <c r="X29" s="150"/>
      <c r="Y29" s="150"/>
    </row>
    <row r="30" spans="1:25" ht="18.75" thickBot="1">
      <c r="A30" s="426"/>
      <c r="B30" s="417"/>
      <c r="C30" s="417"/>
      <c r="D30" s="183"/>
      <c r="E30" s="184" t="s">
        <v>169</v>
      </c>
      <c r="F30" s="183">
        <v>17</v>
      </c>
      <c r="G30" s="191">
        <v>0</v>
      </c>
      <c r="H30" s="186"/>
      <c r="I30" s="202"/>
      <c r="J30" s="192">
        <v>0</v>
      </c>
      <c r="K30" s="189"/>
      <c r="L30" s="189">
        <v>0</v>
      </c>
      <c r="M30" s="189"/>
      <c r="N30" s="189">
        <v>0</v>
      </c>
      <c r="O30" s="189"/>
      <c r="P30" s="190">
        <v>0</v>
      </c>
      <c r="Q30" s="202"/>
      <c r="R30" s="192">
        <v>0</v>
      </c>
      <c r="S30" s="176" t="str">
        <f t="shared" si="2"/>
        <v>0</v>
      </c>
      <c r="T30" s="176" t="str">
        <f t="shared" si="3"/>
        <v>0</v>
      </c>
      <c r="U30" s="150"/>
      <c r="V30" s="283"/>
      <c r="W30" s="150"/>
      <c r="X30" s="150"/>
      <c r="Y30" s="150"/>
    </row>
    <row r="31" spans="1:25" ht="18.75" thickBot="1">
      <c r="A31" s="426"/>
      <c r="B31" s="417"/>
      <c r="C31" s="417"/>
      <c r="D31" s="183"/>
      <c r="E31" s="184" t="s">
        <v>170</v>
      </c>
      <c r="F31" s="183">
        <v>18</v>
      </c>
      <c r="G31" s="203"/>
      <c r="H31" s="204"/>
      <c r="I31" s="187"/>
      <c r="J31" s="205">
        <v>0</v>
      </c>
      <c r="K31" s="206"/>
      <c r="L31" s="206"/>
      <c r="M31" s="206"/>
      <c r="N31" s="206"/>
      <c r="O31" s="206"/>
      <c r="P31" s="207"/>
      <c r="Q31" s="187"/>
      <c r="R31" s="205">
        <v>0</v>
      </c>
      <c r="S31" s="176" t="str">
        <f t="shared" si="2"/>
        <v>0</v>
      </c>
      <c r="T31" s="176" t="str">
        <f t="shared" si="3"/>
        <v>0</v>
      </c>
      <c r="U31" s="150"/>
      <c r="V31" s="283"/>
      <c r="W31" s="150"/>
      <c r="X31" s="150"/>
      <c r="Y31" s="150"/>
    </row>
    <row r="32" spans="1:25" s="214" customFormat="1" ht="57.75" customHeight="1" thickBot="1">
      <c r="A32" s="426"/>
      <c r="B32" s="417"/>
      <c r="C32" s="417"/>
      <c r="D32" s="208" t="s">
        <v>171</v>
      </c>
      <c r="E32" s="209" t="s">
        <v>172</v>
      </c>
      <c r="F32" s="208">
        <v>19</v>
      </c>
      <c r="G32" s="210"/>
      <c r="H32" s="208"/>
      <c r="I32" s="211">
        <v>0</v>
      </c>
      <c r="J32" s="212">
        <v>0</v>
      </c>
      <c r="K32" s="213">
        <v>0</v>
      </c>
      <c r="L32" s="213"/>
      <c r="M32" s="213">
        <v>68.349999999999994</v>
      </c>
      <c r="N32" s="213"/>
      <c r="O32" s="213">
        <v>0</v>
      </c>
      <c r="P32" s="213"/>
      <c r="Q32" s="211">
        <v>68.347999999999999</v>
      </c>
      <c r="R32" s="211">
        <v>68.347999999999999</v>
      </c>
      <c r="S32" s="176" t="e">
        <f t="shared" si="2"/>
        <v>#DIV/0!</v>
      </c>
      <c r="T32" s="176" t="str">
        <f t="shared" si="3"/>
        <v>0</v>
      </c>
      <c r="U32" s="488"/>
      <c r="V32" s="489">
        <f t="array" ref="V32:W32">'[3]LP -venituri'!R64:S64/1000</f>
        <v>68.348936499999994</v>
      </c>
      <c r="W32" s="490">
        <v>0</v>
      </c>
      <c r="X32" s="490"/>
      <c r="Y32" s="490"/>
    </row>
    <row r="33" spans="1:25" ht="18.75" thickBot="1">
      <c r="A33" s="426"/>
      <c r="B33" s="417"/>
      <c r="C33" s="417"/>
      <c r="D33" s="183" t="s">
        <v>173</v>
      </c>
      <c r="E33" s="184" t="s">
        <v>174</v>
      </c>
      <c r="F33" s="183">
        <v>20</v>
      </c>
      <c r="G33" s="203"/>
      <c r="H33" s="204"/>
      <c r="I33" s="187"/>
      <c r="J33" s="205">
        <v>0</v>
      </c>
      <c r="K33" s="206"/>
      <c r="L33" s="206"/>
      <c r="M33" s="206"/>
      <c r="N33" s="206"/>
      <c r="O33" s="206"/>
      <c r="P33" s="207"/>
      <c r="Q33" s="187"/>
      <c r="R33" s="205">
        <v>0</v>
      </c>
      <c r="S33" s="176" t="str">
        <f t="shared" si="2"/>
        <v>0</v>
      </c>
      <c r="T33" s="176" t="str">
        <f t="shared" si="3"/>
        <v>0</v>
      </c>
      <c r="U33" s="150"/>
      <c r="V33" s="283"/>
      <c r="W33" s="150"/>
      <c r="X33" s="150"/>
      <c r="Y33" s="150"/>
    </row>
    <row r="34" spans="1:25" ht="18.75" thickBot="1">
      <c r="A34" s="426"/>
      <c r="B34" s="417"/>
      <c r="C34" s="417"/>
      <c r="D34" s="183" t="s">
        <v>175</v>
      </c>
      <c r="E34" s="184" t="s">
        <v>176</v>
      </c>
      <c r="F34" s="183">
        <v>21</v>
      </c>
      <c r="G34" s="203">
        <v>77.86</v>
      </c>
      <c r="H34" s="204"/>
      <c r="I34" s="187">
        <v>110.89</v>
      </c>
      <c r="J34" s="205">
        <f>10.814+0.919+93.54+82.8</f>
        <v>188.07300000000001</v>
      </c>
      <c r="K34" s="189">
        <v>1.9590000000000001</v>
      </c>
      <c r="L34" s="189">
        <v>0</v>
      </c>
      <c r="M34" s="189">
        <v>139.15</v>
      </c>
      <c r="N34" s="189">
        <v>0</v>
      </c>
      <c r="O34" s="189">
        <v>139.15</v>
      </c>
      <c r="P34" s="207">
        <v>0</v>
      </c>
      <c r="Q34" s="187">
        <v>417.45</v>
      </c>
      <c r="R34" s="205">
        <v>0</v>
      </c>
      <c r="S34" s="176">
        <f t="shared" si="2"/>
        <v>2.2196168509036385</v>
      </c>
      <c r="T34" s="176">
        <f t="shared" si="3"/>
        <v>2.4155278705368612</v>
      </c>
      <c r="U34" s="491"/>
      <c r="V34" s="485">
        <f t="array" ref="V34:W34">('[3]LP -venituri'!R61:S61+'[3]LP -venituri'!R65:S65+'[3]LP -venituri'!R66:S66)/1000</f>
        <v>417.44552110789999</v>
      </c>
      <c r="W34" s="150">
        <v>0</v>
      </c>
      <c r="X34" s="150"/>
      <c r="Y34" s="150"/>
    </row>
    <row r="35" spans="1:25" s="195" customFormat="1" ht="38.25" customHeight="1" thickBot="1">
      <c r="A35" s="426"/>
      <c r="B35" s="180">
        <v>2</v>
      </c>
      <c r="C35" s="180"/>
      <c r="D35" s="420" t="s">
        <v>177</v>
      </c>
      <c r="E35" s="420"/>
      <c r="F35" s="180">
        <v>22</v>
      </c>
      <c r="G35" s="178">
        <f>G36+G37+G38+G39+G40</f>
        <v>0.01</v>
      </c>
      <c r="H35" s="180"/>
      <c r="I35" s="216">
        <f t="shared" ref="I35:V35" si="7">I36+I37+I38+I39+I40</f>
        <v>0</v>
      </c>
      <c r="J35" s="217">
        <f t="shared" si="7"/>
        <v>0</v>
      </c>
      <c r="K35" s="178">
        <f t="shared" si="7"/>
        <v>0</v>
      </c>
      <c r="L35" s="178">
        <f t="shared" si="7"/>
        <v>0</v>
      </c>
      <c r="M35" s="178">
        <f t="shared" si="7"/>
        <v>0</v>
      </c>
      <c r="N35" s="178">
        <f t="shared" si="7"/>
        <v>0.01</v>
      </c>
      <c r="O35" s="178">
        <f t="shared" si="7"/>
        <v>0</v>
      </c>
      <c r="P35" s="216">
        <f t="shared" si="7"/>
        <v>0</v>
      </c>
      <c r="Q35" s="216">
        <f t="shared" si="7"/>
        <v>2</v>
      </c>
      <c r="R35" s="216">
        <f t="shared" si="7"/>
        <v>0</v>
      </c>
      <c r="S35" s="176" t="e">
        <f t="shared" si="2"/>
        <v>#DIV/0!</v>
      </c>
      <c r="T35" s="176" t="str">
        <f t="shared" si="3"/>
        <v>0</v>
      </c>
      <c r="U35" s="217"/>
      <c r="V35" s="216">
        <f t="shared" si="7"/>
        <v>2</v>
      </c>
      <c r="W35" s="218"/>
      <c r="X35" s="486"/>
      <c r="Y35" s="486"/>
    </row>
    <row r="36" spans="1:25" ht="15.75" customHeight="1" thickBot="1">
      <c r="A36" s="426"/>
      <c r="B36" s="417"/>
      <c r="C36" s="183" t="s">
        <v>31</v>
      </c>
      <c r="D36" s="418" t="s">
        <v>178</v>
      </c>
      <c r="E36" s="418"/>
      <c r="F36" s="183">
        <v>23</v>
      </c>
      <c r="G36" s="203"/>
      <c r="H36" s="204"/>
      <c r="I36" s="187"/>
      <c r="J36" s="205">
        <v>0</v>
      </c>
      <c r="K36" s="206"/>
      <c r="L36" s="206"/>
      <c r="M36" s="206"/>
      <c r="N36" s="206"/>
      <c r="O36" s="206"/>
      <c r="P36" s="207"/>
      <c r="Q36" s="187"/>
      <c r="R36" s="205">
        <v>0</v>
      </c>
      <c r="S36" s="176" t="str">
        <f t="shared" si="2"/>
        <v>0</v>
      </c>
      <c r="T36" s="176" t="str">
        <f t="shared" si="3"/>
        <v>0</v>
      </c>
      <c r="U36" s="150"/>
      <c r="V36" s="283"/>
      <c r="W36" s="150"/>
      <c r="X36" s="150"/>
      <c r="Y36" s="150"/>
    </row>
    <row r="37" spans="1:25" ht="15.75" customHeight="1" thickBot="1">
      <c r="A37" s="426"/>
      <c r="B37" s="417"/>
      <c r="C37" s="183" t="s">
        <v>33</v>
      </c>
      <c r="D37" s="418" t="s">
        <v>179</v>
      </c>
      <c r="E37" s="418"/>
      <c r="F37" s="183">
        <v>24</v>
      </c>
      <c r="G37" s="203"/>
      <c r="H37" s="204"/>
      <c r="I37" s="187"/>
      <c r="J37" s="205">
        <v>0</v>
      </c>
      <c r="K37" s="206"/>
      <c r="L37" s="206"/>
      <c r="M37" s="206"/>
      <c r="N37" s="206"/>
      <c r="O37" s="206"/>
      <c r="P37" s="207"/>
      <c r="Q37" s="187"/>
      <c r="R37" s="205">
        <v>0</v>
      </c>
      <c r="S37" s="176" t="str">
        <f t="shared" si="2"/>
        <v>0</v>
      </c>
      <c r="T37" s="176" t="str">
        <f t="shared" si="3"/>
        <v>0</v>
      </c>
      <c r="U37" s="150"/>
      <c r="V37" s="283"/>
      <c r="W37" s="150"/>
      <c r="X37" s="150"/>
      <c r="Y37" s="150"/>
    </row>
    <row r="38" spans="1:25" ht="17.25" customHeight="1" thickBot="1">
      <c r="A38" s="426"/>
      <c r="B38" s="417"/>
      <c r="C38" s="183" t="s">
        <v>81</v>
      </c>
      <c r="D38" s="418" t="s">
        <v>180</v>
      </c>
      <c r="E38" s="418"/>
      <c r="F38" s="183">
        <v>25</v>
      </c>
      <c r="G38" s="203">
        <v>0.01</v>
      </c>
      <c r="H38" s="204"/>
      <c r="I38" s="187">
        <v>0</v>
      </c>
      <c r="J38" s="205">
        <v>0</v>
      </c>
      <c r="K38" s="206"/>
      <c r="L38" s="206">
        <v>0</v>
      </c>
      <c r="M38" s="206"/>
      <c r="N38" s="206"/>
      <c r="O38" s="206"/>
      <c r="P38" s="207">
        <v>0</v>
      </c>
      <c r="Q38" s="187">
        <v>0</v>
      </c>
      <c r="R38" s="205">
        <v>0</v>
      </c>
      <c r="S38" s="176" t="str">
        <f t="shared" si="2"/>
        <v>0</v>
      </c>
      <c r="T38" s="176" t="str">
        <f t="shared" si="3"/>
        <v>0</v>
      </c>
      <c r="U38" s="150"/>
      <c r="V38" s="283"/>
      <c r="W38" s="150"/>
      <c r="X38" s="150"/>
      <c r="Y38" s="150"/>
    </row>
    <row r="39" spans="1:25" ht="18" customHeight="1" thickBot="1">
      <c r="A39" s="426"/>
      <c r="B39" s="417"/>
      <c r="C39" s="183" t="s">
        <v>91</v>
      </c>
      <c r="D39" s="418" t="s">
        <v>181</v>
      </c>
      <c r="E39" s="418"/>
      <c r="F39" s="183">
        <v>26</v>
      </c>
      <c r="G39" s="203"/>
      <c r="H39" s="204"/>
      <c r="I39" s="187"/>
      <c r="J39" s="205">
        <v>0</v>
      </c>
      <c r="K39" s="206">
        <v>0</v>
      </c>
      <c r="L39" s="206">
        <v>0</v>
      </c>
      <c r="M39" s="206">
        <v>0</v>
      </c>
      <c r="N39" s="206">
        <v>0.01</v>
      </c>
      <c r="O39" s="206">
        <v>0</v>
      </c>
      <c r="P39" s="207">
        <v>0</v>
      </c>
      <c r="Q39" s="187"/>
      <c r="R39" s="205">
        <v>0</v>
      </c>
      <c r="S39" s="176" t="str">
        <f t="shared" si="2"/>
        <v>0</v>
      </c>
      <c r="T39" s="176" t="str">
        <f t="shared" si="3"/>
        <v>0</v>
      </c>
      <c r="U39" s="150"/>
      <c r="V39" s="283"/>
      <c r="W39" s="150"/>
      <c r="X39" s="150"/>
      <c r="Y39" s="150"/>
    </row>
    <row r="40" spans="1:25" ht="21.75" customHeight="1" thickBot="1">
      <c r="A40" s="434"/>
      <c r="B40" s="435"/>
      <c r="C40" s="219" t="s">
        <v>93</v>
      </c>
      <c r="D40" s="436" t="s">
        <v>182</v>
      </c>
      <c r="E40" s="436"/>
      <c r="F40" s="219">
        <v>27</v>
      </c>
      <c r="G40" s="220">
        <v>0</v>
      </c>
      <c r="H40" s="221"/>
      <c r="I40" s="222">
        <v>0</v>
      </c>
      <c r="J40" s="223">
        <v>0</v>
      </c>
      <c r="K40" s="224"/>
      <c r="L40" s="224"/>
      <c r="M40" s="224"/>
      <c r="N40" s="224"/>
      <c r="O40" s="224"/>
      <c r="P40" s="225">
        <v>0</v>
      </c>
      <c r="Q40" s="222">
        <v>2</v>
      </c>
      <c r="R40" s="223">
        <v>0</v>
      </c>
      <c r="S40" s="176" t="e">
        <f t="shared" si="2"/>
        <v>#DIV/0!</v>
      </c>
      <c r="T40" s="176" t="str">
        <f t="shared" si="3"/>
        <v>0</v>
      </c>
      <c r="U40" s="150"/>
      <c r="V40" s="283">
        <v>2</v>
      </c>
      <c r="W40" s="150"/>
      <c r="X40" s="150"/>
      <c r="Y40" s="150"/>
    </row>
    <row r="41" spans="1:25" s="231" customFormat="1" ht="24" customHeight="1" thickBot="1">
      <c r="A41" s="226" t="s">
        <v>183</v>
      </c>
      <c r="B41" s="423" t="s">
        <v>184</v>
      </c>
      <c r="C41" s="423"/>
      <c r="D41" s="423"/>
      <c r="E41" s="423"/>
      <c r="F41" s="227">
        <v>28</v>
      </c>
      <c r="G41" s="228">
        <f>G42+G143</f>
        <v>2098.5410000000002</v>
      </c>
      <c r="H41" s="228"/>
      <c r="I41" s="229">
        <f t="shared" ref="I41:V41" si="8">I42+I143</f>
        <v>2433.1806799999999</v>
      </c>
      <c r="J41" s="229">
        <f t="shared" si="8"/>
        <v>2342.3220000000001</v>
      </c>
      <c r="K41" s="228">
        <f t="shared" si="8"/>
        <v>493.00699999999995</v>
      </c>
      <c r="L41" s="228">
        <f t="shared" si="8"/>
        <v>990.53199999999993</v>
      </c>
      <c r="M41" s="228">
        <f t="shared" si="8"/>
        <v>746.10649999999998</v>
      </c>
      <c r="N41" s="228">
        <f t="shared" si="8"/>
        <v>1716.867</v>
      </c>
      <c r="O41" s="228">
        <f t="shared" si="8"/>
        <v>688.66300000000001</v>
      </c>
      <c r="P41" s="228">
        <f t="shared" si="8"/>
        <v>1742.6130000000001</v>
      </c>
      <c r="Q41" s="229">
        <f t="shared" si="8"/>
        <v>2599.0839999999998</v>
      </c>
      <c r="R41" s="229">
        <f t="shared" si="8"/>
        <v>2342.5079999999994</v>
      </c>
      <c r="S41" s="176">
        <f t="shared" si="2"/>
        <v>1.1096185750720864</v>
      </c>
      <c r="T41" s="176">
        <f t="shared" si="3"/>
        <v>1.1161668988120794</v>
      </c>
      <c r="U41" s="230"/>
      <c r="V41" s="178">
        <f t="shared" si="8"/>
        <v>2599.0700718832049</v>
      </c>
      <c r="W41" s="492"/>
      <c r="X41" s="492">
        <v>2594.73</v>
      </c>
      <c r="Y41" s="492">
        <f>X14-X41</f>
        <v>42.369999999999891</v>
      </c>
    </row>
    <row r="42" spans="1:25" s="195" customFormat="1" ht="40.5" customHeight="1" thickBot="1">
      <c r="A42" s="424"/>
      <c r="B42" s="175">
        <v>1</v>
      </c>
      <c r="C42" s="427" t="s">
        <v>185</v>
      </c>
      <c r="D42" s="427"/>
      <c r="E42" s="427"/>
      <c r="F42" s="175">
        <v>29</v>
      </c>
      <c r="G42" s="232">
        <f>G43+G91+G98+G126</f>
        <v>2098.451</v>
      </c>
      <c r="H42" s="233"/>
      <c r="I42" s="234">
        <f t="shared" ref="I42:V42" si="9">I43+I91+I98+I126</f>
        <v>2433.08068</v>
      </c>
      <c r="J42" s="234">
        <f t="shared" si="9"/>
        <v>2342.3209999999999</v>
      </c>
      <c r="K42" s="234">
        <f t="shared" si="9"/>
        <v>493.00699999999995</v>
      </c>
      <c r="L42" s="234">
        <f t="shared" si="9"/>
        <v>990.53099999999995</v>
      </c>
      <c r="M42" s="234">
        <f t="shared" si="9"/>
        <v>746.10649999999998</v>
      </c>
      <c r="N42" s="234">
        <f t="shared" si="9"/>
        <v>1716.866</v>
      </c>
      <c r="O42" s="234">
        <f t="shared" si="9"/>
        <v>688.66300000000001</v>
      </c>
      <c r="P42" s="234">
        <f t="shared" si="9"/>
        <v>1742.6120000000001</v>
      </c>
      <c r="Q42" s="234">
        <f t="shared" si="9"/>
        <v>2599.0839999999998</v>
      </c>
      <c r="R42" s="234">
        <f t="shared" si="9"/>
        <v>2342.4079999999994</v>
      </c>
      <c r="S42" s="176">
        <f t="shared" si="2"/>
        <v>1.1096190487981792</v>
      </c>
      <c r="T42" s="176">
        <f t="shared" si="3"/>
        <v>1.1162142933049186</v>
      </c>
      <c r="U42" s="235"/>
      <c r="V42" s="178">
        <f t="shared" si="9"/>
        <v>2599.0700718832049</v>
      </c>
      <c r="W42" s="486"/>
      <c r="X42" s="486"/>
      <c r="Y42" s="486"/>
    </row>
    <row r="43" spans="1:25" s="195" customFormat="1" ht="40.5" customHeight="1" thickBot="1">
      <c r="A43" s="425"/>
      <c r="B43" s="417"/>
      <c r="C43" s="421" t="s">
        <v>186</v>
      </c>
      <c r="D43" s="421"/>
      <c r="E43" s="421"/>
      <c r="F43" s="180">
        <v>30</v>
      </c>
      <c r="G43" s="237">
        <f>G44+G52+G58</f>
        <v>822.11700000000008</v>
      </c>
      <c r="H43" s="181"/>
      <c r="I43" s="178">
        <f t="shared" ref="I43:V43" si="10">I44+I52+I58</f>
        <v>898.99</v>
      </c>
      <c r="J43" s="178">
        <f t="shared" si="10"/>
        <v>878.45300000000009</v>
      </c>
      <c r="K43" s="178">
        <f t="shared" si="10"/>
        <v>141.78399999999999</v>
      </c>
      <c r="L43" s="178">
        <f t="shared" si="10"/>
        <v>227.89399999999998</v>
      </c>
      <c r="M43" s="178">
        <f t="shared" si="10"/>
        <v>333.12450000000001</v>
      </c>
      <c r="N43" s="178">
        <f t="shared" si="10"/>
        <v>530.44899999999996</v>
      </c>
      <c r="O43" s="178">
        <f t="shared" si="10"/>
        <v>274.08699999999999</v>
      </c>
      <c r="P43" s="178">
        <f t="shared" si="10"/>
        <v>631.17200000000003</v>
      </c>
      <c r="Q43" s="178">
        <f t="shared" si="10"/>
        <v>1007.749</v>
      </c>
      <c r="R43" s="178">
        <f t="shared" si="10"/>
        <v>878.54500000000007</v>
      </c>
      <c r="S43" s="176">
        <f t="shared" si="2"/>
        <v>1.1471860190585039</v>
      </c>
      <c r="T43" s="176">
        <f t="shared" si="3"/>
        <v>1.0685255261720656</v>
      </c>
      <c r="U43" s="182"/>
      <c r="V43" s="178">
        <f t="shared" si="10"/>
        <v>1007.7494344125366</v>
      </c>
      <c r="W43" s="486"/>
      <c r="X43" s="486"/>
      <c r="Y43" s="486"/>
    </row>
    <row r="44" spans="1:25" s="195" customFormat="1" ht="36.75" customHeight="1" thickBot="1">
      <c r="A44" s="425"/>
      <c r="B44" s="417"/>
      <c r="C44" s="180" t="s">
        <v>187</v>
      </c>
      <c r="D44" s="420" t="s">
        <v>188</v>
      </c>
      <c r="E44" s="420"/>
      <c r="F44" s="180">
        <v>31</v>
      </c>
      <c r="G44" s="178">
        <f>G45+G46+G49+G50+G51</f>
        <v>101.28700000000001</v>
      </c>
      <c r="H44" s="181"/>
      <c r="I44" s="178">
        <f t="shared" ref="I44:V44" si="11">I45+I46+I49+I50+I51</f>
        <v>135.19</v>
      </c>
      <c r="J44" s="178">
        <f t="shared" si="11"/>
        <v>125.35600000000001</v>
      </c>
      <c r="K44" s="178">
        <f t="shared" si="11"/>
        <v>12.795</v>
      </c>
      <c r="L44" s="178">
        <f t="shared" si="11"/>
        <v>19.75</v>
      </c>
      <c r="M44" s="178">
        <f t="shared" si="11"/>
        <v>113.39599999999999</v>
      </c>
      <c r="N44" s="178">
        <f t="shared" si="11"/>
        <v>42.722999999999999</v>
      </c>
      <c r="O44" s="178">
        <f t="shared" si="11"/>
        <v>56.955999999999996</v>
      </c>
      <c r="P44" s="178">
        <f t="shared" si="11"/>
        <v>73.944000000000003</v>
      </c>
      <c r="Q44" s="178">
        <f t="shared" si="11"/>
        <v>225.24900000000002</v>
      </c>
      <c r="R44" s="178">
        <f t="shared" si="11"/>
        <v>125.35600000000001</v>
      </c>
      <c r="S44" s="176">
        <f t="shared" si="2"/>
        <v>1.7968745014199561</v>
      </c>
      <c r="T44" s="176">
        <f t="shared" si="3"/>
        <v>1.2376316802748626</v>
      </c>
      <c r="U44" s="182"/>
      <c r="V44" s="178">
        <f t="shared" si="11"/>
        <v>225.2451151125</v>
      </c>
      <c r="W44" s="486"/>
      <c r="X44" s="486"/>
      <c r="Y44" s="486"/>
    </row>
    <row r="45" spans="1:25" ht="22.5" customHeight="1" thickBot="1">
      <c r="A45" s="425"/>
      <c r="B45" s="417"/>
      <c r="C45" s="183" t="s">
        <v>31</v>
      </c>
      <c r="D45" s="418" t="s">
        <v>189</v>
      </c>
      <c r="E45" s="418"/>
      <c r="F45" s="183">
        <v>32</v>
      </c>
      <c r="G45" s="203">
        <v>0</v>
      </c>
      <c r="H45" s="204"/>
      <c r="I45" s="187"/>
      <c r="J45" s="205"/>
      <c r="K45" s="206">
        <v>0</v>
      </c>
      <c r="L45" s="206"/>
      <c r="M45" s="206">
        <v>0</v>
      </c>
      <c r="N45" s="206"/>
      <c r="O45" s="206">
        <v>0</v>
      </c>
      <c r="P45" s="207"/>
      <c r="Q45" s="187"/>
      <c r="R45" s="205"/>
      <c r="S45" s="176" t="str">
        <f t="shared" si="2"/>
        <v>0</v>
      </c>
      <c r="T45" s="176" t="str">
        <f t="shared" si="3"/>
        <v>0</v>
      </c>
      <c r="U45" s="150"/>
      <c r="V45" s="283"/>
      <c r="W45" s="150"/>
      <c r="X45" s="150"/>
      <c r="Y45" s="150"/>
    </row>
    <row r="46" spans="1:25" ht="23.25" customHeight="1" thickBot="1">
      <c r="A46" s="425"/>
      <c r="B46" s="417"/>
      <c r="C46" s="183" t="s">
        <v>33</v>
      </c>
      <c r="D46" s="418" t="s">
        <v>190</v>
      </c>
      <c r="E46" s="418"/>
      <c r="F46" s="183">
        <v>33</v>
      </c>
      <c r="G46" s="203">
        <v>71.67</v>
      </c>
      <c r="H46" s="204"/>
      <c r="I46" s="187">
        <v>92.59</v>
      </c>
      <c r="J46" s="205">
        <f>1.034+0.007+33.61+7.137+7.304+0.453+1.142+2.4+0.649+38.706+2.498</f>
        <v>94.940000000000012</v>
      </c>
      <c r="K46" s="206">
        <f>5.591+1.157+0.84</f>
        <v>7.5880000000000001</v>
      </c>
      <c r="L46" s="206">
        <f>9.958+1.386+1.51+0.189+1.239-0.006</f>
        <v>14.276</v>
      </c>
      <c r="M46" s="206">
        <v>38.4</v>
      </c>
      <c r="N46" s="206">
        <f>17.091+3.432+1.576+0.256+1.142+1.9+6.795+2.218</f>
        <v>34.409999999999997</v>
      </c>
      <c r="O46" s="206">
        <v>38.4</v>
      </c>
      <c r="P46" s="207">
        <f>0.05+24.136+4.65+4.854+0.453+1.142+2+22.771+2.498</f>
        <v>62.554000000000002</v>
      </c>
      <c r="Q46" s="187">
        <f>52.524+5.878+3.5+60.887</f>
        <v>122.789</v>
      </c>
      <c r="R46" s="205">
        <f>1.034+0.007+33.61+7.137+7.304+0.453+1.142+2.4+0.649+38.706+2.498</f>
        <v>94.940000000000012</v>
      </c>
      <c r="S46" s="176">
        <f t="shared" si="2"/>
        <v>1.2933326311354538</v>
      </c>
      <c r="T46" s="176">
        <f t="shared" si="3"/>
        <v>1.324682572903586</v>
      </c>
      <c r="U46" s="150"/>
      <c r="V46" s="485">
        <f>([3]MAT!I20+[3]MAT!I37+[3]MAT!I54+[3]MAT!I75)/1000</f>
        <v>122.78883511250001</v>
      </c>
      <c r="W46" s="150"/>
      <c r="X46" s="150"/>
      <c r="Y46" s="150"/>
    </row>
    <row r="47" spans="1:25" ht="20.25" customHeight="1" thickBot="1">
      <c r="A47" s="425"/>
      <c r="B47" s="417"/>
      <c r="C47" s="417"/>
      <c r="D47" s="183" t="s">
        <v>191</v>
      </c>
      <c r="E47" s="184" t="s">
        <v>192</v>
      </c>
      <c r="F47" s="183">
        <v>34</v>
      </c>
      <c r="G47" s="203">
        <v>1.61</v>
      </c>
      <c r="H47" s="204"/>
      <c r="I47" s="187">
        <v>4.5999999999999996</v>
      </c>
      <c r="J47" s="205">
        <f>7.304+0.453</f>
        <v>7.7570000000000006</v>
      </c>
      <c r="K47" s="206">
        <v>0</v>
      </c>
      <c r="L47" s="206">
        <f>1.51+0.189</f>
        <v>1.6990000000000001</v>
      </c>
      <c r="M47" s="206">
        <f>(Q47/4)+K47</f>
        <v>0.875</v>
      </c>
      <c r="N47" s="206">
        <f>1.576+0.256</f>
        <v>1.8320000000000001</v>
      </c>
      <c r="O47" s="206">
        <f>(Q47/4)+M47</f>
        <v>1.75</v>
      </c>
      <c r="P47" s="207">
        <f>4.854+0.453</f>
        <v>5.3070000000000004</v>
      </c>
      <c r="Q47" s="187">
        <v>3.5</v>
      </c>
      <c r="R47" s="205">
        <f>7.304+0.453</f>
        <v>7.7570000000000006</v>
      </c>
      <c r="S47" s="176">
        <f t="shared" si="2"/>
        <v>0.45120536289802754</v>
      </c>
      <c r="T47" s="176">
        <f t="shared" si="3"/>
        <v>4.8180124223602485</v>
      </c>
      <c r="U47" s="150"/>
      <c r="V47" s="485">
        <f>[3]MAT!I54/1000</f>
        <v>3.5</v>
      </c>
      <c r="W47" s="150"/>
      <c r="X47" s="150"/>
      <c r="Y47" s="150"/>
    </row>
    <row r="48" spans="1:25" ht="21" customHeight="1" thickBot="1">
      <c r="A48" s="425"/>
      <c r="B48" s="417"/>
      <c r="C48" s="417"/>
      <c r="D48" s="183" t="s">
        <v>193</v>
      </c>
      <c r="E48" s="184" t="s">
        <v>194</v>
      </c>
      <c r="F48" s="183">
        <v>35</v>
      </c>
      <c r="G48" s="203">
        <v>42.61</v>
      </c>
      <c r="H48" s="204"/>
      <c r="I48" s="187">
        <v>51.29</v>
      </c>
      <c r="J48" s="205">
        <f>38.706+7.137</f>
        <v>45.843000000000004</v>
      </c>
      <c r="K48" s="206">
        <f>5.591+1.157</f>
        <v>6.7480000000000002</v>
      </c>
      <c r="L48" s="206">
        <f>9.958+1.386</f>
        <v>11.343999999999999</v>
      </c>
      <c r="M48" s="206">
        <v>17.22</v>
      </c>
      <c r="N48" s="206">
        <f>17.091+3.432</f>
        <v>20.523</v>
      </c>
      <c r="O48" s="206">
        <v>17.21</v>
      </c>
      <c r="P48" s="207">
        <f>24.136+4.651</f>
        <v>28.786999999999999</v>
      </c>
      <c r="Q48" s="187">
        <f>52.524+5.875</f>
        <v>58.399000000000001</v>
      </c>
      <c r="R48" s="205">
        <f>38.706+7.137</f>
        <v>45.843000000000004</v>
      </c>
      <c r="S48" s="176">
        <f t="shared" si="2"/>
        <v>1.2738913247387822</v>
      </c>
      <c r="T48" s="176">
        <f t="shared" si="3"/>
        <v>1.0758742079324104</v>
      </c>
      <c r="U48" s="150"/>
      <c r="V48" s="485">
        <f>([3]MAT!I20+[3]MAT!I37)/1000</f>
        <v>58.401635112500003</v>
      </c>
      <c r="W48" s="150"/>
      <c r="X48" s="150"/>
      <c r="Y48" s="150"/>
    </row>
    <row r="49" spans="1:25" ht="26.25" customHeight="1" thickBot="1">
      <c r="A49" s="425"/>
      <c r="B49" s="417"/>
      <c r="C49" s="183" t="s">
        <v>81</v>
      </c>
      <c r="D49" s="418" t="s">
        <v>195</v>
      </c>
      <c r="E49" s="418"/>
      <c r="F49" s="183">
        <v>36</v>
      </c>
      <c r="G49" s="203">
        <v>18.497</v>
      </c>
      <c r="H49" s="204"/>
      <c r="I49" s="187">
        <v>29.3</v>
      </c>
      <c r="J49" s="205">
        <f>0.546+14.695</f>
        <v>15.241</v>
      </c>
      <c r="K49" s="206">
        <v>0.93799999999999994</v>
      </c>
      <c r="L49" s="206">
        <v>0.54600000000000004</v>
      </c>
      <c r="M49" s="206">
        <v>71.3</v>
      </c>
      <c r="N49" s="206">
        <v>0.54600000000000004</v>
      </c>
      <c r="O49" s="206">
        <v>14.86</v>
      </c>
      <c r="P49" s="207">
        <v>0.45600000000000002</v>
      </c>
      <c r="Q49" s="187">
        <v>87.1</v>
      </c>
      <c r="R49" s="205">
        <f>0.546+14.695</f>
        <v>15.241</v>
      </c>
      <c r="S49" s="176">
        <f t="shared" si="2"/>
        <v>5.7148481070795878</v>
      </c>
      <c r="T49" s="176">
        <f t="shared" si="3"/>
        <v>0.82397145483051304</v>
      </c>
      <c r="U49" s="150"/>
      <c r="V49" s="485">
        <f>'[3]obiecte de inventar DR 24'!D42/1000</f>
        <v>87.100279999999998</v>
      </c>
      <c r="W49" s="150"/>
      <c r="X49" s="150"/>
      <c r="Y49" s="150"/>
    </row>
    <row r="50" spans="1:25" ht="22.5" customHeight="1" thickBot="1">
      <c r="A50" s="425"/>
      <c r="B50" s="417"/>
      <c r="C50" s="183" t="s">
        <v>91</v>
      </c>
      <c r="D50" s="418" t="s">
        <v>196</v>
      </c>
      <c r="E50" s="418"/>
      <c r="F50" s="183">
        <v>37</v>
      </c>
      <c r="G50" s="203">
        <v>11.12</v>
      </c>
      <c r="H50" s="204"/>
      <c r="I50" s="187">
        <v>13.3</v>
      </c>
      <c r="J50" s="205">
        <f>9.163-0.009+0.89+5.131</f>
        <v>15.175000000000001</v>
      </c>
      <c r="K50" s="206">
        <f>1.489+0.191+2.589</f>
        <v>4.2690000000000001</v>
      </c>
      <c r="L50" s="206">
        <f>1.837+0.157+2.934</f>
        <v>4.9279999999999999</v>
      </c>
      <c r="M50" s="206">
        <v>3.6960000000000002</v>
      </c>
      <c r="N50" s="206">
        <f>3.095+0.421+4.251</f>
        <v>7.7670000000000003</v>
      </c>
      <c r="O50" s="206">
        <v>3.6960000000000002</v>
      </c>
      <c r="P50" s="207">
        <f>5.78+0.682+4.472</f>
        <v>10.934000000000001</v>
      </c>
      <c r="Q50" s="187">
        <v>15.36</v>
      </c>
      <c r="R50" s="205">
        <f>9.163-0.009+0.89+5.131</f>
        <v>15.175000000000001</v>
      </c>
      <c r="S50" s="176">
        <f t="shared" si="2"/>
        <v>1.0121911037891267</v>
      </c>
      <c r="T50" s="176">
        <f t="shared" si="3"/>
        <v>1.3646582733812951</v>
      </c>
      <c r="U50" s="150"/>
      <c r="V50" s="485">
        <f>'[3]Alte chelt.rep,post,ener,asig'!I42/1000</f>
        <v>15.356</v>
      </c>
      <c r="W50" s="150"/>
      <c r="X50" s="150"/>
      <c r="Y50" s="150"/>
    </row>
    <row r="51" spans="1:25" ht="20.25" customHeight="1" thickBot="1">
      <c r="A51" s="425"/>
      <c r="B51" s="417"/>
      <c r="C51" s="183" t="s">
        <v>93</v>
      </c>
      <c r="D51" s="418" t="s">
        <v>197</v>
      </c>
      <c r="E51" s="418"/>
      <c r="F51" s="183">
        <v>38</v>
      </c>
      <c r="G51" s="203"/>
      <c r="H51" s="204"/>
      <c r="I51" s="187"/>
      <c r="J51" s="205">
        <v>0</v>
      </c>
      <c r="K51" s="206"/>
      <c r="L51" s="206"/>
      <c r="M51" s="206"/>
      <c r="N51" s="206"/>
      <c r="O51" s="206"/>
      <c r="P51" s="207"/>
      <c r="Q51" s="187"/>
      <c r="R51" s="205">
        <v>0</v>
      </c>
      <c r="S51" s="176" t="str">
        <f t="shared" si="2"/>
        <v>0</v>
      </c>
      <c r="T51" s="176" t="str">
        <f t="shared" si="3"/>
        <v>0</v>
      </c>
      <c r="U51" s="150"/>
      <c r="V51" s="283"/>
      <c r="W51" s="150"/>
      <c r="X51" s="150"/>
      <c r="Y51" s="150"/>
    </row>
    <row r="52" spans="1:25" s="195" customFormat="1" ht="36" customHeight="1" thickBot="1">
      <c r="A52" s="425"/>
      <c r="B52" s="417"/>
      <c r="C52" s="180" t="s">
        <v>198</v>
      </c>
      <c r="D52" s="420" t="s">
        <v>199</v>
      </c>
      <c r="E52" s="420"/>
      <c r="F52" s="180">
        <v>39</v>
      </c>
      <c r="G52" s="178">
        <v>5.5</v>
      </c>
      <c r="H52" s="193"/>
      <c r="I52" s="178">
        <v>8</v>
      </c>
      <c r="J52" s="178">
        <f t="shared" ref="J52:Q52" si="12">J53+J54+J57</f>
        <v>7.9079999999999995</v>
      </c>
      <c r="K52" s="194">
        <f t="shared" si="12"/>
        <v>0.85299999999999998</v>
      </c>
      <c r="L52" s="194">
        <f t="shared" si="12"/>
        <v>1.2490000000000001</v>
      </c>
      <c r="M52" s="194">
        <f t="shared" si="12"/>
        <v>2.7149999999999999</v>
      </c>
      <c r="N52" s="194">
        <f t="shared" si="12"/>
        <v>2.2010000000000001</v>
      </c>
      <c r="O52" s="194">
        <f t="shared" si="12"/>
        <v>2.7149999999999999</v>
      </c>
      <c r="P52" s="194">
        <f t="shared" si="12"/>
        <v>3.8259999999999996</v>
      </c>
      <c r="Q52" s="194">
        <f t="shared" si="12"/>
        <v>9</v>
      </c>
      <c r="R52" s="178">
        <v>8</v>
      </c>
      <c r="S52" s="176">
        <f t="shared" si="2"/>
        <v>1.1380880121396055</v>
      </c>
      <c r="T52" s="176">
        <f t="shared" si="3"/>
        <v>1.4378181818181817</v>
      </c>
      <c r="U52" s="178"/>
      <c r="V52" s="194">
        <f t="shared" ref="V52" si="13">V53+V54+V57</f>
        <v>9</v>
      </c>
      <c r="W52" s="486"/>
      <c r="X52" s="486"/>
      <c r="Y52" s="486"/>
    </row>
    <row r="53" spans="1:25" ht="24" customHeight="1" thickBot="1">
      <c r="A53" s="425"/>
      <c r="B53" s="417"/>
      <c r="C53" s="183" t="s">
        <v>31</v>
      </c>
      <c r="D53" s="418" t="s">
        <v>200</v>
      </c>
      <c r="E53" s="418"/>
      <c r="F53" s="183">
        <v>40</v>
      </c>
      <c r="G53" s="203">
        <v>0.6</v>
      </c>
      <c r="H53" s="204"/>
      <c r="I53" s="187">
        <v>2</v>
      </c>
      <c r="J53" s="205">
        <v>4.6189999999999998</v>
      </c>
      <c r="K53" s="206">
        <v>8.3000000000000004E-2</v>
      </c>
      <c r="L53" s="206">
        <v>0.3</v>
      </c>
      <c r="M53" s="206">
        <v>0.97199999999999998</v>
      </c>
      <c r="N53" s="206">
        <v>0.378</v>
      </c>
      <c r="O53" s="206">
        <v>0.97199999999999998</v>
      </c>
      <c r="P53" s="207">
        <v>1.1679999999999999</v>
      </c>
      <c r="Q53" s="187">
        <v>3</v>
      </c>
      <c r="R53" s="187">
        <v>3</v>
      </c>
      <c r="S53" s="176">
        <f t="shared" si="2"/>
        <v>0.64949123186836977</v>
      </c>
      <c r="T53" s="176">
        <f t="shared" si="3"/>
        <v>7.6983333333333333</v>
      </c>
      <c r="U53" s="238"/>
      <c r="V53" s="187">
        <v>3</v>
      </c>
      <c r="W53" s="150"/>
      <c r="X53" s="150"/>
      <c r="Y53" s="150"/>
    </row>
    <row r="54" spans="1:25" ht="24.75" customHeight="1" thickBot="1">
      <c r="A54" s="425"/>
      <c r="B54" s="417"/>
      <c r="C54" s="183" t="s">
        <v>33</v>
      </c>
      <c r="D54" s="418" t="s">
        <v>201</v>
      </c>
      <c r="E54" s="418"/>
      <c r="F54" s="183">
        <v>41</v>
      </c>
      <c r="G54" s="239">
        <v>0</v>
      </c>
      <c r="H54" s="186"/>
      <c r="I54" s="240">
        <f>I55+I56</f>
        <v>0</v>
      </c>
      <c r="J54" s="201">
        <f>J55+J56</f>
        <v>0</v>
      </c>
      <c r="K54" s="189"/>
      <c r="L54" s="189"/>
      <c r="M54" s="189">
        <f>M55+M56</f>
        <v>0</v>
      </c>
      <c r="N54" s="189"/>
      <c r="O54" s="189"/>
      <c r="P54" s="190"/>
      <c r="Q54" s="240">
        <f>Q55+Q56</f>
        <v>0</v>
      </c>
      <c r="R54" s="201">
        <f>R55+R56</f>
        <v>0</v>
      </c>
      <c r="S54" s="176" t="str">
        <f t="shared" si="2"/>
        <v>0</v>
      </c>
      <c r="T54" s="176" t="str">
        <f t="shared" si="3"/>
        <v>0</v>
      </c>
      <c r="U54" s="150"/>
      <c r="V54" s="283"/>
      <c r="W54" s="150"/>
      <c r="X54" s="150"/>
      <c r="Y54" s="150"/>
    </row>
    <row r="55" spans="1:25" ht="25.5" customHeight="1" thickBot="1">
      <c r="A55" s="425"/>
      <c r="B55" s="417"/>
      <c r="C55" s="417"/>
      <c r="D55" s="183" t="s">
        <v>191</v>
      </c>
      <c r="E55" s="184" t="s">
        <v>202</v>
      </c>
      <c r="F55" s="183">
        <v>42</v>
      </c>
      <c r="G55" s="203">
        <v>0</v>
      </c>
      <c r="H55" s="204"/>
      <c r="I55" s="241"/>
      <c r="J55" s="205"/>
      <c r="K55" s="206"/>
      <c r="L55" s="206"/>
      <c r="M55" s="206"/>
      <c r="N55" s="206"/>
      <c r="O55" s="206"/>
      <c r="P55" s="207"/>
      <c r="Q55" s="241"/>
      <c r="R55" s="205"/>
      <c r="S55" s="176" t="str">
        <f t="shared" si="2"/>
        <v>0</v>
      </c>
      <c r="T55" s="176" t="str">
        <f t="shared" si="3"/>
        <v>0</v>
      </c>
      <c r="U55" s="150"/>
      <c r="V55" s="283"/>
      <c r="W55" s="150"/>
      <c r="X55" s="150"/>
      <c r="Y55" s="150"/>
    </row>
    <row r="56" spans="1:25" ht="20.25" customHeight="1" thickBot="1">
      <c r="A56" s="425"/>
      <c r="B56" s="417"/>
      <c r="C56" s="417"/>
      <c r="D56" s="183" t="s">
        <v>193</v>
      </c>
      <c r="E56" s="184" t="s">
        <v>203</v>
      </c>
      <c r="F56" s="183">
        <v>43</v>
      </c>
      <c r="G56" s="203">
        <v>0</v>
      </c>
      <c r="H56" s="204"/>
      <c r="I56" s="187"/>
      <c r="J56" s="205"/>
      <c r="K56" s="206"/>
      <c r="L56" s="206"/>
      <c r="M56" s="206"/>
      <c r="N56" s="206"/>
      <c r="O56" s="206"/>
      <c r="P56" s="207"/>
      <c r="Q56" s="187"/>
      <c r="R56" s="205"/>
      <c r="S56" s="176" t="str">
        <f t="shared" si="2"/>
        <v>0</v>
      </c>
      <c r="T56" s="176" t="str">
        <f t="shared" si="3"/>
        <v>0</v>
      </c>
      <c r="U56" s="150"/>
      <c r="V56" s="283"/>
      <c r="W56" s="150"/>
      <c r="X56" s="150"/>
      <c r="Y56" s="150"/>
    </row>
    <row r="57" spans="1:25" ht="18" customHeight="1" thickBot="1">
      <c r="A57" s="425"/>
      <c r="B57" s="417"/>
      <c r="C57" s="183" t="s">
        <v>81</v>
      </c>
      <c r="D57" s="418" t="s">
        <v>204</v>
      </c>
      <c r="E57" s="418"/>
      <c r="F57" s="183">
        <v>44</v>
      </c>
      <c r="G57" s="203">
        <v>4.9000000000000004</v>
      </c>
      <c r="H57" s="204"/>
      <c r="I57" s="187">
        <v>6</v>
      </c>
      <c r="J57" s="205">
        <f>2.339+0.95</f>
        <v>3.2889999999999997</v>
      </c>
      <c r="K57" s="206">
        <v>0.77</v>
      </c>
      <c r="L57" s="206">
        <f>0.3+0.649</f>
        <v>0.94900000000000007</v>
      </c>
      <c r="M57" s="206">
        <v>1.7430000000000001</v>
      </c>
      <c r="N57" s="206">
        <f>1.306+0.517</f>
        <v>1.823</v>
      </c>
      <c r="O57" s="206">
        <v>1.7430000000000001</v>
      </c>
      <c r="P57" s="207">
        <f>1.925+0.733</f>
        <v>2.6579999999999999</v>
      </c>
      <c r="Q57" s="187">
        <v>6</v>
      </c>
      <c r="R57" s="205">
        <f>2.339+0.95</f>
        <v>3.2889999999999997</v>
      </c>
      <c r="S57" s="176">
        <f t="shared" si="2"/>
        <v>1.8242626938279114</v>
      </c>
      <c r="T57" s="176">
        <f t="shared" si="3"/>
        <v>0.67122448979591831</v>
      </c>
      <c r="U57" s="150"/>
      <c r="V57" s="283">
        <v>6</v>
      </c>
      <c r="W57" s="150"/>
      <c r="X57" s="150"/>
      <c r="Y57" s="150"/>
    </row>
    <row r="58" spans="1:25" s="195" customFormat="1" ht="54" customHeight="1" thickBot="1">
      <c r="A58" s="425"/>
      <c r="B58" s="417"/>
      <c r="C58" s="180" t="s">
        <v>205</v>
      </c>
      <c r="D58" s="420" t="s">
        <v>206</v>
      </c>
      <c r="E58" s="420"/>
      <c r="F58" s="180">
        <v>45</v>
      </c>
      <c r="G58" s="242">
        <f>G59+G60+G62+G69+G74+G75++G79+G80+G81+G90</f>
        <v>715.33</v>
      </c>
      <c r="H58" s="243"/>
      <c r="I58" s="216">
        <f t="shared" ref="I58:V58" si="14">I59+I60+I62+I69+I74+I75++I79+I80+I81+I90</f>
        <v>755.8</v>
      </c>
      <c r="J58" s="217">
        <f t="shared" si="14"/>
        <v>745.18900000000008</v>
      </c>
      <c r="K58" s="244">
        <f t="shared" si="14"/>
        <v>128.136</v>
      </c>
      <c r="L58" s="244">
        <f t="shared" si="14"/>
        <v>206.89499999999998</v>
      </c>
      <c r="M58" s="244">
        <f t="shared" si="14"/>
        <v>217.01349999999999</v>
      </c>
      <c r="N58" s="244">
        <f t="shared" si="14"/>
        <v>485.52499999999998</v>
      </c>
      <c r="O58" s="244">
        <f t="shared" si="14"/>
        <v>214.416</v>
      </c>
      <c r="P58" s="244">
        <f t="shared" si="14"/>
        <v>553.40200000000004</v>
      </c>
      <c r="Q58" s="216">
        <f t="shared" si="14"/>
        <v>773.5</v>
      </c>
      <c r="R58" s="216">
        <f t="shared" si="14"/>
        <v>745.18900000000008</v>
      </c>
      <c r="S58" s="176">
        <f t="shared" si="2"/>
        <v>1.0379917041180156</v>
      </c>
      <c r="T58" s="176">
        <f t="shared" si="3"/>
        <v>1.0417415738190765</v>
      </c>
      <c r="U58" s="217"/>
      <c r="V58" s="216">
        <f t="shared" si="14"/>
        <v>773.50431930003663</v>
      </c>
      <c r="W58" s="486"/>
      <c r="X58" s="486"/>
      <c r="Y58" s="486"/>
    </row>
    <row r="59" spans="1:25" ht="18" customHeight="1" thickBot="1">
      <c r="A59" s="425"/>
      <c r="B59" s="417"/>
      <c r="C59" s="183" t="s">
        <v>31</v>
      </c>
      <c r="D59" s="418" t="s">
        <v>207</v>
      </c>
      <c r="E59" s="418"/>
      <c r="F59" s="183">
        <v>46</v>
      </c>
      <c r="G59" s="203">
        <v>13.4</v>
      </c>
      <c r="H59" s="204"/>
      <c r="I59" s="187">
        <v>21.69</v>
      </c>
      <c r="J59" s="205">
        <f>15.009</f>
        <v>15.009</v>
      </c>
      <c r="K59" s="206">
        <v>5.4720000000000004</v>
      </c>
      <c r="L59" s="206">
        <v>4.6509999999999998</v>
      </c>
      <c r="M59" s="206">
        <v>6.6630000000000003</v>
      </c>
      <c r="N59" s="206">
        <v>4.6509999999999998</v>
      </c>
      <c r="O59" s="206">
        <v>6.6630000000000003</v>
      </c>
      <c r="P59" s="207">
        <v>11.407</v>
      </c>
      <c r="Q59" s="187">
        <v>25.46</v>
      </c>
      <c r="R59" s="205">
        <f>15.009</f>
        <v>15.009</v>
      </c>
      <c r="S59" s="176">
        <f t="shared" si="2"/>
        <v>1.6963155440069293</v>
      </c>
      <c r="T59" s="176">
        <f t="shared" si="3"/>
        <v>1.1200746268656716</v>
      </c>
      <c r="U59" s="150"/>
      <c r="V59" s="485">
        <f>'[3]zilieri+muncitori+sc'!N32/1000</f>
        <v>25.464459000036562</v>
      </c>
      <c r="W59" s="150"/>
      <c r="X59" s="150"/>
      <c r="Y59" s="150"/>
    </row>
    <row r="60" spans="1:25" ht="24.75" customHeight="1" thickBot="1">
      <c r="A60" s="425"/>
      <c r="B60" s="417"/>
      <c r="C60" s="183" t="s">
        <v>33</v>
      </c>
      <c r="D60" s="418" t="s">
        <v>208</v>
      </c>
      <c r="E60" s="418"/>
      <c r="F60" s="183">
        <v>47</v>
      </c>
      <c r="G60" s="203">
        <f>G61</f>
        <v>9.6</v>
      </c>
      <c r="H60" s="245"/>
      <c r="I60" s="187">
        <f t="shared" ref="I60:V60" si="15">I61</f>
        <v>12</v>
      </c>
      <c r="J60" s="205">
        <f t="shared" si="15"/>
        <v>10.8</v>
      </c>
      <c r="K60" s="246">
        <f t="shared" si="15"/>
        <v>2.4</v>
      </c>
      <c r="L60" s="246">
        <f t="shared" si="15"/>
        <v>2.4</v>
      </c>
      <c r="M60" s="246">
        <f t="shared" si="15"/>
        <v>3</v>
      </c>
      <c r="N60" s="246">
        <f t="shared" si="15"/>
        <v>4.8</v>
      </c>
      <c r="O60" s="246">
        <f t="shared" si="15"/>
        <v>3</v>
      </c>
      <c r="P60" s="247">
        <f t="shared" si="15"/>
        <v>8.4</v>
      </c>
      <c r="Q60" s="187">
        <f t="shared" si="15"/>
        <v>11.4</v>
      </c>
      <c r="R60" s="187">
        <f t="shared" si="15"/>
        <v>10.8</v>
      </c>
      <c r="S60" s="176">
        <f t="shared" si="2"/>
        <v>1.0555555555555556</v>
      </c>
      <c r="T60" s="176">
        <f t="shared" si="3"/>
        <v>1.1250000000000002</v>
      </c>
      <c r="U60" s="238"/>
      <c r="V60" s="187">
        <f t="shared" si="15"/>
        <v>11.4</v>
      </c>
      <c r="W60" s="150"/>
      <c r="X60" s="150"/>
      <c r="Y60" s="150"/>
    </row>
    <row r="61" spans="1:25" s="248" customFormat="1" ht="17.25" customHeight="1" thickBot="1">
      <c r="A61" s="425"/>
      <c r="B61" s="417"/>
      <c r="C61" s="183"/>
      <c r="D61" s="184" t="s">
        <v>191</v>
      </c>
      <c r="E61" s="184" t="s">
        <v>209</v>
      </c>
      <c r="F61" s="183">
        <v>48</v>
      </c>
      <c r="G61" s="203">
        <v>9.6</v>
      </c>
      <c r="H61" s="204"/>
      <c r="I61" s="241">
        <v>12</v>
      </c>
      <c r="J61" s="205">
        <v>10.8</v>
      </c>
      <c r="K61" s="206">
        <v>2.4</v>
      </c>
      <c r="L61" s="206">
        <v>2.4</v>
      </c>
      <c r="M61" s="206">
        <v>3</v>
      </c>
      <c r="N61" s="206">
        <v>4.8</v>
      </c>
      <c r="O61" s="206">
        <v>3</v>
      </c>
      <c r="P61" s="207">
        <v>8.4</v>
      </c>
      <c r="Q61" s="241">
        <v>11.4</v>
      </c>
      <c r="R61" s="205">
        <v>10.8</v>
      </c>
      <c r="S61" s="176">
        <f t="shared" si="2"/>
        <v>1.0555555555555556</v>
      </c>
      <c r="T61" s="176">
        <f t="shared" si="3"/>
        <v>1.1250000000000002</v>
      </c>
      <c r="U61" s="150"/>
      <c r="V61" s="485">
        <f>'[3]Alte chelt.rep,post,ener,asig'!I55/1000</f>
        <v>11.4</v>
      </c>
      <c r="W61" s="150"/>
      <c r="X61" s="150"/>
      <c r="Y61" s="150"/>
    </row>
    <row r="62" spans="1:25" s="231" customFormat="1" ht="37.5" customHeight="1" thickBot="1">
      <c r="A62" s="425"/>
      <c r="B62" s="417"/>
      <c r="C62" s="180" t="s">
        <v>81</v>
      </c>
      <c r="D62" s="420" t="s">
        <v>210</v>
      </c>
      <c r="E62" s="420"/>
      <c r="F62" s="180">
        <v>49</v>
      </c>
      <c r="G62" s="216">
        <f>G63+G65</f>
        <v>0.44</v>
      </c>
      <c r="H62" s="180"/>
      <c r="I62" s="216">
        <f t="shared" ref="I62:V62" si="16">I63+I65</f>
        <v>0.5</v>
      </c>
      <c r="J62" s="217">
        <f t="shared" si="16"/>
        <v>0</v>
      </c>
      <c r="K62" s="216">
        <f t="shared" si="16"/>
        <v>0</v>
      </c>
      <c r="L62" s="216">
        <f t="shared" si="16"/>
        <v>0</v>
      </c>
      <c r="M62" s="216">
        <f t="shared" si="16"/>
        <v>0</v>
      </c>
      <c r="N62" s="216">
        <f t="shared" si="16"/>
        <v>0</v>
      </c>
      <c r="O62" s="216">
        <f t="shared" si="16"/>
        <v>0</v>
      </c>
      <c r="P62" s="216">
        <f t="shared" si="16"/>
        <v>0</v>
      </c>
      <c r="Q62" s="216">
        <f t="shared" si="16"/>
        <v>0</v>
      </c>
      <c r="R62" s="216">
        <f t="shared" si="16"/>
        <v>0</v>
      </c>
      <c r="S62" s="176" t="str">
        <f t="shared" si="2"/>
        <v>0</v>
      </c>
      <c r="T62" s="176" t="str">
        <f t="shared" si="3"/>
        <v>0</v>
      </c>
      <c r="U62" s="217"/>
      <c r="V62" s="216">
        <f t="shared" si="16"/>
        <v>0</v>
      </c>
      <c r="W62" s="492"/>
      <c r="X62" s="492"/>
      <c r="Y62" s="492"/>
    </row>
    <row r="63" spans="1:25" ht="20.25" customHeight="1" thickBot="1">
      <c r="A63" s="425"/>
      <c r="B63" s="417"/>
      <c r="C63" s="417"/>
      <c r="D63" s="183" t="s">
        <v>157</v>
      </c>
      <c r="E63" s="184" t="s">
        <v>211</v>
      </c>
      <c r="F63" s="183">
        <v>50</v>
      </c>
      <c r="G63" s="203">
        <v>0.44</v>
      </c>
      <c r="H63" s="204"/>
      <c r="I63" s="241">
        <v>0.5</v>
      </c>
      <c r="J63" s="205">
        <v>0</v>
      </c>
      <c r="K63" s="206">
        <f>Q63/4</f>
        <v>0</v>
      </c>
      <c r="L63" s="206"/>
      <c r="M63" s="206">
        <f>(Q63/4)+K63</f>
        <v>0</v>
      </c>
      <c r="N63" s="206"/>
      <c r="O63" s="206">
        <f>(Q63/4)+M63</f>
        <v>0</v>
      </c>
      <c r="P63" s="207">
        <v>0</v>
      </c>
      <c r="Q63" s="241">
        <v>0</v>
      </c>
      <c r="R63" s="205">
        <v>0</v>
      </c>
      <c r="S63" s="176" t="str">
        <f t="shared" si="2"/>
        <v>0</v>
      </c>
      <c r="T63" s="176" t="str">
        <f t="shared" si="3"/>
        <v>0</v>
      </c>
      <c r="U63" s="150"/>
      <c r="V63" s="283">
        <v>0</v>
      </c>
      <c r="W63" s="150"/>
      <c r="X63" s="150"/>
      <c r="Y63" s="150"/>
    </row>
    <row r="64" spans="1:25" ht="34.5" customHeight="1" thickBot="1">
      <c r="A64" s="425"/>
      <c r="B64" s="417"/>
      <c r="C64" s="417"/>
      <c r="D64" s="183"/>
      <c r="E64" s="184" t="s">
        <v>212</v>
      </c>
      <c r="F64" s="183">
        <v>51</v>
      </c>
      <c r="G64" s="203">
        <v>0</v>
      </c>
      <c r="H64" s="204"/>
      <c r="I64" s="187">
        <v>0</v>
      </c>
      <c r="J64" s="205"/>
      <c r="K64" s="206">
        <v>0</v>
      </c>
      <c r="L64" s="206"/>
      <c r="M64" s="206">
        <v>0</v>
      </c>
      <c r="N64" s="206"/>
      <c r="O64" s="206">
        <v>0</v>
      </c>
      <c r="P64" s="207"/>
      <c r="Q64" s="187">
        <v>0</v>
      </c>
      <c r="R64" s="205"/>
      <c r="S64" s="176" t="str">
        <f t="shared" si="2"/>
        <v>0</v>
      </c>
      <c r="T64" s="176" t="str">
        <f t="shared" si="3"/>
        <v>0</v>
      </c>
      <c r="U64" s="150"/>
      <c r="V64" s="283"/>
      <c r="W64" s="150"/>
      <c r="X64" s="150"/>
      <c r="Y64" s="150"/>
    </row>
    <row r="65" spans="1:25" ht="21" customHeight="1" thickBot="1">
      <c r="A65" s="425"/>
      <c r="B65" s="417"/>
      <c r="C65" s="417"/>
      <c r="D65" s="183" t="s">
        <v>159</v>
      </c>
      <c r="E65" s="184" t="s">
        <v>213</v>
      </c>
      <c r="F65" s="183">
        <v>52</v>
      </c>
      <c r="G65" s="203">
        <v>0</v>
      </c>
      <c r="H65" s="204"/>
      <c r="I65" s="187">
        <v>0</v>
      </c>
      <c r="J65" s="205"/>
      <c r="K65" s="206">
        <v>0</v>
      </c>
      <c r="L65" s="206"/>
      <c r="M65" s="206">
        <v>0</v>
      </c>
      <c r="N65" s="206">
        <v>0</v>
      </c>
      <c r="O65" s="206">
        <v>0</v>
      </c>
      <c r="P65" s="207"/>
      <c r="Q65" s="187">
        <v>0</v>
      </c>
      <c r="R65" s="205"/>
      <c r="S65" s="176" t="str">
        <f t="shared" si="2"/>
        <v>0</v>
      </c>
      <c r="T65" s="176" t="str">
        <f t="shared" si="3"/>
        <v>0</v>
      </c>
      <c r="U65" s="150"/>
      <c r="V65" s="283"/>
      <c r="W65" s="150"/>
      <c r="X65" s="150"/>
      <c r="Y65" s="150"/>
    </row>
    <row r="66" spans="1:25" ht="37.5" customHeight="1" thickBot="1">
      <c r="A66" s="425"/>
      <c r="B66" s="417"/>
      <c r="C66" s="417"/>
      <c r="D66" s="418"/>
      <c r="E66" s="184" t="s">
        <v>214</v>
      </c>
      <c r="F66" s="183">
        <v>53</v>
      </c>
      <c r="G66" s="203">
        <v>0</v>
      </c>
      <c r="H66" s="204"/>
      <c r="I66" s="187">
        <v>0</v>
      </c>
      <c r="J66" s="205"/>
      <c r="K66" s="206">
        <v>0</v>
      </c>
      <c r="L66" s="206"/>
      <c r="M66" s="206">
        <v>0</v>
      </c>
      <c r="N66" s="206"/>
      <c r="O66" s="206">
        <v>0</v>
      </c>
      <c r="P66" s="207"/>
      <c r="Q66" s="187">
        <v>0</v>
      </c>
      <c r="R66" s="205"/>
      <c r="S66" s="176" t="str">
        <f t="shared" si="2"/>
        <v>0</v>
      </c>
      <c r="T66" s="176" t="str">
        <f t="shared" si="3"/>
        <v>0</v>
      </c>
      <c r="U66" s="150"/>
      <c r="V66" s="283"/>
      <c r="W66" s="150"/>
      <c r="X66" s="150"/>
      <c r="Y66" s="150"/>
    </row>
    <row r="67" spans="1:25" ht="54.75" customHeight="1" thickBot="1">
      <c r="A67" s="425"/>
      <c r="B67" s="417"/>
      <c r="C67" s="417"/>
      <c r="D67" s="418"/>
      <c r="E67" s="184" t="s">
        <v>215</v>
      </c>
      <c r="F67" s="183">
        <v>54</v>
      </c>
      <c r="G67" s="203">
        <v>0</v>
      </c>
      <c r="H67" s="204"/>
      <c r="I67" s="187">
        <v>0</v>
      </c>
      <c r="J67" s="205"/>
      <c r="K67" s="206">
        <v>0</v>
      </c>
      <c r="L67" s="206"/>
      <c r="M67" s="206">
        <v>0</v>
      </c>
      <c r="N67" s="206"/>
      <c r="O67" s="206">
        <v>0</v>
      </c>
      <c r="P67" s="207"/>
      <c r="Q67" s="187">
        <v>0</v>
      </c>
      <c r="R67" s="205"/>
      <c r="S67" s="176" t="str">
        <f t="shared" si="2"/>
        <v>0</v>
      </c>
      <c r="T67" s="176" t="str">
        <f t="shared" si="3"/>
        <v>0</v>
      </c>
      <c r="U67" s="150"/>
      <c r="V67" s="283"/>
      <c r="W67" s="150"/>
      <c r="X67" s="150"/>
      <c r="Y67" s="150"/>
    </row>
    <row r="68" spans="1:25" ht="18.75" thickBot="1">
      <c r="A68" s="425"/>
      <c r="B68" s="417"/>
      <c r="C68" s="417"/>
      <c r="D68" s="418"/>
      <c r="E68" s="184" t="s">
        <v>216</v>
      </c>
      <c r="F68" s="183">
        <v>55</v>
      </c>
      <c r="G68" s="203">
        <v>0</v>
      </c>
      <c r="H68" s="204"/>
      <c r="I68" s="187">
        <v>0</v>
      </c>
      <c r="J68" s="205"/>
      <c r="K68" s="206">
        <v>0</v>
      </c>
      <c r="L68" s="206"/>
      <c r="M68" s="206">
        <v>0</v>
      </c>
      <c r="N68" s="206">
        <v>0</v>
      </c>
      <c r="O68" s="206">
        <v>0</v>
      </c>
      <c r="P68" s="207"/>
      <c r="Q68" s="187">
        <v>0</v>
      </c>
      <c r="R68" s="205"/>
      <c r="S68" s="176" t="str">
        <f t="shared" si="2"/>
        <v>0</v>
      </c>
      <c r="T68" s="176" t="str">
        <f t="shared" si="3"/>
        <v>0</v>
      </c>
      <c r="U68" s="150"/>
      <c r="V68" s="283"/>
      <c r="W68" s="150"/>
      <c r="X68" s="150"/>
      <c r="Y68" s="150"/>
    </row>
    <row r="69" spans="1:25" s="252" customFormat="1" ht="39.75" customHeight="1" thickBot="1">
      <c r="A69" s="425"/>
      <c r="B69" s="417"/>
      <c r="C69" s="249" t="s">
        <v>91</v>
      </c>
      <c r="D69" s="422" t="s">
        <v>217</v>
      </c>
      <c r="E69" s="422"/>
      <c r="F69" s="249">
        <v>56</v>
      </c>
      <c r="G69" s="250">
        <f>G70+G71+G72+G73</f>
        <v>0</v>
      </c>
      <c r="H69" s="249"/>
      <c r="I69" s="250">
        <f>I70+I71+I72+I73</f>
        <v>0</v>
      </c>
      <c r="J69" s="217">
        <f>J70+J71+J72+J73</f>
        <v>0</v>
      </c>
      <c r="K69" s="216">
        <f>K70+K71+K72+K73</f>
        <v>0</v>
      </c>
      <c r="L69" s="216">
        <f>L70+L71+L72+L73</f>
        <v>0</v>
      </c>
      <c r="M69" s="216">
        <f>M70+M71+M72+M73</f>
        <v>0</v>
      </c>
      <c r="N69" s="216"/>
      <c r="O69" s="216">
        <f>O70+O71+O72+O73</f>
        <v>0</v>
      </c>
      <c r="P69" s="250"/>
      <c r="Q69" s="250">
        <f>Q70+Q71+Q72+Q73</f>
        <v>0</v>
      </c>
      <c r="R69" s="251">
        <f>R70+R71+R72+R73</f>
        <v>0</v>
      </c>
      <c r="S69" s="176" t="str">
        <f t="shared" si="2"/>
        <v>0</v>
      </c>
      <c r="T69" s="176" t="str">
        <f t="shared" si="3"/>
        <v>0</v>
      </c>
      <c r="U69" s="493"/>
      <c r="V69" s="494"/>
      <c r="W69" s="493"/>
      <c r="X69" s="493"/>
      <c r="Y69" s="493"/>
    </row>
    <row r="70" spans="1:25" ht="20.25" customHeight="1" thickBot="1">
      <c r="A70" s="425"/>
      <c r="B70" s="417"/>
      <c r="C70" s="417"/>
      <c r="D70" s="183" t="s">
        <v>218</v>
      </c>
      <c r="E70" s="184" t="s">
        <v>219</v>
      </c>
      <c r="F70" s="183">
        <v>57</v>
      </c>
      <c r="G70" s="203"/>
      <c r="H70" s="204"/>
      <c r="I70" s="187">
        <v>0</v>
      </c>
      <c r="J70" s="205"/>
      <c r="K70" s="206">
        <v>0</v>
      </c>
      <c r="L70" s="206"/>
      <c r="M70" s="206">
        <v>0</v>
      </c>
      <c r="N70" s="206"/>
      <c r="O70" s="206">
        <v>0</v>
      </c>
      <c r="P70" s="207"/>
      <c r="Q70" s="187">
        <v>0</v>
      </c>
      <c r="R70" s="205"/>
      <c r="S70" s="176" t="str">
        <f t="shared" si="2"/>
        <v>0</v>
      </c>
      <c r="T70" s="176" t="str">
        <f t="shared" si="3"/>
        <v>0</v>
      </c>
      <c r="U70" s="150"/>
      <c r="V70" s="283"/>
      <c r="W70" s="150"/>
      <c r="X70" s="150"/>
      <c r="Y70" s="150"/>
    </row>
    <row r="71" spans="1:25" ht="40.5" customHeight="1" thickBot="1">
      <c r="A71" s="425"/>
      <c r="B71" s="417"/>
      <c r="C71" s="417"/>
      <c r="D71" s="183" t="s">
        <v>220</v>
      </c>
      <c r="E71" s="184" t="s">
        <v>221</v>
      </c>
      <c r="F71" s="183">
        <v>58</v>
      </c>
      <c r="G71" s="203"/>
      <c r="H71" s="204"/>
      <c r="I71" s="187">
        <v>0</v>
      </c>
      <c r="J71" s="205"/>
      <c r="K71" s="206">
        <v>0</v>
      </c>
      <c r="L71" s="206"/>
      <c r="M71" s="206">
        <v>0</v>
      </c>
      <c r="N71" s="206"/>
      <c r="O71" s="206">
        <v>0</v>
      </c>
      <c r="P71" s="207"/>
      <c r="Q71" s="187">
        <v>0</v>
      </c>
      <c r="R71" s="205"/>
      <c r="S71" s="176" t="str">
        <f t="shared" si="2"/>
        <v>0</v>
      </c>
      <c r="T71" s="176" t="str">
        <f t="shared" si="3"/>
        <v>0</v>
      </c>
      <c r="U71" s="150"/>
      <c r="V71" s="283"/>
      <c r="W71" s="150"/>
      <c r="X71" s="150"/>
      <c r="Y71" s="150"/>
    </row>
    <row r="72" spans="1:25" ht="25.5" customHeight="1" thickBot="1">
      <c r="A72" s="425"/>
      <c r="B72" s="417"/>
      <c r="C72" s="417"/>
      <c r="D72" s="183"/>
      <c r="E72" s="184" t="s">
        <v>222</v>
      </c>
      <c r="F72" s="183">
        <v>59</v>
      </c>
      <c r="G72" s="203"/>
      <c r="H72" s="204"/>
      <c r="I72" s="187">
        <v>0</v>
      </c>
      <c r="J72" s="205"/>
      <c r="K72" s="206">
        <v>0</v>
      </c>
      <c r="L72" s="206"/>
      <c r="M72" s="206">
        <v>0</v>
      </c>
      <c r="N72" s="206"/>
      <c r="O72" s="206">
        <v>0</v>
      </c>
      <c r="P72" s="207"/>
      <c r="Q72" s="187">
        <v>0</v>
      </c>
      <c r="R72" s="205"/>
      <c r="S72" s="176" t="str">
        <f t="shared" si="2"/>
        <v>0</v>
      </c>
      <c r="T72" s="176" t="str">
        <f t="shared" si="3"/>
        <v>0</v>
      </c>
      <c r="U72" s="150"/>
      <c r="V72" s="283"/>
      <c r="W72" s="150"/>
      <c r="X72" s="150"/>
      <c r="Y72" s="150"/>
    </row>
    <row r="73" spans="1:25" ht="22.5" customHeight="1" thickBot="1">
      <c r="A73" s="425"/>
      <c r="B73" s="417"/>
      <c r="C73" s="417"/>
      <c r="D73" s="183" t="s">
        <v>223</v>
      </c>
      <c r="E73" s="184" t="s">
        <v>224</v>
      </c>
      <c r="F73" s="183">
        <v>60</v>
      </c>
      <c r="G73" s="203"/>
      <c r="H73" s="204"/>
      <c r="I73" s="187">
        <v>0</v>
      </c>
      <c r="J73" s="205"/>
      <c r="K73" s="206">
        <v>0</v>
      </c>
      <c r="L73" s="206"/>
      <c r="M73" s="206">
        <v>0</v>
      </c>
      <c r="N73" s="206"/>
      <c r="O73" s="206">
        <v>0</v>
      </c>
      <c r="P73" s="207"/>
      <c r="Q73" s="187">
        <v>0</v>
      </c>
      <c r="R73" s="205"/>
      <c r="S73" s="176" t="str">
        <f t="shared" si="2"/>
        <v>0</v>
      </c>
      <c r="T73" s="176" t="str">
        <f t="shared" si="3"/>
        <v>0</v>
      </c>
      <c r="U73" s="150"/>
      <c r="V73" s="283"/>
      <c r="W73" s="150"/>
      <c r="X73" s="150"/>
      <c r="Y73" s="150"/>
    </row>
    <row r="74" spans="1:25" ht="20.25" customHeight="1" thickBot="1">
      <c r="A74" s="425"/>
      <c r="B74" s="417"/>
      <c r="C74" s="183" t="s">
        <v>93</v>
      </c>
      <c r="D74" s="418" t="s">
        <v>225</v>
      </c>
      <c r="E74" s="418"/>
      <c r="F74" s="183">
        <v>61</v>
      </c>
      <c r="G74" s="253"/>
      <c r="H74" s="204"/>
      <c r="I74" s="187">
        <v>0</v>
      </c>
      <c r="J74" s="205"/>
      <c r="K74" s="206"/>
      <c r="L74" s="206"/>
      <c r="M74" s="206"/>
      <c r="N74" s="206"/>
      <c r="O74" s="206"/>
      <c r="P74" s="207"/>
      <c r="Q74" s="187">
        <v>0</v>
      </c>
      <c r="R74" s="205"/>
      <c r="S74" s="176" t="str">
        <f t="shared" si="2"/>
        <v>0</v>
      </c>
      <c r="T74" s="176" t="str">
        <f t="shared" si="3"/>
        <v>0</v>
      </c>
      <c r="U74" s="150"/>
      <c r="V74" s="283"/>
      <c r="W74" s="150"/>
      <c r="X74" s="150"/>
      <c r="Y74" s="150"/>
    </row>
    <row r="75" spans="1:25" s="252" customFormat="1" ht="19.5" customHeight="1" thickBot="1">
      <c r="A75" s="425"/>
      <c r="B75" s="417"/>
      <c r="C75" s="249" t="s">
        <v>163</v>
      </c>
      <c r="D75" s="420" t="s">
        <v>226</v>
      </c>
      <c r="E75" s="420"/>
      <c r="F75" s="180">
        <v>62</v>
      </c>
      <c r="G75" s="216">
        <f>G76</f>
        <v>0.52</v>
      </c>
      <c r="H75" s="180"/>
      <c r="I75" s="216">
        <f t="shared" ref="I75:V75" si="17">I76</f>
        <v>1</v>
      </c>
      <c r="J75" s="217">
        <f t="shared" si="17"/>
        <v>0</v>
      </c>
      <c r="K75" s="250">
        <f t="shared" si="17"/>
        <v>0</v>
      </c>
      <c r="L75" s="250">
        <f t="shared" si="17"/>
        <v>0</v>
      </c>
      <c r="M75" s="250">
        <f t="shared" si="17"/>
        <v>0</v>
      </c>
      <c r="N75" s="250">
        <f t="shared" si="17"/>
        <v>0</v>
      </c>
      <c r="O75" s="250">
        <f t="shared" si="17"/>
        <v>0</v>
      </c>
      <c r="P75" s="250">
        <f t="shared" si="17"/>
        <v>0</v>
      </c>
      <c r="Q75" s="250">
        <f t="shared" si="17"/>
        <v>0</v>
      </c>
      <c r="R75" s="250">
        <f t="shared" si="17"/>
        <v>0</v>
      </c>
      <c r="S75" s="176" t="str">
        <f t="shared" si="2"/>
        <v>0</v>
      </c>
      <c r="T75" s="176" t="str">
        <f t="shared" si="3"/>
        <v>0</v>
      </c>
      <c r="U75" s="251"/>
      <c r="V75" s="250">
        <f t="shared" si="17"/>
        <v>0</v>
      </c>
      <c r="W75" s="493"/>
      <c r="X75" s="493"/>
      <c r="Y75" s="493"/>
    </row>
    <row r="76" spans="1:25" s="252" customFormat="1" ht="18" customHeight="1" thickBot="1">
      <c r="A76" s="425"/>
      <c r="B76" s="417"/>
      <c r="C76" s="417"/>
      <c r="D76" s="420" t="s">
        <v>227</v>
      </c>
      <c r="E76" s="420"/>
      <c r="F76" s="180">
        <v>63</v>
      </c>
      <c r="G76" s="217">
        <f>G77+G78</f>
        <v>0.52</v>
      </c>
      <c r="H76" s="180"/>
      <c r="I76" s="216">
        <f t="shared" ref="I76:V76" si="18">I77+I78</f>
        <v>1</v>
      </c>
      <c r="J76" s="217">
        <f t="shared" si="18"/>
        <v>0</v>
      </c>
      <c r="K76" s="250">
        <f t="shared" si="18"/>
        <v>0</v>
      </c>
      <c r="L76" s="250">
        <f t="shared" si="18"/>
        <v>0</v>
      </c>
      <c r="M76" s="250">
        <f t="shared" si="18"/>
        <v>0</v>
      </c>
      <c r="N76" s="250">
        <f t="shared" si="18"/>
        <v>0</v>
      </c>
      <c r="O76" s="250">
        <f t="shared" si="18"/>
        <v>0</v>
      </c>
      <c r="P76" s="250">
        <f t="shared" si="18"/>
        <v>0</v>
      </c>
      <c r="Q76" s="250">
        <f t="shared" si="18"/>
        <v>0</v>
      </c>
      <c r="R76" s="250">
        <f t="shared" si="18"/>
        <v>0</v>
      </c>
      <c r="S76" s="176" t="str">
        <f t="shared" si="2"/>
        <v>0</v>
      </c>
      <c r="T76" s="176" t="str">
        <f t="shared" si="3"/>
        <v>0</v>
      </c>
      <c r="U76" s="251"/>
      <c r="V76" s="250">
        <f t="shared" si="18"/>
        <v>0</v>
      </c>
      <c r="W76" s="493"/>
      <c r="X76" s="493"/>
      <c r="Y76" s="493"/>
    </row>
    <row r="77" spans="1:25" ht="18" customHeight="1" thickBot="1">
      <c r="A77" s="425"/>
      <c r="B77" s="417"/>
      <c r="C77" s="417"/>
      <c r="D77" s="418" t="s">
        <v>228</v>
      </c>
      <c r="E77" s="418"/>
      <c r="F77" s="183">
        <v>64</v>
      </c>
      <c r="G77" s="254">
        <v>0.52</v>
      </c>
      <c r="H77" s="204"/>
      <c r="I77" s="187">
        <v>1</v>
      </c>
      <c r="J77" s="255">
        <v>0</v>
      </c>
      <c r="K77" s="206">
        <f>Q77/4</f>
        <v>0</v>
      </c>
      <c r="L77" s="206">
        <v>0</v>
      </c>
      <c r="M77" s="206">
        <f>(Q77/4)+K77</f>
        <v>0</v>
      </c>
      <c r="N77" s="206">
        <v>0</v>
      </c>
      <c r="O77" s="206">
        <v>0</v>
      </c>
      <c r="P77" s="207">
        <v>0</v>
      </c>
      <c r="Q77" s="187">
        <v>0</v>
      </c>
      <c r="R77" s="255">
        <v>0</v>
      </c>
      <c r="S77" s="176" t="str">
        <f t="shared" si="2"/>
        <v>0</v>
      </c>
      <c r="T77" s="176" t="str">
        <f t="shared" si="3"/>
        <v>0</v>
      </c>
      <c r="U77" s="150"/>
      <c r="V77" s="283">
        <v>0</v>
      </c>
      <c r="W77" s="150"/>
      <c r="X77" s="150"/>
      <c r="Y77" s="150"/>
    </row>
    <row r="78" spans="1:25" ht="18" customHeight="1" thickBot="1">
      <c r="A78" s="425"/>
      <c r="B78" s="417"/>
      <c r="C78" s="417"/>
      <c r="D78" s="418" t="s">
        <v>229</v>
      </c>
      <c r="E78" s="418"/>
      <c r="F78" s="183">
        <v>65</v>
      </c>
      <c r="G78" s="203">
        <v>0</v>
      </c>
      <c r="H78" s="204"/>
      <c r="I78" s="187">
        <v>0</v>
      </c>
      <c r="J78" s="205">
        <v>0</v>
      </c>
      <c r="K78" s="206">
        <v>0</v>
      </c>
      <c r="L78" s="206">
        <v>0</v>
      </c>
      <c r="M78" s="206">
        <v>0</v>
      </c>
      <c r="N78" s="206">
        <v>0</v>
      </c>
      <c r="O78" s="206">
        <v>0</v>
      </c>
      <c r="P78" s="207"/>
      <c r="Q78" s="187">
        <v>0</v>
      </c>
      <c r="R78" s="205">
        <v>0</v>
      </c>
      <c r="S78" s="176" t="str">
        <f t="shared" si="2"/>
        <v>0</v>
      </c>
      <c r="T78" s="176" t="str">
        <f t="shared" si="3"/>
        <v>0</v>
      </c>
      <c r="U78" s="150"/>
      <c r="V78" s="283"/>
      <c r="W78" s="150"/>
      <c r="X78" s="150"/>
      <c r="Y78" s="150"/>
    </row>
    <row r="79" spans="1:25" s="252" customFormat="1" ht="18" customHeight="1" thickBot="1">
      <c r="A79" s="425"/>
      <c r="B79" s="417"/>
      <c r="C79" s="249" t="s">
        <v>230</v>
      </c>
      <c r="D79" s="420" t="s">
        <v>231</v>
      </c>
      <c r="E79" s="420"/>
      <c r="F79" s="180">
        <v>66</v>
      </c>
      <c r="G79" s="216">
        <v>8.11</v>
      </c>
      <c r="H79" s="180"/>
      <c r="I79" s="216">
        <v>10</v>
      </c>
      <c r="J79" s="217">
        <f>7.628+0.223</f>
        <v>7.851</v>
      </c>
      <c r="K79" s="216">
        <v>1.637</v>
      </c>
      <c r="L79" s="216">
        <f>1.915+0.017</f>
        <v>1.9319999999999999</v>
      </c>
      <c r="M79" s="216">
        <v>2.8860000000000001</v>
      </c>
      <c r="N79" s="216">
        <f>3.832+0.057</f>
        <v>3.8889999999999998</v>
      </c>
      <c r="O79" s="216">
        <v>2.8860000000000001</v>
      </c>
      <c r="P79" s="216">
        <f>5.696+0.126</f>
        <v>5.8220000000000001</v>
      </c>
      <c r="Q79" s="216">
        <v>10.3</v>
      </c>
      <c r="R79" s="251">
        <f>7.628+0.223</f>
        <v>7.851</v>
      </c>
      <c r="S79" s="176">
        <f t="shared" ref="S79:S142" si="19">IF(Q79=0,"0",Q79/J79)</f>
        <v>1.3119347853776591</v>
      </c>
      <c r="T79" s="176">
        <f t="shared" ref="T79:T142" si="20">IF(J79=0,"0",J79/G79)</f>
        <v>0.96806411837237982</v>
      </c>
      <c r="U79" s="493"/>
      <c r="V79" s="495">
        <f>'[3]Alte chelt.rep,post,ener,asig'!D14/1000</f>
        <v>10.3</v>
      </c>
      <c r="W79" s="493"/>
      <c r="X79" s="493"/>
      <c r="Y79" s="493"/>
    </row>
    <row r="80" spans="1:25" s="252" customFormat="1" ht="18" customHeight="1" thickBot="1">
      <c r="A80" s="425"/>
      <c r="B80" s="417"/>
      <c r="C80" s="249" t="s">
        <v>232</v>
      </c>
      <c r="D80" s="420" t="s">
        <v>233</v>
      </c>
      <c r="E80" s="420"/>
      <c r="F80" s="180">
        <v>67</v>
      </c>
      <c r="G80" s="216">
        <v>0.72</v>
      </c>
      <c r="H80" s="180"/>
      <c r="I80" s="216">
        <v>0.8</v>
      </c>
      <c r="J80" s="217">
        <f>0.726+0.16</f>
        <v>0.88600000000000001</v>
      </c>
      <c r="K80" s="216">
        <v>0.29599999999999999</v>
      </c>
      <c r="L80" s="216">
        <f>0.16+0.03</f>
        <v>0.19</v>
      </c>
      <c r="M80" s="216">
        <v>0.29599999999999999</v>
      </c>
      <c r="N80" s="216">
        <f>0.345+0.067</f>
        <v>0.41199999999999998</v>
      </c>
      <c r="O80" s="216">
        <v>0.29599999999999999</v>
      </c>
      <c r="P80" s="216">
        <f>0.505+0.138</f>
        <v>0.64300000000000002</v>
      </c>
      <c r="Q80" s="216">
        <v>1.1000000000000001</v>
      </c>
      <c r="R80" s="251">
        <f>0.726+0.16</f>
        <v>0.88600000000000001</v>
      </c>
      <c r="S80" s="176">
        <f t="shared" si="19"/>
        <v>1.2415349887133185</v>
      </c>
      <c r="T80" s="176">
        <f t="shared" si="20"/>
        <v>1.2305555555555556</v>
      </c>
      <c r="U80" s="493"/>
      <c r="V80" s="495">
        <f>'[3]Alte chelt.rep,post,ener,asig'!I14/1000</f>
        <v>1.1000000000000001</v>
      </c>
      <c r="W80" s="493"/>
      <c r="X80" s="493"/>
      <c r="Y80" s="493"/>
    </row>
    <row r="81" spans="1:25" s="252" customFormat="1" ht="19.5" customHeight="1" thickBot="1">
      <c r="A81" s="425"/>
      <c r="B81" s="417"/>
      <c r="C81" s="180" t="s">
        <v>234</v>
      </c>
      <c r="D81" s="420" t="s">
        <v>235</v>
      </c>
      <c r="E81" s="420"/>
      <c r="F81" s="180">
        <v>68</v>
      </c>
      <c r="G81" s="216">
        <f>G82+G83+G84+G85+G87+G88+G89</f>
        <v>7.9399999999999995</v>
      </c>
      <c r="H81" s="180"/>
      <c r="I81" s="216">
        <f t="shared" ref="I81:V81" si="21">I82+I83+I84+I85+I87+I88+I89</f>
        <v>9.5</v>
      </c>
      <c r="J81" s="216">
        <f t="shared" si="21"/>
        <v>10.689</v>
      </c>
      <c r="K81" s="216">
        <f t="shared" si="21"/>
        <v>3.5</v>
      </c>
      <c r="L81" s="216">
        <f t="shared" si="21"/>
        <v>3.8069999999999999</v>
      </c>
      <c r="M81" s="216">
        <f t="shared" si="21"/>
        <v>6.7584999999999997</v>
      </c>
      <c r="N81" s="216">
        <f t="shared" si="21"/>
        <v>5.04</v>
      </c>
      <c r="O81" s="216">
        <f t="shared" si="21"/>
        <v>4.1710000000000003</v>
      </c>
      <c r="P81" s="216">
        <f t="shared" si="21"/>
        <v>7.6859999999999999</v>
      </c>
      <c r="Q81" s="216">
        <f t="shared" si="21"/>
        <v>18.189999999999998</v>
      </c>
      <c r="R81" s="216">
        <f t="shared" si="21"/>
        <v>10.689</v>
      </c>
      <c r="S81" s="176">
        <f t="shared" si="19"/>
        <v>1.7017494620638036</v>
      </c>
      <c r="T81" s="176">
        <f t="shared" si="20"/>
        <v>1.3462216624685139</v>
      </c>
      <c r="U81" s="217"/>
      <c r="V81" s="216">
        <f t="shared" si="21"/>
        <v>18.190269999999998</v>
      </c>
      <c r="W81" s="493"/>
      <c r="X81" s="493"/>
      <c r="Y81" s="493"/>
    </row>
    <row r="82" spans="1:25" ht="23.25" customHeight="1" thickBot="1">
      <c r="A82" s="425"/>
      <c r="B82" s="417"/>
      <c r="C82" s="417"/>
      <c r="D82" s="183" t="s">
        <v>236</v>
      </c>
      <c r="E82" s="184" t="s">
        <v>237</v>
      </c>
      <c r="F82" s="183">
        <v>69</v>
      </c>
      <c r="G82" s="203">
        <v>2.0499999999999998</v>
      </c>
      <c r="H82" s="204"/>
      <c r="I82" s="187">
        <v>2.5</v>
      </c>
      <c r="J82" s="205">
        <v>2.4129999999999998</v>
      </c>
      <c r="K82" s="206">
        <v>0.622</v>
      </c>
      <c r="L82" s="206">
        <v>0.57199999999999995</v>
      </c>
      <c r="M82" s="206">
        <v>0.626</v>
      </c>
      <c r="N82" s="206">
        <v>1.175</v>
      </c>
      <c r="O82" s="206">
        <v>0.626</v>
      </c>
      <c r="P82" s="207">
        <v>1.79</v>
      </c>
      <c r="Q82" s="187">
        <v>2.5</v>
      </c>
      <c r="R82" s="205">
        <v>2.4129999999999998</v>
      </c>
      <c r="S82" s="176">
        <f t="shared" si="19"/>
        <v>1.0360547036883547</v>
      </c>
      <c r="T82" s="176">
        <f t="shared" si="20"/>
        <v>1.1770731707317073</v>
      </c>
      <c r="U82" s="150"/>
      <c r="V82" s="485">
        <v>2.5</v>
      </c>
      <c r="W82" s="150"/>
      <c r="X82" s="150"/>
      <c r="Y82" s="150"/>
    </row>
    <row r="83" spans="1:25" ht="26.25" customHeight="1" thickBot="1">
      <c r="A83" s="425"/>
      <c r="B83" s="417"/>
      <c r="C83" s="417"/>
      <c r="D83" s="183" t="s">
        <v>238</v>
      </c>
      <c r="E83" s="184" t="s">
        <v>239</v>
      </c>
      <c r="F83" s="183">
        <v>70</v>
      </c>
      <c r="G83" s="203">
        <v>5.89</v>
      </c>
      <c r="H83" s="204"/>
      <c r="I83" s="187">
        <v>6.5</v>
      </c>
      <c r="J83" s="205">
        <v>8.2759999999999998</v>
      </c>
      <c r="K83" s="206">
        <v>2.8780000000000001</v>
      </c>
      <c r="L83" s="206">
        <v>3.2349999999999999</v>
      </c>
      <c r="M83" s="206">
        <v>2.72</v>
      </c>
      <c r="N83" s="206">
        <v>3.8650000000000002</v>
      </c>
      <c r="O83" s="206">
        <v>2.72</v>
      </c>
      <c r="P83" s="207">
        <v>5.8959999999999999</v>
      </c>
      <c r="Q83" s="187">
        <v>11.04</v>
      </c>
      <c r="R83" s="205">
        <v>8.2759999999999998</v>
      </c>
      <c r="S83" s="176">
        <f t="shared" si="19"/>
        <v>1.3339777670372159</v>
      </c>
      <c r="T83" s="176">
        <f t="shared" si="20"/>
        <v>1.4050933786078099</v>
      </c>
      <c r="U83" s="150"/>
      <c r="V83" s="485">
        <f>'[3]Alte chelt.rep,post,ener,asig'!D65/1000</f>
        <v>11.04027</v>
      </c>
      <c r="W83" s="150"/>
      <c r="X83" s="150"/>
      <c r="Y83" s="150"/>
    </row>
    <row r="84" spans="1:25" ht="23.25" customHeight="1" thickBot="1">
      <c r="A84" s="425"/>
      <c r="B84" s="417"/>
      <c r="C84" s="417"/>
      <c r="D84" s="183" t="s">
        <v>240</v>
      </c>
      <c r="E84" s="184" t="s">
        <v>241</v>
      </c>
      <c r="F84" s="183">
        <v>71</v>
      </c>
      <c r="G84" s="203">
        <v>0</v>
      </c>
      <c r="H84" s="204"/>
      <c r="I84" s="187">
        <v>0.5</v>
      </c>
      <c r="J84" s="205">
        <v>0</v>
      </c>
      <c r="K84" s="206">
        <v>0</v>
      </c>
      <c r="L84" s="206">
        <v>0</v>
      </c>
      <c r="M84" s="206">
        <f>(Q84/4)+K84</f>
        <v>0.16250000000000001</v>
      </c>
      <c r="N84" s="206">
        <v>0</v>
      </c>
      <c r="O84" s="206">
        <f>(Q84/4)+M84</f>
        <v>0.32500000000000001</v>
      </c>
      <c r="P84" s="207"/>
      <c r="Q84" s="187">
        <v>0.65</v>
      </c>
      <c r="R84" s="205">
        <v>0</v>
      </c>
      <c r="S84" s="176" t="e">
        <f t="shared" si="19"/>
        <v>#DIV/0!</v>
      </c>
      <c r="T84" s="176" t="str">
        <f t="shared" si="20"/>
        <v>0</v>
      </c>
      <c r="U84" s="150"/>
      <c r="V84" s="485">
        <f>'[3]Alte chelt.rep,post,ener,asig'!D55/1000</f>
        <v>0.65</v>
      </c>
      <c r="W84" s="150"/>
      <c r="X84" s="150"/>
      <c r="Y84" s="150"/>
    </row>
    <row r="85" spans="1:25" ht="36.75" customHeight="1" thickBot="1">
      <c r="A85" s="425"/>
      <c r="B85" s="417"/>
      <c r="C85" s="417"/>
      <c r="D85" s="183" t="s">
        <v>242</v>
      </c>
      <c r="E85" s="184" t="s">
        <v>243</v>
      </c>
      <c r="F85" s="183">
        <v>72</v>
      </c>
      <c r="G85" s="203">
        <f>G86</f>
        <v>0</v>
      </c>
      <c r="H85" s="204"/>
      <c r="I85" s="187">
        <v>0</v>
      </c>
      <c r="J85" s="205">
        <f>J86</f>
        <v>0</v>
      </c>
      <c r="K85" s="206">
        <f>Q85/4</f>
        <v>0</v>
      </c>
      <c r="L85" s="206"/>
      <c r="M85" s="206">
        <f>(Q85/4)+K85</f>
        <v>0</v>
      </c>
      <c r="N85" s="206">
        <v>0</v>
      </c>
      <c r="O85" s="206">
        <f>(Q85/4)+M85</f>
        <v>0</v>
      </c>
      <c r="P85" s="207"/>
      <c r="Q85" s="187">
        <v>0</v>
      </c>
      <c r="R85" s="205">
        <f>R86</f>
        <v>0</v>
      </c>
      <c r="S85" s="176" t="str">
        <f t="shared" si="19"/>
        <v>0</v>
      </c>
      <c r="T85" s="176" t="str">
        <f t="shared" si="20"/>
        <v>0</v>
      </c>
      <c r="U85" s="150"/>
      <c r="V85" s="485"/>
      <c r="W85" s="150"/>
      <c r="X85" s="150"/>
      <c r="Y85" s="150"/>
    </row>
    <row r="86" spans="1:25" ht="26.25" customHeight="1" thickBot="1">
      <c r="A86" s="425"/>
      <c r="B86" s="417"/>
      <c r="C86" s="417"/>
      <c r="D86" s="183"/>
      <c r="E86" s="184" t="s">
        <v>244</v>
      </c>
      <c r="F86" s="183">
        <v>73</v>
      </c>
      <c r="G86" s="203">
        <v>0</v>
      </c>
      <c r="H86" s="204"/>
      <c r="I86" s="187">
        <v>0</v>
      </c>
      <c r="J86" s="205">
        <v>0</v>
      </c>
      <c r="K86" s="206">
        <v>0</v>
      </c>
      <c r="L86" s="206"/>
      <c r="M86" s="206">
        <v>0</v>
      </c>
      <c r="N86" s="206">
        <v>0</v>
      </c>
      <c r="O86" s="206">
        <v>0</v>
      </c>
      <c r="P86" s="207"/>
      <c r="Q86" s="187">
        <v>0</v>
      </c>
      <c r="R86" s="205">
        <v>0</v>
      </c>
      <c r="S86" s="176" t="str">
        <f t="shared" si="19"/>
        <v>0</v>
      </c>
      <c r="T86" s="176" t="str">
        <f t="shared" si="20"/>
        <v>0</v>
      </c>
      <c r="U86" s="150"/>
      <c r="V86" s="485"/>
      <c r="W86" s="150"/>
      <c r="X86" s="150"/>
      <c r="Y86" s="150"/>
    </row>
    <row r="87" spans="1:25" ht="27.75" customHeight="1" thickBot="1">
      <c r="A87" s="425"/>
      <c r="B87" s="417"/>
      <c r="C87" s="417"/>
      <c r="D87" s="183" t="s">
        <v>245</v>
      </c>
      <c r="E87" s="184" t="s">
        <v>246</v>
      </c>
      <c r="F87" s="183">
        <v>74</v>
      </c>
      <c r="G87" s="203">
        <v>0</v>
      </c>
      <c r="H87" s="204"/>
      <c r="I87" s="187">
        <v>0</v>
      </c>
      <c r="J87" s="205">
        <v>0</v>
      </c>
      <c r="K87" s="206">
        <v>0</v>
      </c>
      <c r="L87" s="206"/>
      <c r="M87" s="206">
        <v>0</v>
      </c>
      <c r="N87" s="206">
        <v>0</v>
      </c>
      <c r="O87" s="206">
        <v>0</v>
      </c>
      <c r="P87" s="207"/>
      <c r="Q87" s="187">
        <v>0</v>
      </c>
      <c r="R87" s="205">
        <v>0</v>
      </c>
      <c r="S87" s="176" t="str">
        <f t="shared" si="19"/>
        <v>0</v>
      </c>
      <c r="T87" s="176" t="str">
        <f t="shared" si="20"/>
        <v>0</v>
      </c>
      <c r="U87" s="150"/>
      <c r="V87" s="485"/>
      <c r="W87" s="150"/>
      <c r="X87" s="150"/>
      <c r="Y87" s="150"/>
    </row>
    <row r="88" spans="1:25" s="514" customFormat="1" ht="36.75" customHeight="1" thickBot="1">
      <c r="A88" s="425"/>
      <c r="B88" s="417"/>
      <c r="C88" s="417"/>
      <c r="D88" s="204" t="s">
        <v>247</v>
      </c>
      <c r="E88" s="510" t="s">
        <v>248</v>
      </c>
      <c r="F88" s="204">
        <v>75</v>
      </c>
      <c r="G88" s="203">
        <v>0</v>
      </c>
      <c r="H88" s="204"/>
      <c r="I88" s="253">
        <v>0</v>
      </c>
      <c r="J88" s="203">
        <v>0</v>
      </c>
      <c r="K88" s="271">
        <v>0</v>
      </c>
      <c r="L88" s="271"/>
      <c r="M88" s="271">
        <v>3</v>
      </c>
      <c r="N88" s="271">
        <v>0</v>
      </c>
      <c r="O88" s="271">
        <v>0</v>
      </c>
      <c r="P88" s="271"/>
      <c r="Q88" s="253">
        <v>3</v>
      </c>
      <c r="R88" s="203">
        <v>0</v>
      </c>
      <c r="S88" s="511" t="e">
        <f t="shared" si="19"/>
        <v>#DIV/0!</v>
      </c>
      <c r="T88" s="511" t="str">
        <f t="shared" si="20"/>
        <v>0</v>
      </c>
      <c r="U88" s="512"/>
      <c r="V88" s="513">
        <f>'[3]Alte chelt.rep,post,ener,asig'!I65/1000</f>
        <v>3</v>
      </c>
      <c r="W88" s="512"/>
      <c r="X88" s="512"/>
      <c r="Y88" s="512"/>
    </row>
    <row r="89" spans="1:25" s="514" customFormat="1" ht="24.75" customHeight="1" thickBot="1">
      <c r="A89" s="425"/>
      <c r="B89" s="417"/>
      <c r="C89" s="417"/>
      <c r="D89" s="204" t="s">
        <v>249</v>
      </c>
      <c r="E89" s="510" t="s">
        <v>250</v>
      </c>
      <c r="F89" s="204">
        <v>76</v>
      </c>
      <c r="G89" s="203">
        <v>0</v>
      </c>
      <c r="H89" s="204"/>
      <c r="I89" s="253">
        <v>0</v>
      </c>
      <c r="J89" s="203">
        <v>0</v>
      </c>
      <c r="K89" s="271">
        <v>0</v>
      </c>
      <c r="L89" s="271"/>
      <c r="M89" s="271">
        <f>(Q89/4)+K89</f>
        <v>0.25</v>
      </c>
      <c r="N89" s="271">
        <v>0</v>
      </c>
      <c r="O89" s="271">
        <f>(Q89/4)+M89</f>
        <v>0.5</v>
      </c>
      <c r="P89" s="271"/>
      <c r="Q89" s="253">
        <v>1</v>
      </c>
      <c r="R89" s="203">
        <v>0</v>
      </c>
      <c r="S89" s="511" t="e">
        <f t="shared" si="19"/>
        <v>#DIV/0!</v>
      </c>
      <c r="T89" s="511" t="str">
        <f t="shared" si="20"/>
        <v>0</v>
      </c>
      <c r="U89" s="512"/>
      <c r="V89" s="513">
        <f>'[3]Alte chelt.rep,post,ener,asig'!D39/1000</f>
        <v>1</v>
      </c>
      <c r="W89" s="512"/>
      <c r="X89" s="512"/>
      <c r="Y89" s="512"/>
    </row>
    <row r="90" spans="1:25" s="518" customFormat="1" ht="18.75" customHeight="1" thickBot="1">
      <c r="A90" s="425"/>
      <c r="B90" s="417"/>
      <c r="C90" s="245" t="s">
        <v>251</v>
      </c>
      <c r="D90" s="515" t="s">
        <v>94</v>
      </c>
      <c r="E90" s="515"/>
      <c r="F90" s="245">
        <v>77</v>
      </c>
      <c r="G90" s="203">
        <v>674.6</v>
      </c>
      <c r="H90" s="245"/>
      <c r="I90" s="253">
        <v>700.31</v>
      </c>
      <c r="J90" s="203">
        <f>82.174+6.201+602.114+9.465</f>
        <v>699.95400000000006</v>
      </c>
      <c r="K90" s="253">
        <f>3.924+0.077+96.9+10.33+3.6</f>
        <v>114.831</v>
      </c>
      <c r="L90" s="253">
        <f>4.333+0.059+178.058+9.465+2</f>
        <v>193.91499999999999</v>
      </c>
      <c r="M90" s="253">
        <v>197.41</v>
      </c>
      <c r="N90" s="253">
        <f>10.921+3.658+438.689+9.465+4</f>
        <v>466.733</v>
      </c>
      <c r="O90" s="253">
        <v>197.4</v>
      </c>
      <c r="P90" s="253">
        <f>32.246+3.719+474.014+9.465</f>
        <v>519.44400000000007</v>
      </c>
      <c r="Q90" s="253">
        <v>707.05</v>
      </c>
      <c r="R90" s="203">
        <f>82.174+6.201+602.114+9.465</f>
        <v>699.95400000000006</v>
      </c>
      <c r="S90" s="511">
        <f t="shared" si="19"/>
        <v>1.0101378090560236</v>
      </c>
      <c r="T90" s="511">
        <f t="shared" si="20"/>
        <v>1.0375837533353098</v>
      </c>
      <c r="U90" s="516"/>
      <c r="V90" s="517">
        <f>[3]J!G37/1000</f>
        <v>707.04959030000009</v>
      </c>
      <c r="W90" s="516"/>
      <c r="X90" s="516"/>
      <c r="Y90" s="516"/>
    </row>
    <row r="91" spans="1:25" s="195" customFormat="1" ht="34.5" customHeight="1" thickBot="1">
      <c r="A91" s="425"/>
      <c r="B91" s="417"/>
      <c r="C91" s="421" t="s">
        <v>252</v>
      </c>
      <c r="D91" s="421"/>
      <c r="E91" s="421"/>
      <c r="F91" s="180">
        <v>78</v>
      </c>
      <c r="G91" s="216">
        <f>G92+G93+G94+G95+G96+G97</f>
        <v>31.8</v>
      </c>
      <c r="H91" s="180"/>
      <c r="I91" s="216">
        <f t="shared" ref="I91:V91" si="22">I92+I93+I94+I95+I96+I97</f>
        <v>40</v>
      </c>
      <c r="J91" s="216">
        <f t="shared" si="22"/>
        <v>54.09899999999999</v>
      </c>
      <c r="K91" s="216">
        <f t="shared" si="22"/>
        <v>14.289000000000001</v>
      </c>
      <c r="L91" s="216">
        <f t="shared" si="22"/>
        <v>15.909000000000001</v>
      </c>
      <c r="M91" s="216">
        <f t="shared" si="22"/>
        <v>16.11</v>
      </c>
      <c r="N91" s="216">
        <f t="shared" si="22"/>
        <v>41.866</v>
      </c>
      <c r="O91" s="216">
        <f t="shared" si="22"/>
        <v>16.119</v>
      </c>
      <c r="P91" s="216">
        <f t="shared" si="22"/>
        <v>49.722999999999999</v>
      </c>
      <c r="Q91" s="216">
        <f t="shared" si="22"/>
        <v>62.649999999999991</v>
      </c>
      <c r="R91" s="216">
        <f t="shared" si="22"/>
        <v>54.09899999999999</v>
      </c>
      <c r="S91" s="176">
        <f t="shared" si="19"/>
        <v>1.1580620713876413</v>
      </c>
      <c r="T91" s="176">
        <f t="shared" si="20"/>
        <v>1.7012264150943393</v>
      </c>
      <c r="U91" s="217"/>
      <c r="V91" s="216">
        <f t="shared" si="22"/>
        <v>62.650190462667979</v>
      </c>
      <c r="W91" s="486"/>
      <c r="X91" s="486"/>
      <c r="Y91" s="486"/>
    </row>
    <row r="92" spans="1:25" ht="22.5" customHeight="1" thickBot="1">
      <c r="A92" s="425"/>
      <c r="B92" s="417"/>
      <c r="C92" s="183" t="s">
        <v>31</v>
      </c>
      <c r="D92" s="418" t="s">
        <v>253</v>
      </c>
      <c r="E92" s="418"/>
      <c r="F92" s="183">
        <v>79</v>
      </c>
      <c r="G92" s="203">
        <v>9.2799999999999994</v>
      </c>
      <c r="H92" s="204"/>
      <c r="I92" s="187">
        <v>11.63</v>
      </c>
      <c r="J92" s="205">
        <v>11.766999999999999</v>
      </c>
      <c r="K92" s="206">
        <v>3.6230000000000002</v>
      </c>
      <c r="L92" s="206">
        <v>2.496</v>
      </c>
      <c r="M92" s="206">
        <v>2.41</v>
      </c>
      <c r="N92" s="206">
        <v>9.3019999999999996</v>
      </c>
      <c r="O92" s="206">
        <v>2.4119999999999999</v>
      </c>
      <c r="P92" s="207">
        <v>10.448</v>
      </c>
      <c r="Q92" s="187">
        <v>10.86</v>
      </c>
      <c r="R92" s="205">
        <v>11.766999999999999</v>
      </c>
      <c r="S92" s="176">
        <f t="shared" si="19"/>
        <v>0.92292003059403416</v>
      </c>
      <c r="T92" s="176">
        <f t="shared" si="20"/>
        <v>1.2679956896551725</v>
      </c>
      <c r="U92" s="150"/>
      <c r="V92" s="485">
        <f>'[3]LP -venituri'!E66/1000</f>
        <v>10.855273856667974</v>
      </c>
      <c r="W92" s="150"/>
      <c r="X92" s="150"/>
      <c r="Y92" s="150"/>
    </row>
    <row r="93" spans="1:25" ht="36.75" customHeight="1" thickBot="1">
      <c r="A93" s="425"/>
      <c r="B93" s="417"/>
      <c r="C93" s="183" t="s">
        <v>33</v>
      </c>
      <c r="D93" s="418" t="s">
        <v>254</v>
      </c>
      <c r="E93" s="418"/>
      <c r="F93" s="183">
        <v>80</v>
      </c>
      <c r="G93" s="203"/>
      <c r="H93" s="204"/>
      <c r="I93" s="187"/>
      <c r="J93" s="205"/>
      <c r="K93" s="206">
        <v>0</v>
      </c>
      <c r="L93" s="206">
        <v>0</v>
      </c>
      <c r="M93" s="206">
        <v>0</v>
      </c>
      <c r="N93" s="206"/>
      <c r="O93" s="206">
        <v>0</v>
      </c>
      <c r="P93" s="207"/>
      <c r="Q93" s="187"/>
      <c r="R93" s="205"/>
      <c r="S93" s="176" t="str">
        <f t="shared" si="19"/>
        <v>0</v>
      </c>
      <c r="T93" s="176" t="str">
        <f t="shared" si="20"/>
        <v>0</v>
      </c>
      <c r="U93" s="150"/>
      <c r="V93" s="485"/>
      <c r="W93" s="150"/>
      <c r="X93" s="150"/>
      <c r="Y93" s="150"/>
    </row>
    <row r="94" spans="1:25" ht="18" customHeight="1" thickBot="1">
      <c r="A94" s="425"/>
      <c r="B94" s="417"/>
      <c r="C94" s="183" t="s">
        <v>81</v>
      </c>
      <c r="D94" s="418" t="s">
        <v>255</v>
      </c>
      <c r="E94" s="418"/>
      <c r="F94" s="183">
        <v>81</v>
      </c>
      <c r="G94" s="203"/>
      <c r="H94" s="204"/>
      <c r="I94" s="187"/>
      <c r="J94" s="205"/>
      <c r="K94" s="206">
        <v>0</v>
      </c>
      <c r="L94" s="206"/>
      <c r="M94" s="206">
        <v>0</v>
      </c>
      <c r="N94" s="206"/>
      <c r="O94" s="206">
        <v>0</v>
      </c>
      <c r="P94" s="207"/>
      <c r="Q94" s="187"/>
      <c r="R94" s="205"/>
      <c r="S94" s="176" t="str">
        <f t="shared" si="19"/>
        <v>0</v>
      </c>
      <c r="T94" s="176" t="str">
        <f t="shared" si="20"/>
        <v>0</v>
      </c>
      <c r="U94" s="150"/>
      <c r="V94" s="485"/>
      <c r="W94" s="150"/>
      <c r="X94" s="150"/>
      <c r="Y94" s="150"/>
    </row>
    <row r="95" spans="1:25" ht="18" customHeight="1" thickBot="1">
      <c r="A95" s="425"/>
      <c r="B95" s="417"/>
      <c r="C95" s="183" t="s">
        <v>91</v>
      </c>
      <c r="D95" s="418" t="s">
        <v>256</v>
      </c>
      <c r="E95" s="418"/>
      <c r="F95" s="183">
        <v>82</v>
      </c>
      <c r="G95" s="203"/>
      <c r="H95" s="204"/>
      <c r="I95" s="187"/>
      <c r="J95" s="205"/>
      <c r="K95" s="206">
        <v>0</v>
      </c>
      <c r="L95" s="206">
        <v>0</v>
      </c>
      <c r="M95" s="206">
        <v>0</v>
      </c>
      <c r="N95" s="206"/>
      <c r="O95" s="206">
        <v>0</v>
      </c>
      <c r="P95" s="207"/>
      <c r="Q95" s="187"/>
      <c r="R95" s="205"/>
      <c r="S95" s="176" t="str">
        <f t="shared" si="19"/>
        <v>0</v>
      </c>
      <c r="T95" s="176" t="str">
        <f t="shared" si="20"/>
        <v>0</v>
      </c>
      <c r="U95" s="150"/>
      <c r="V95" s="485"/>
      <c r="W95" s="150"/>
      <c r="X95" s="150"/>
      <c r="Y95" s="150"/>
    </row>
    <row r="96" spans="1:25" ht="18" customHeight="1" thickBot="1">
      <c r="A96" s="425"/>
      <c r="B96" s="417"/>
      <c r="C96" s="183" t="s">
        <v>93</v>
      </c>
      <c r="D96" s="418" t="s">
        <v>257</v>
      </c>
      <c r="E96" s="418"/>
      <c r="F96" s="183">
        <v>83</v>
      </c>
      <c r="G96" s="203">
        <v>14</v>
      </c>
      <c r="H96" s="204"/>
      <c r="I96" s="187">
        <v>18.87</v>
      </c>
      <c r="J96" s="205">
        <f>30.704+0.243+2.814</f>
        <v>33.760999999999996</v>
      </c>
      <c r="K96" s="206">
        <v>4.3680000000000003</v>
      </c>
      <c r="L96" s="206">
        <v>8.74</v>
      </c>
      <c r="M96" s="206">
        <v>4.25</v>
      </c>
      <c r="N96" s="206">
        <v>27.890999999999998</v>
      </c>
      <c r="O96" s="206">
        <v>4.2539999999999996</v>
      </c>
      <c r="P96" s="207">
        <v>30.704000000000001</v>
      </c>
      <c r="Q96" s="187">
        <v>17.13</v>
      </c>
      <c r="R96" s="205">
        <f>30.704+0.243+2.814</f>
        <v>33.760999999999996</v>
      </c>
      <c r="S96" s="176">
        <f t="shared" si="19"/>
        <v>0.5073901839400492</v>
      </c>
      <c r="T96" s="176">
        <f t="shared" si="20"/>
        <v>2.4114999999999998</v>
      </c>
      <c r="U96" s="150"/>
      <c r="V96" s="485">
        <f>'[3]LP -venituri'!E67/1000</f>
        <v>17.134</v>
      </c>
      <c r="W96" s="150"/>
      <c r="X96" s="150"/>
      <c r="Y96" s="150"/>
    </row>
    <row r="97" spans="1:25" ht="18.75" customHeight="1" thickBot="1">
      <c r="A97" s="425"/>
      <c r="B97" s="417"/>
      <c r="C97" s="183" t="s">
        <v>163</v>
      </c>
      <c r="D97" s="418" t="s">
        <v>258</v>
      </c>
      <c r="E97" s="418"/>
      <c r="F97" s="183">
        <v>84</v>
      </c>
      <c r="G97" s="203">
        <v>8.52</v>
      </c>
      <c r="H97" s="204"/>
      <c r="I97" s="187">
        <v>9.5</v>
      </c>
      <c r="J97" s="205">
        <f>5.706+2.093+0.772</f>
        <v>8.5709999999999997</v>
      </c>
      <c r="K97" s="206">
        <f>0.072+5.13+0.05+0.902+0.144</f>
        <v>6.298</v>
      </c>
      <c r="L97" s="206">
        <f>2.853+1.048+0.772</f>
        <v>4.673</v>
      </c>
      <c r="M97" s="206">
        <v>9.4499999999999993</v>
      </c>
      <c r="N97" s="206">
        <f>2.853+1.048+0.772</f>
        <v>4.673</v>
      </c>
      <c r="O97" s="206">
        <v>9.4529999999999994</v>
      </c>
      <c r="P97" s="207">
        <f>5.706+2.093+0.772</f>
        <v>8.5709999999999997</v>
      </c>
      <c r="Q97" s="187">
        <v>34.659999999999997</v>
      </c>
      <c r="R97" s="205">
        <f>5.706+2.093+0.772</f>
        <v>8.5709999999999997</v>
      </c>
      <c r="S97" s="176">
        <f t="shared" si="19"/>
        <v>4.0438688601096722</v>
      </c>
      <c r="T97" s="176">
        <f t="shared" si="20"/>
        <v>1.0059859154929578</v>
      </c>
      <c r="U97" s="150"/>
      <c r="V97" s="485">
        <f>('[3]TAXE IMPOZITE'!D10+'[3]TAXE IMPOZITE'!D13+'[3]TAXE IMPOZITE'!D14+'[3]TAXE IMPOZITE'!D15+'[3]TAXE IMPOZITE'!D18+'[3]TAXE IMPOZITE'!D21)/1000</f>
        <v>34.660916606000001</v>
      </c>
      <c r="W97" s="150"/>
      <c r="X97" s="150"/>
      <c r="Y97" s="150"/>
    </row>
    <row r="98" spans="1:25" s="231" customFormat="1" ht="22.5" customHeight="1" thickBot="1">
      <c r="A98" s="425"/>
      <c r="B98" s="417"/>
      <c r="C98" s="421" t="s">
        <v>259</v>
      </c>
      <c r="D98" s="421"/>
      <c r="E98" s="421"/>
      <c r="F98" s="180">
        <v>85</v>
      </c>
      <c r="G98" s="216">
        <f>G100+G104+G112+G116+G125</f>
        <v>1152.674</v>
      </c>
      <c r="H98" s="180"/>
      <c r="I98" s="216">
        <f t="shared" ref="I98:V98" si="23">I100+I104+I112+I116+I125</f>
        <v>1250.7406800000001</v>
      </c>
      <c r="J98" s="216">
        <f t="shared" si="23"/>
        <v>1189.1799999999998</v>
      </c>
      <c r="K98" s="246">
        <f t="shared" si="23"/>
        <v>272.64099999999996</v>
      </c>
      <c r="L98" s="246">
        <f t="shared" si="23"/>
        <v>275.97699999999998</v>
      </c>
      <c r="M98" s="246">
        <f t="shared" si="23"/>
        <v>326.91599999999994</v>
      </c>
      <c r="N98" s="246">
        <f t="shared" si="23"/>
        <v>597.70900000000006</v>
      </c>
      <c r="O98" s="246">
        <f t="shared" si="23"/>
        <v>328.495</v>
      </c>
      <c r="P98" s="216">
        <f t="shared" si="23"/>
        <v>872.8180000000001</v>
      </c>
      <c r="Q98" s="216">
        <f t="shared" si="23"/>
        <v>1254.5070000000001</v>
      </c>
      <c r="R98" s="216">
        <f t="shared" si="23"/>
        <v>1189.1799999999998</v>
      </c>
      <c r="S98" s="176">
        <f t="shared" si="19"/>
        <v>1.0549344926756254</v>
      </c>
      <c r="T98" s="176">
        <f t="shared" si="20"/>
        <v>1.0316707065484256</v>
      </c>
      <c r="U98" s="217"/>
      <c r="V98" s="216">
        <f t="shared" si="23"/>
        <v>1254.5020000000002</v>
      </c>
      <c r="W98" s="492"/>
      <c r="X98" s="492"/>
      <c r="Y98" s="492"/>
    </row>
    <row r="99" spans="1:25" s="231" customFormat="1" ht="20.25" customHeight="1" thickBot="1">
      <c r="A99" s="425"/>
      <c r="B99" s="417"/>
      <c r="C99" s="236" t="s">
        <v>45</v>
      </c>
      <c r="D99" s="421" t="s">
        <v>260</v>
      </c>
      <c r="E99" s="421"/>
      <c r="F99" s="180">
        <v>86</v>
      </c>
      <c r="G99" s="216">
        <f>G100+G104</f>
        <v>1094.9739999999999</v>
      </c>
      <c r="H99" s="180"/>
      <c r="I99" s="216">
        <f t="shared" ref="I99:V99" si="24">I100+I104</f>
        <v>1189.1600000000001</v>
      </c>
      <c r="J99" s="216">
        <f t="shared" si="24"/>
        <v>1078.258</v>
      </c>
      <c r="K99" s="246">
        <f t="shared" si="24"/>
        <v>241.62799999999999</v>
      </c>
      <c r="L99" s="246">
        <f t="shared" si="24"/>
        <v>264.74</v>
      </c>
      <c r="M99" s="246">
        <f t="shared" si="24"/>
        <v>274.34299999999996</v>
      </c>
      <c r="N99" s="246">
        <f t="shared" si="24"/>
        <v>568.798</v>
      </c>
      <c r="O99" s="246">
        <f t="shared" si="24"/>
        <v>275.92500000000001</v>
      </c>
      <c r="P99" s="216">
        <f t="shared" si="24"/>
        <v>814.8950000000001</v>
      </c>
      <c r="Q99" s="216">
        <f t="shared" si="24"/>
        <v>1065.7629999999999</v>
      </c>
      <c r="R99" s="216">
        <f t="shared" si="24"/>
        <v>1078.258</v>
      </c>
      <c r="S99" s="176">
        <f t="shared" si="19"/>
        <v>0.98841186432189687</v>
      </c>
      <c r="T99" s="176">
        <f t="shared" si="20"/>
        <v>0.98473388409222506</v>
      </c>
      <c r="U99" s="217"/>
      <c r="V99" s="216">
        <f t="shared" si="24"/>
        <v>1065.758</v>
      </c>
      <c r="W99" s="492"/>
      <c r="X99" s="492"/>
      <c r="Y99" s="492"/>
    </row>
    <row r="100" spans="1:25" s="231" customFormat="1" ht="21.75" customHeight="1" thickBot="1">
      <c r="A100" s="425"/>
      <c r="B100" s="417"/>
      <c r="C100" s="180" t="s">
        <v>47</v>
      </c>
      <c r="D100" s="420" t="s">
        <v>261</v>
      </c>
      <c r="E100" s="420"/>
      <c r="F100" s="180">
        <v>87</v>
      </c>
      <c r="G100" s="216">
        <f>G101+G102+G103</f>
        <v>1022.1499999999999</v>
      </c>
      <c r="H100" s="180"/>
      <c r="I100" s="216">
        <f t="shared" ref="I100:V100" si="25">I101+I102+I103</f>
        <v>1151.77</v>
      </c>
      <c r="J100" s="216">
        <f t="shared" si="25"/>
        <v>1046.018</v>
      </c>
      <c r="K100" s="246">
        <f t="shared" si="25"/>
        <v>241.62799999999999</v>
      </c>
      <c r="L100" s="246">
        <f t="shared" si="25"/>
        <v>259.73200000000003</v>
      </c>
      <c r="M100" s="246">
        <f t="shared" si="25"/>
        <v>257.51299999999998</v>
      </c>
      <c r="N100" s="246">
        <f t="shared" si="25"/>
        <v>552.42999999999995</v>
      </c>
      <c r="O100" s="246">
        <f t="shared" si="25"/>
        <v>257.51</v>
      </c>
      <c r="P100" s="216">
        <f t="shared" si="25"/>
        <v>790.81500000000005</v>
      </c>
      <c r="Q100" s="216">
        <f t="shared" si="25"/>
        <v>1014.173</v>
      </c>
      <c r="R100" s="216">
        <f t="shared" si="25"/>
        <v>1046.018</v>
      </c>
      <c r="S100" s="176">
        <f t="shared" si="19"/>
        <v>0.96955597322417009</v>
      </c>
      <c r="T100" s="176">
        <f t="shared" si="20"/>
        <v>1.0233507802181678</v>
      </c>
      <c r="U100" s="217"/>
      <c r="V100" s="216">
        <f t="shared" si="25"/>
        <v>1014.173</v>
      </c>
      <c r="W100" s="492"/>
      <c r="X100" s="492"/>
      <c r="Y100" s="492"/>
    </row>
    <row r="101" spans="1:25" ht="20.25" customHeight="1" thickBot="1">
      <c r="A101" s="425"/>
      <c r="B101" s="417"/>
      <c r="C101" s="183"/>
      <c r="D101" s="418" t="s">
        <v>262</v>
      </c>
      <c r="E101" s="418"/>
      <c r="F101" s="183">
        <v>88</v>
      </c>
      <c r="G101" s="203">
        <v>623.30999999999995</v>
      </c>
      <c r="H101" s="204"/>
      <c r="I101" s="187">
        <v>677.99</v>
      </c>
      <c r="J101" s="205">
        <v>641.40099999999995</v>
      </c>
      <c r="K101" s="206">
        <v>144.578</v>
      </c>
      <c r="L101" s="206">
        <v>159.06200000000001</v>
      </c>
      <c r="M101" s="206">
        <v>142.053</v>
      </c>
      <c r="N101" s="206">
        <v>334.83699999999999</v>
      </c>
      <c r="O101" s="206">
        <v>142.05000000000001</v>
      </c>
      <c r="P101" s="207">
        <v>484.86599999999999</v>
      </c>
      <c r="Q101" s="187">
        <v>570.74199999999996</v>
      </c>
      <c r="R101" s="205">
        <v>641.40099999999995</v>
      </c>
      <c r="S101" s="176">
        <f t="shared" si="19"/>
        <v>0.88983646735817379</v>
      </c>
      <c r="T101" s="176">
        <f t="shared" si="20"/>
        <v>1.0290240811153359</v>
      </c>
      <c r="U101" s="150"/>
      <c r="V101" s="485">
        <f>'[3]SALARII SI CA'!G16/1000</f>
        <v>570.74199999999996</v>
      </c>
      <c r="W101" s="150"/>
      <c r="X101" s="150"/>
      <c r="Y101" s="150"/>
    </row>
    <row r="102" spans="1:25" ht="36" customHeight="1" thickBot="1">
      <c r="A102" s="425"/>
      <c r="B102" s="417"/>
      <c r="C102" s="417"/>
      <c r="D102" s="418" t="s">
        <v>263</v>
      </c>
      <c r="E102" s="418"/>
      <c r="F102" s="183">
        <v>89</v>
      </c>
      <c r="G102" s="203">
        <v>398.84</v>
      </c>
      <c r="H102" s="204"/>
      <c r="I102" s="187">
        <v>471.78</v>
      </c>
      <c r="J102" s="205">
        <v>400.61700000000002</v>
      </c>
      <c r="K102" s="206">
        <v>97.05</v>
      </c>
      <c r="L102" s="206">
        <f>98.67+2</f>
        <v>100.67</v>
      </c>
      <c r="M102" s="206">
        <v>115.46</v>
      </c>
      <c r="N102" s="206">
        <f>213.593+4</f>
        <v>217.59299999999999</v>
      </c>
      <c r="O102" s="206">
        <v>115.46</v>
      </c>
      <c r="P102" s="207">
        <f>301.949+4</f>
        <v>305.94900000000001</v>
      </c>
      <c r="Q102" s="187">
        <v>443.43099999999998</v>
      </c>
      <c r="R102" s="205">
        <v>400.61700000000002</v>
      </c>
      <c r="S102" s="176">
        <f t="shared" si="19"/>
        <v>1.1068701527893223</v>
      </c>
      <c r="T102" s="176">
        <f t="shared" si="20"/>
        <v>1.0044554207200884</v>
      </c>
      <c r="U102" s="150"/>
      <c r="V102" s="485">
        <f>'[3]SALARII SI CA'!G17/1000</f>
        <v>443.43099999999998</v>
      </c>
      <c r="W102" s="150"/>
      <c r="X102" s="150"/>
      <c r="Y102" s="150"/>
    </row>
    <row r="103" spans="1:25" ht="21" customHeight="1" thickBot="1">
      <c r="A103" s="425"/>
      <c r="B103" s="417"/>
      <c r="C103" s="417"/>
      <c r="D103" s="418" t="s">
        <v>264</v>
      </c>
      <c r="E103" s="418"/>
      <c r="F103" s="183">
        <v>90</v>
      </c>
      <c r="G103" s="203"/>
      <c r="H103" s="204"/>
      <c r="I103" s="187">
        <v>2</v>
      </c>
      <c r="J103" s="205">
        <v>4</v>
      </c>
      <c r="K103" s="206">
        <v>0</v>
      </c>
      <c r="L103" s="206">
        <v>0</v>
      </c>
      <c r="M103" s="206">
        <v>0</v>
      </c>
      <c r="N103" s="206"/>
      <c r="O103" s="206">
        <v>0</v>
      </c>
      <c r="P103" s="207">
        <v>0</v>
      </c>
      <c r="Q103" s="187">
        <v>0</v>
      </c>
      <c r="R103" s="205">
        <v>4</v>
      </c>
      <c r="S103" s="176" t="str">
        <f t="shared" si="19"/>
        <v>0</v>
      </c>
      <c r="T103" s="176" t="e">
        <f t="shared" si="20"/>
        <v>#DIV/0!</v>
      </c>
      <c r="U103" s="150"/>
      <c r="V103" s="496"/>
      <c r="W103" s="150"/>
      <c r="X103" s="150"/>
      <c r="Y103" s="150"/>
    </row>
    <row r="104" spans="1:25" s="231" customFormat="1" ht="39.75" customHeight="1" thickBot="1">
      <c r="A104" s="425"/>
      <c r="B104" s="417"/>
      <c r="C104" s="180" t="s">
        <v>49</v>
      </c>
      <c r="D104" s="420" t="s">
        <v>265</v>
      </c>
      <c r="E104" s="420"/>
      <c r="F104" s="180">
        <v>91</v>
      </c>
      <c r="G104" s="216">
        <f>G105+G108+G109+G110+G111</f>
        <v>72.823999999999998</v>
      </c>
      <c r="H104" s="180"/>
      <c r="I104" s="216">
        <f t="shared" ref="I104:V104" si="26">I105+I108+I109+I110+I111</f>
        <v>37.39</v>
      </c>
      <c r="J104" s="217">
        <f t="shared" si="26"/>
        <v>32.24</v>
      </c>
      <c r="K104" s="216">
        <f t="shared" si="26"/>
        <v>0</v>
      </c>
      <c r="L104" s="216">
        <f t="shared" si="26"/>
        <v>5.008</v>
      </c>
      <c r="M104" s="216">
        <f t="shared" si="26"/>
        <v>16.829999999999998</v>
      </c>
      <c r="N104" s="216">
        <f t="shared" si="26"/>
        <v>16.367999999999999</v>
      </c>
      <c r="O104" s="216">
        <f t="shared" si="26"/>
        <v>18.414999999999999</v>
      </c>
      <c r="P104" s="216">
        <f t="shared" si="26"/>
        <v>24.08</v>
      </c>
      <c r="Q104" s="216">
        <f t="shared" si="26"/>
        <v>51.589999999999996</v>
      </c>
      <c r="R104" s="216">
        <f t="shared" si="26"/>
        <v>32.24</v>
      </c>
      <c r="S104" s="176">
        <f t="shared" si="19"/>
        <v>1.600186104218362</v>
      </c>
      <c r="T104" s="176">
        <f t="shared" si="20"/>
        <v>0.4427111941118313</v>
      </c>
      <c r="U104" s="217"/>
      <c r="V104" s="216">
        <f t="shared" si="26"/>
        <v>51.584999999999994</v>
      </c>
      <c r="W104" s="492"/>
      <c r="X104" s="492"/>
      <c r="Y104" s="492"/>
    </row>
    <row r="105" spans="1:25" ht="38.25" customHeight="1" thickBot="1">
      <c r="A105" s="425"/>
      <c r="B105" s="417"/>
      <c r="C105" s="417"/>
      <c r="D105" s="418" t="s">
        <v>266</v>
      </c>
      <c r="E105" s="418"/>
      <c r="F105" s="183">
        <v>92</v>
      </c>
      <c r="G105" s="203"/>
      <c r="H105" s="204"/>
      <c r="I105" s="187">
        <v>0</v>
      </c>
      <c r="J105" s="205"/>
      <c r="K105" s="206">
        <v>0</v>
      </c>
      <c r="L105" s="206"/>
      <c r="M105" s="206">
        <v>0</v>
      </c>
      <c r="N105" s="206"/>
      <c r="O105" s="206">
        <v>0</v>
      </c>
      <c r="P105" s="207"/>
      <c r="Q105" s="187">
        <v>0</v>
      </c>
      <c r="R105" s="205"/>
      <c r="S105" s="176" t="str">
        <f t="shared" si="19"/>
        <v>0</v>
      </c>
      <c r="T105" s="176" t="str">
        <f t="shared" si="20"/>
        <v>0</v>
      </c>
      <c r="U105" s="150"/>
      <c r="V105" s="283"/>
      <c r="W105" s="150"/>
      <c r="X105" s="150"/>
      <c r="Y105" s="150"/>
    </row>
    <row r="106" spans="1:25" ht="37.5" customHeight="1" thickBot="1">
      <c r="A106" s="425"/>
      <c r="B106" s="417"/>
      <c r="C106" s="417"/>
      <c r="D106" s="418"/>
      <c r="E106" s="184" t="s">
        <v>267</v>
      </c>
      <c r="F106" s="183">
        <v>93</v>
      </c>
      <c r="G106" s="203"/>
      <c r="H106" s="204"/>
      <c r="I106" s="187">
        <v>0</v>
      </c>
      <c r="J106" s="205"/>
      <c r="K106" s="206">
        <v>0</v>
      </c>
      <c r="L106" s="206"/>
      <c r="M106" s="206">
        <v>0</v>
      </c>
      <c r="N106" s="206"/>
      <c r="O106" s="206">
        <v>0</v>
      </c>
      <c r="P106" s="207"/>
      <c r="Q106" s="187">
        <v>0</v>
      </c>
      <c r="R106" s="205"/>
      <c r="S106" s="176" t="str">
        <f t="shared" si="19"/>
        <v>0</v>
      </c>
      <c r="T106" s="176" t="str">
        <f t="shared" si="20"/>
        <v>0</v>
      </c>
      <c r="U106" s="150"/>
      <c r="V106" s="283"/>
      <c r="W106" s="150"/>
      <c r="X106" s="150"/>
      <c r="Y106" s="150"/>
    </row>
    <row r="107" spans="1:25" ht="38.25" customHeight="1" thickBot="1">
      <c r="A107" s="425"/>
      <c r="B107" s="417"/>
      <c r="C107" s="417"/>
      <c r="D107" s="418"/>
      <c r="E107" s="184" t="s">
        <v>268</v>
      </c>
      <c r="F107" s="183">
        <v>94</v>
      </c>
      <c r="G107" s="203"/>
      <c r="H107" s="204"/>
      <c r="I107" s="187">
        <v>0</v>
      </c>
      <c r="J107" s="205"/>
      <c r="K107" s="206">
        <v>0</v>
      </c>
      <c r="L107" s="206"/>
      <c r="M107" s="206">
        <v>0</v>
      </c>
      <c r="N107" s="206"/>
      <c r="O107" s="206">
        <v>0</v>
      </c>
      <c r="P107" s="207"/>
      <c r="Q107" s="187">
        <v>0</v>
      </c>
      <c r="R107" s="205"/>
      <c r="S107" s="176" t="str">
        <f t="shared" si="19"/>
        <v>0</v>
      </c>
      <c r="T107" s="176" t="str">
        <f t="shared" si="20"/>
        <v>0</v>
      </c>
      <c r="U107" s="150"/>
      <c r="V107" s="283"/>
      <c r="W107" s="150"/>
      <c r="X107" s="150"/>
      <c r="Y107" s="150"/>
    </row>
    <row r="108" spans="1:25" ht="18" customHeight="1" thickBot="1">
      <c r="A108" s="425"/>
      <c r="B108" s="417"/>
      <c r="C108" s="417"/>
      <c r="D108" s="418" t="s">
        <v>269</v>
      </c>
      <c r="E108" s="418"/>
      <c r="F108" s="183">
        <v>95</v>
      </c>
      <c r="G108" s="203">
        <v>35.36</v>
      </c>
      <c r="H108" s="204"/>
      <c r="I108" s="187">
        <v>37.39</v>
      </c>
      <c r="J108" s="205">
        <f>29.584+2.656</f>
        <v>32.24</v>
      </c>
      <c r="K108" s="206">
        <v>0</v>
      </c>
      <c r="L108" s="206">
        <v>5.008</v>
      </c>
      <c r="M108" s="206">
        <v>16.829999999999998</v>
      </c>
      <c r="N108" s="206">
        <v>16.367999999999999</v>
      </c>
      <c r="O108" s="206">
        <v>8.4149999999999991</v>
      </c>
      <c r="P108" s="207">
        <v>24.08</v>
      </c>
      <c r="Q108" s="187">
        <f>33.66+7.93</f>
        <v>41.589999999999996</v>
      </c>
      <c r="R108" s="205">
        <f>29.584+2.656</f>
        <v>32.24</v>
      </c>
      <c r="S108" s="176">
        <f t="shared" si="19"/>
        <v>1.2900124069478907</v>
      </c>
      <c r="T108" s="176">
        <f t="shared" si="20"/>
        <v>0.91176470588235303</v>
      </c>
      <c r="U108" s="150"/>
      <c r="V108" s="497">
        <f>'[3]SALARII SI CA'!G19/1000</f>
        <v>33.659999999999997</v>
      </c>
      <c r="W108" s="150"/>
      <c r="X108" s="150"/>
      <c r="Y108" s="150"/>
    </row>
    <row r="109" spans="1:25" ht="18" customHeight="1" thickBot="1">
      <c r="A109" s="425"/>
      <c r="B109" s="417"/>
      <c r="C109" s="417"/>
      <c r="D109" s="418" t="s">
        <v>270</v>
      </c>
      <c r="E109" s="418"/>
      <c r="F109" s="183">
        <v>96</v>
      </c>
      <c r="G109" s="203">
        <v>6.4</v>
      </c>
      <c r="H109" s="204"/>
      <c r="I109" s="187">
        <v>0</v>
      </c>
      <c r="J109" s="205"/>
      <c r="K109" s="206">
        <v>0</v>
      </c>
      <c r="L109" s="206"/>
      <c r="M109" s="206">
        <v>0</v>
      </c>
      <c r="N109" s="206">
        <v>0</v>
      </c>
      <c r="O109" s="206">
        <v>0</v>
      </c>
      <c r="P109" s="207">
        <v>0</v>
      </c>
      <c r="Q109" s="187">
        <v>0</v>
      </c>
      <c r="R109" s="205"/>
      <c r="S109" s="176" t="str">
        <f t="shared" si="19"/>
        <v>0</v>
      </c>
      <c r="T109" s="176" t="str">
        <f t="shared" si="20"/>
        <v>0</v>
      </c>
      <c r="U109" s="150"/>
      <c r="V109" s="283"/>
      <c r="W109" s="150"/>
      <c r="X109" s="150"/>
      <c r="Y109" s="150"/>
    </row>
    <row r="110" spans="1:25" ht="24" customHeight="1" thickBot="1">
      <c r="A110" s="425"/>
      <c r="B110" s="417"/>
      <c r="C110" s="417"/>
      <c r="D110" s="418" t="s">
        <v>271</v>
      </c>
      <c r="E110" s="418"/>
      <c r="F110" s="183">
        <v>97</v>
      </c>
      <c r="G110" s="203"/>
      <c r="H110" s="204"/>
      <c r="I110" s="187">
        <v>0</v>
      </c>
      <c r="J110" s="205"/>
      <c r="K110" s="206">
        <v>0</v>
      </c>
      <c r="L110" s="206"/>
      <c r="M110" s="206">
        <v>0</v>
      </c>
      <c r="N110" s="206"/>
      <c r="O110" s="206">
        <v>0</v>
      </c>
      <c r="P110" s="207"/>
      <c r="Q110" s="187">
        <v>0</v>
      </c>
      <c r="R110" s="205"/>
      <c r="S110" s="176" t="str">
        <f t="shared" si="19"/>
        <v>0</v>
      </c>
      <c r="T110" s="176" t="str">
        <f t="shared" si="20"/>
        <v>0</v>
      </c>
      <c r="U110" s="150"/>
      <c r="V110" s="497">
        <f>'[3]SALARII SI CA'!G20/1000</f>
        <v>7.9249999999999998</v>
      </c>
      <c r="W110" s="150"/>
      <c r="X110" s="150"/>
      <c r="Y110" s="150"/>
    </row>
    <row r="111" spans="1:25" ht="18" customHeight="1" thickBot="1">
      <c r="A111" s="425"/>
      <c r="B111" s="417"/>
      <c r="C111" s="417"/>
      <c r="D111" s="418" t="s">
        <v>272</v>
      </c>
      <c r="E111" s="418"/>
      <c r="F111" s="183">
        <v>98</v>
      </c>
      <c r="G111" s="203">
        <v>31.064</v>
      </c>
      <c r="H111" s="204"/>
      <c r="I111" s="187">
        <v>0</v>
      </c>
      <c r="J111" s="205">
        <v>0</v>
      </c>
      <c r="K111" s="206">
        <v>0</v>
      </c>
      <c r="L111" s="206">
        <v>0</v>
      </c>
      <c r="M111" s="206">
        <v>0</v>
      </c>
      <c r="N111" s="206">
        <v>0</v>
      </c>
      <c r="O111" s="206">
        <v>10</v>
      </c>
      <c r="P111" s="207"/>
      <c r="Q111" s="187">
        <v>10</v>
      </c>
      <c r="R111" s="205">
        <v>0</v>
      </c>
      <c r="S111" s="176" t="e">
        <f t="shared" si="19"/>
        <v>#DIV/0!</v>
      </c>
      <c r="T111" s="176" t="str">
        <f t="shared" si="20"/>
        <v>0</v>
      </c>
      <c r="U111" s="150"/>
      <c r="V111" s="497">
        <f>'[3]SALARII SI CA'!G21/1000</f>
        <v>10</v>
      </c>
      <c r="W111" s="150"/>
      <c r="X111" s="150"/>
      <c r="Y111" s="150"/>
    </row>
    <row r="112" spans="1:25" s="231" customFormat="1" ht="33.75" customHeight="1" thickBot="1">
      <c r="A112" s="425"/>
      <c r="B112" s="417"/>
      <c r="C112" s="180" t="s">
        <v>51</v>
      </c>
      <c r="D112" s="420" t="s">
        <v>273</v>
      </c>
      <c r="E112" s="420"/>
      <c r="F112" s="180">
        <v>99</v>
      </c>
      <c r="G112" s="216">
        <f>G113+G114+G115</f>
        <v>0</v>
      </c>
      <c r="H112" s="180"/>
      <c r="I112" s="216">
        <f t="shared" ref="I112:R112" si="27">I113+I114+I115</f>
        <v>0</v>
      </c>
      <c r="J112" s="217">
        <f t="shared" si="27"/>
        <v>0</v>
      </c>
      <c r="K112" s="216">
        <f t="shared" si="27"/>
        <v>0</v>
      </c>
      <c r="L112" s="216">
        <f t="shared" si="27"/>
        <v>0</v>
      </c>
      <c r="M112" s="216">
        <f t="shared" si="27"/>
        <v>0</v>
      </c>
      <c r="N112" s="216">
        <f t="shared" si="27"/>
        <v>0</v>
      </c>
      <c r="O112" s="216">
        <f t="shared" si="27"/>
        <v>0</v>
      </c>
      <c r="P112" s="216">
        <f t="shared" si="27"/>
        <v>0</v>
      </c>
      <c r="Q112" s="216">
        <f t="shared" si="27"/>
        <v>0</v>
      </c>
      <c r="R112" s="217">
        <f t="shared" si="27"/>
        <v>0</v>
      </c>
      <c r="S112" s="176" t="str">
        <f t="shared" si="19"/>
        <v>0</v>
      </c>
      <c r="T112" s="176" t="str">
        <f t="shared" si="20"/>
        <v>0</v>
      </c>
      <c r="U112" s="492"/>
      <c r="V112" s="498"/>
      <c r="W112" s="492"/>
      <c r="X112" s="492"/>
      <c r="Y112" s="492"/>
    </row>
    <row r="113" spans="1:25" ht="21.75" customHeight="1" thickBot="1">
      <c r="A113" s="425"/>
      <c r="B113" s="417"/>
      <c r="C113" s="417"/>
      <c r="D113" s="418" t="s">
        <v>274</v>
      </c>
      <c r="E113" s="418"/>
      <c r="F113" s="183">
        <v>100</v>
      </c>
      <c r="G113" s="203"/>
      <c r="H113" s="204"/>
      <c r="I113" s="187">
        <v>0</v>
      </c>
      <c r="J113" s="205"/>
      <c r="K113" s="206">
        <v>0</v>
      </c>
      <c r="L113" s="206">
        <v>0</v>
      </c>
      <c r="M113" s="206">
        <v>0</v>
      </c>
      <c r="N113" s="206"/>
      <c r="O113" s="206">
        <v>0</v>
      </c>
      <c r="P113" s="207"/>
      <c r="Q113" s="187">
        <v>0</v>
      </c>
      <c r="R113" s="205"/>
      <c r="S113" s="176" t="str">
        <f t="shared" si="19"/>
        <v>0</v>
      </c>
      <c r="T113" s="176" t="str">
        <f t="shared" si="20"/>
        <v>0</v>
      </c>
      <c r="U113" s="150"/>
      <c r="V113" s="283"/>
      <c r="W113" s="150"/>
      <c r="X113" s="150"/>
      <c r="Y113" s="150"/>
    </row>
    <row r="114" spans="1:25" ht="23.25" customHeight="1" thickBot="1">
      <c r="A114" s="425"/>
      <c r="B114" s="417"/>
      <c r="C114" s="417"/>
      <c r="D114" s="418" t="s">
        <v>275</v>
      </c>
      <c r="E114" s="418"/>
      <c r="F114" s="183">
        <v>101</v>
      </c>
      <c r="G114" s="203"/>
      <c r="H114" s="204"/>
      <c r="I114" s="187">
        <v>0</v>
      </c>
      <c r="J114" s="205"/>
      <c r="K114" s="206">
        <v>0</v>
      </c>
      <c r="L114" s="206">
        <v>0</v>
      </c>
      <c r="M114" s="206">
        <v>0</v>
      </c>
      <c r="N114" s="206"/>
      <c r="O114" s="206">
        <v>0</v>
      </c>
      <c r="P114" s="207"/>
      <c r="Q114" s="187">
        <v>0</v>
      </c>
      <c r="R114" s="205"/>
      <c r="S114" s="176" t="str">
        <f t="shared" si="19"/>
        <v>0</v>
      </c>
      <c r="T114" s="176" t="str">
        <f t="shared" si="20"/>
        <v>0</v>
      </c>
      <c r="U114" s="150"/>
      <c r="V114" s="283"/>
      <c r="W114" s="150"/>
      <c r="X114" s="150"/>
      <c r="Y114" s="150"/>
    </row>
    <row r="115" spans="1:25" ht="35.25" customHeight="1" thickBot="1">
      <c r="A115" s="425"/>
      <c r="B115" s="417"/>
      <c r="C115" s="417"/>
      <c r="D115" s="418" t="s">
        <v>276</v>
      </c>
      <c r="E115" s="418"/>
      <c r="F115" s="183">
        <v>102</v>
      </c>
      <c r="G115" s="203"/>
      <c r="H115" s="204"/>
      <c r="I115" s="187">
        <v>0</v>
      </c>
      <c r="J115" s="205"/>
      <c r="K115" s="206">
        <v>0</v>
      </c>
      <c r="L115" s="206">
        <v>0</v>
      </c>
      <c r="M115" s="206">
        <v>0</v>
      </c>
      <c r="N115" s="206"/>
      <c r="O115" s="206">
        <v>0</v>
      </c>
      <c r="P115" s="207"/>
      <c r="Q115" s="187">
        <v>0</v>
      </c>
      <c r="R115" s="205"/>
      <c r="S115" s="176" t="str">
        <f t="shared" si="19"/>
        <v>0</v>
      </c>
      <c r="T115" s="176" t="str">
        <f t="shared" si="20"/>
        <v>0</v>
      </c>
      <c r="U115" s="150"/>
      <c r="V115" s="283"/>
      <c r="W115" s="150"/>
      <c r="X115" s="150"/>
      <c r="Y115" s="150"/>
    </row>
    <row r="116" spans="1:25" s="231" customFormat="1" ht="57" customHeight="1" thickBot="1">
      <c r="A116" s="425"/>
      <c r="B116" s="417"/>
      <c r="C116" s="180" t="s">
        <v>54</v>
      </c>
      <c r="D116" s="420" t="s">
        <v>277</v>
      </c>
      <c r="E116" s="420"/>
      <c r="F116" s="180">
        <v>103</v>
      </c>
      <c r="G116" s="216">
        <f>G117+G120</f>
        <v>33.03</v>
      </c>
      <c r="H116" s="180"/>
      <c r="I116" s="216">
        <f>I117+I120</f>
        <v>34.229999999999997</v>
      </c>
      <c r="J116" s="216">
        <f>J117+J120</f>
        <v>85.177000000000007</v>
      </c>
      <c r="K116" s="216">
        <f t="shared" ref="K116:P116" si="28">K117+K120+K123+K124</f>
        <v>25.015000000000001</v>
      </c>
      <c r="L116" s="216">
        <f t="shared" si="28"/>
        <v>5.3010000000000002</v>
      </c>
      <c r="M116" s="216">
        <f t="shared" si="28"/>
        <v>45.363</v>
      </c>
      <c r="N116" s="216">
        <f t="shared" si="28"/>
        <v>15.913</v>
      </c>
      <c r="O116" s="216">
        <f t="shared" si="28"/>
        <v>45.36</v>
      </c>
      <c r="P116" s="216">
        <f t="shared" si="28"/>
        <v>39.001000000000005</v>
      </c>
      <c r="Q116" s="216">
        <f>Q117+Q120</f>
        <v>161.114</v>
      </c>
      <c r="R116" s="216">
        <f t="shared" ref="R116:V116" si="29">R117+R120</f>
        <v>85.177000000000007</v>
      </c>
      <c r="S116" s="176">
        <f t="shared" si="19"/>
        <v>1.8915200112706481</v>
      </c>
      <c r="T116" s="176">
        <f t="shared" si="20"/>
        <v>2.5787768695125646</v>
      </c>
      <c r="U116" s="217"/>
      <c r="V116" s="216">
        <f t="shared" si="29"/>
        <v>161.114</v>
      </c>
      <c r="W116" s="492"/>
      <c r="X116" s="492"/>
      <c r="Y116" s="492"/>
    </row>
    <row r="117" spans="1:25" ht="18" customHeight="1" thickBot="1">
      <c r="A117" s="425"/>
      <c r="B117" s="417"/>
      <c r="C117" s="417"/>
      <c r="D117" s="416" t="s">
        <v>278</v>
      </c>
      <c r="E117" s="416"/>
      <c r="F117" s="257">
        <v>104</v>
      </c>
      <c r="G117" s="258">
        <f>G118+G119</f>
        <v>0</v>
      </c>
      <c r="H117" s="245"/>
      <c r="I117" s="187">
        <f t="shared" ref="I117:V117" si="30">I118+I119</f>
        <v>0</v>
      </c>
      <c r="J117" s="255">
        <f t="shared" si="30"/>
        <v>58.764000000000003</v>
      </c>
      <c r="K117" s="246">
        <f t="shared" si="30"/>
        <v>20.14</v>
      </c>
      <c r="L117" s="246">
        <f t="shared" si="30"/>
        <v>0</v>
      </c>
      <c r="M117" s="246">
        <f t="shared" si="30"/>
        <v>34.673000000000002</v>
      </c>
      <c r="N117" s="246">
        <f t="shared" si="30"/>
        <v>0</v>
      </c>
      <c r="O117" s="246">
        <f t="shared" si="30"/>
        <v>34.67</v>
      </c>
      <c r="P117" s="247">
        <f t="shared" si="30"/>
        <v>19.588000000000001</v>
      </c>
      <c r="Q117" s="187">
        <f t="shared" si="30"/>
        <v>124.164</v>
      </c>
      <c r="R117" s="187">
        <f t="shared" si="30"/>
        <v>58.764000000000003</v>
      </c>
      <c r="S117" s="176">
        <f t="shared" si="19"/>
        <v>2.1129262813967733</v>
      </c>
      <c r="T117" s="176" t="e">
        <f t="shared" si="20"/>
        <v>#DIV/0!</v>
      </c>
      <c r="U117" s="238"/>
      <c r="V117" s="187">
        <f t="shared" si="30"/>
        <v>124.164</v>
      </c>
      <c r="W117" s="150"/>
      <c r="X117" s="150"/>
      <c r="Y117" s="150"/>
    </row>
    <row r="118" spans="1:25" ht="18.75" thickBot="1">
      <c r="A118" s="425"/>
      <c r="B118" s="417"/>
      <c r="C118" s="417"/>
      <c r="D118" s="256"/>
      <c r="E118" s="184" t="s">
        <v>279</v>
      </c>
      <c r="F118" s="183">
        <v>105</v>
      </c>
      <c r="G118" s="203"/>
      <c r="H118" s="204"/>
      <c r="I118" s="241">
        <v>0</v>
      </c>
      <c r="J118" s="205">
        <v>58.764000000000003</v>
      </c>
      <c r="K118" s="206">
        <v>20.14</v>
      </c>
      <c r="L118" s="206">
        <v>0</v>
      </c>
      <c r="M118" s="206">
        <v>34.673000000000002</v>
      </c>
      <c r="N118" s="206">
        <v>0</v>
      </c>
      <c r="O118" s="206">
        <v>34.67</v>
      </c>
      <c r="P118" s="207">
        <v>19.588000000000001</v>
      </c>
      <c r="Q118" s="241">
        <v>124.164</v>
      </c>
      <c r="R118" s="205">
        <v>58.764000000000003</v>
      </c>
      <c r="S118" s="176">
        <f t="shared" si="19"/>
        <v>2.1129262813967733</v>
      </c>
      <c r="T118" s="176" t="e">
        <f t="shared" si="20"/>
        <v>#DIV/0!</v>
      </c>
      <c r="U118" s="150"/>
      <c r="V118" s="497">
        <f>'[3]SALARII SI CA'!G23/1000</f>
        <v>124.164</v>
      </c>
      <c r="W118" s="150"/>
      <c r="X118" s="150"/>
      <c r="Y118" s="150"/>
    </row>
    <row r="119" spans="1:25" ht="18.75" thickBot="1">
      <c r="A119" s="425"/>
      <c r="B119" s="417"/>
      <c r="C119" s="417"/>
      <c r="D119" s="184"/>
      <c r="E119" s="184" t="s">
        <v>280</v>
      </c>
      <c r="F119" s="183">
        <v>106</v>
      </c>
      <c r="G119" s="203"/>
      <c r="H119" s="204"/>
      <c r="I119" s="187">
        <v>0</v>
      </c>
      <c r="J119" s="205"/>
      <c r="K119" s="206">
        <f>Q119/4</f>
        <v>0</v>
      </c>
      <c r="L119" s="206">
        <v>0</v>
      </c>
      <c r="M119" s="206">
        <f>(Q119/4)+K119</f>
        <v>0</v>
      </c>
      <c r="N119" s="206"/>
      <c r="O119" s="206">
        <f>(Q119/4)+M119</f>
        <v>0</v>
      </c>
      <c r="P119" s="207"/>
      <c r="Q119" s="187">
        <v>0</v>
      </c>
      <c r="R119" s="205"/>
      <c r="S119" s="176" t="str">
        <f t="shared" si="19"/>
        <v>0</v>
      </c>
      <c r="T119" s="176" t="str">
        <f t="shared" si="20"/>
        <v>0</v>
      </c>
      <c r="U119" s="150"/>
      <c r="V119" s="283"/>
      <c r="W119" s="150"/>
      <c r="X119" s="150"/>
      <c r="Y119" s="150"/>
    </row>
    <row r="120" spans="1:25" ht="34.5" customHeight="1" thickBot="1">
      <c r="A120" s="425"/>
      <c r="B120" s="417"/>
      <c r="C120" s="417"/>
      <c r="D120" s="416" t="s">
        <v>281</v>
      </c>
      <c r="E120" s="416"/>
      <c r="F120" s="257">
        <v>107</v>
      </c>
      <c r="G120" s="258">
        <f>G121+G122</f>
        <v>33.03</v>
      </c>
      <c r="H120" s="245"/>
      <c r="I120" s="187">
        <f t="shared" ref="I120:V120" si="31">I121+I122</f>
        <v>34.229999999999997</v>
      </c>
      <c r="J120" s="205">
        <f t="shared" si="31"/>
        <v>26.413</v>
      </c>
      <c r="K120" s="246">
        <f t="shared" si="31"/>
        <v>4.875</v>
      </c>
      <c r="L120" s="246">
        <f t="shared" si="31"/>
        <v>5.3010000000000002</v>
      </c>
      <c r="M120" s="246">
        <f t="shared" si="31"/>
        <v>10.69</v>
      </c>
      <c r="N120" s="246">
        <f t="shared" si="31"/>
        <v>15.913</v>
      </c>
      <c r="O120" s="246">
        <f t="shared" si="31"/>
        <v>10.69</v>
      </c>
      <c r="P120" s="253">
        <f t="shared" si="31"/>
        <v>19.413</v>
      </c>
      <c r="Q120" s="253">
        <f t="shared" si="31"/>
        <v>36.950000000000003</v>
      </c>
      <c r="R120" s="253">
        <f t="shared" si="31"/>
        <v>26.413</v>
      </c>
      <c r="S120" s="176">
        <f t="shared" si="19"/>
        <v>1.398932343921554</v>
      </c>
      <c r="T120" s="176">
        <f t="shared" si="20"/>
        <v>0.79966696942173776</v>
      </c>
      <c r="U120" s="203"/>
      <c r="V120" s="253">
        <f t="shared" si="31"/>
        <v>36.950000000000003</v>
      </c>
      <c r="W120" s="150"/>
      <c r="X120" s="150"/>
      <c r="Y120" s="150"/>
    </row>
    <row r="121" spans="1:25" ht="18.75" thickBot="1">
      <c r="A121" s="425"/>
      <c r="B121" s="417"/>
      <c r="C121" s="417"/>
      <c r="D121" s="184"/>
      <c r="E121" s="184" t="s">
        <v>279</v>
      </c>
      <c r="F121" s="183">
        <v>108</v>
      </c>
      <c r="G121" s="254">
        <v>33.03</v>
      </c>
      <c r="H121" s="204"/>
      <c r="I121" s="241">
        <v>34.229999999999997</v>
      </c>
      <c r="J121" s="255">
        <v>26.413</v>
      </c>
      <c r="K121" s="206">
        <v>4.875</v>
      </c>
      <c r="L121" s="206">
        <v>5.3010000000000002</v>
      </c>
      <c r="M121" s="206">
        <v>10.69</v>
      </c>
      <c r="N121" s="206">
        <v>15.913</v>
      </c>
      <c r="O121" s="206">
        <v>10.69</v>
      </c>
      <c r="P121" s="207">
        <v>19.413</v>
      </c>
      <c r="Q121" s="241">
        <v>36.950000000000003</v>
      </c>
      <c r="R121" s="255">
        <v>26.413</v>
      </c>
      <c r="S121" s="176">
        <f t="shared" si="19"/>
        <v>1.398932343921554</v>
      </c>
      <c r="T121" s="176">
        <f t="shared" si="20"/>
        <v>0.79966696942173776</v>
      </c>
      <c r="U121" s="150"/>
      <c r="V121" s="497">
        <f>'[3]SALARII SI CA'!G24/1000</f>
        <v>36.950000000000003</v>
      </c>
      <c r="W121" s="150"/>
      <c r="X121" s="150"/>
      <c r="Y121" s="150"/>
    </row>
    <row r="122" spans="1:25" ht="18.75" thickBot="1">
      <c r="A122" s="425"/>
      <c r="B122" s="417"/>
      <c r="C122" s="417"/>
      <c r="D122" s="184"/>
      <c r="E122" s="184" t="s">
        <v>280</v>
      </c>
      <c r="F122" s="183">
        <v>109</v>
      </c>
      <c r="G122" s="203"/>
      <c r="H122" s="204"/>
      <c r="I122" s="187">
        <v>0</v>
      </c>
      <c r="J122" s="205"/>
      <c r="K122" s="206">
        <f>Q122/4</f>
        <v>0</v>
      </c>
      <c r="L122" s="206"/>
      <c r="M122" s="206">
        <f>(Q122/4)+K122</f>
        <v>0</v>
      </c>
      <c r="N122" s="206"/>
      <c r="O122" s="206">
        <f>(Q122/4)+M122</f>
        <v>0</v>
      </c>
      <c r="P122" s="207">
        <v>0</v>
      </c>
      <c r="Q122" s="187">
        <v>0</v>
      </c>
      <c r="R122" s="205"/>
      <c r="S122" s="176" t="str">
        <f t="shared" si="19"/>
        <v>0</v>
      </c>
      <c r="T122" s="176" t="str">
        <f t="shared" si="20"/>
        <v>0</v>
      </c>
      <c r="U122" s="150"/>
      <c r="V122" s="283"/>
      <c r="W122" s="150"/>
      <c r="X122" s="150"/>
      <c r="Y122" s="150"/>
    </row>
    <row r="123" spans="1:25" ht="18" customHeight="1" thickBot="1">
      <c r="A123" s="425"/>
      <c r="B123" s="417"/>
      <c r="C123" s="417"/>
      <c r="D123" s="418" t="s">
        <v>282</v>
      </c>
      <c r="E123" s="418"/>
      <c r="F123" s="183">
        <v>110</v>
      </c>
      <c r="G123" s="203"/>
      <c r="H123" s="204"/>
      <c r="I123" s="187">
        <v>0</v>
      </c>
      <c r="J123" s="205"/>
      <c r="K123" s="206">
        <f>Q123/4</f>
        <v>0</v>
      </c>
      <c r="L123" s="206"/>
      <c r="M123" s="206">
        <f>(Q123/4)+K123</f>
        <v>0</v>
      </c>
      <c r="N123" s="206"/>
      <c r="O123" s="206">
        <f>(Q123/4)+M123</f>
        <v>0</v>
      </c>
      <c r="P123" s="207"/>
      <c r="Q123" s="187">
        <v>0</v>
      </c>
      <c r="R123" s="205"/>
      <c r="S123" s="176" t="str">
        <f t="shared" si="19"/>
        <v>0</v>
      </c>
      <c r="T123" s="176" t="str">
        <f t="shared" si="20"/>
        <v>0</v>
      </c>
      <c r="U123" s="150"/>
      <c r="V123" s="283"/>
      <c r="W123" s="150"/>
      <c r="X123" s="150"/>
      <c r="Y123" s="150"/>
    </row>
    <row r="124" spans="1:25" ht="22.5" customHeight="1" thickBot="1">
      <c r="A124" s="425"/>
      <c r="B124" s="417"/>
      <c r="C124" s="417"/>
      <c r="D124" s="418" t="s">
        <v>283</v>
      </c>
      <c r="E124" s="418"/>
      <c r="F124" s="183">
        <v>111</v>
      </c>
      <c r="G124" s="203"/>
      <c r="H124" s="204"/>
      <c r="I124" s="187">
        <v>0</v>
      </c>
      <c r="J124" s="205"/>
      <c r="K124" s="206">
        <f>Q124/4</f>
        <v>0</v>
      </c>
      <c r="L124" s="206"/>
      <c r="M124" s="206">
        <f>(Q124/4)+K124</f>
        <v>0</v>
      </c>
      <c r="N124" s="206"/>
      <c r="O124" s="206">
        <f>(Q124/4)+M124</f>
        <v>0</v>
      </c>
      <c r="P124" s="207"/>
      <c r="Q124" s="187">
        <v>0</v>
      </c>
      <c r="R124" s="205"/>
      <c r="S124" s="176" t="str">
        <f t="shared" si="19"/>
        <v>0</v>
      </c>
      <c r="T124" s="176" t="str">
        <f t="shared" si="20"/>
        <v>0</v>
      </c>
      <c r="U124" s="150"/>
      <c r="V124" s="283"/>
      <c r="W124" s="150"/>
      <c r="X124" s="150"/>
      <c r="Y124" s="150"/>
    </row>
    <row r="125" spans="1:25" s="231" customFormat="1" ht="23.25" customHeight="1" thickBot="1">
      <c r="A125" s="425"/>
      <c r="B125" s="417"/>
      <c r="C125" s="180" t="s">
        <v>56</v>
      </c>
      <c r="D125" s="420" t="s">
        <v>284</v>
      </c>
      <c r="E125" s="420"/>
      <c r="F125" s="180">
        <v>112</v>
      </c>
      <c r="G125" s="216">
        <v>24.67</v>
      </c>
      <c r="H125" s="180"/>
      <c r="I125" s="216">
        <f>0.023*I99</f>
        <v>27.350680000000001</v>
      </c>
      <c r="J125" s="216">
        <f>23.825+1.92</f>
        <v>25.744999999999997</v>
      </c>
      <c r="K125" s="216">
        <v>5.9980000000000002</v>
      </c>
      <c r="L125" s="216">
        <f>0.119+5.817</f>
        <v>5.9359999999999999</v>
      </c>
      <c r="M125" s="216">
        <v>7.21</v>
      </c>
      <c r="N125" s="216">
        <f>12.641+0.357</f>
        <v>12.997999999999999</v>
      </c>
      <c r="O125" s="216">
        <v>7.21</v>
      </c>
      <c r="P125" s="216">
        <f>18.044+0.878</f>
        <v>18.922000000000001</v>
      </c>
      <c r="Q125" s="216">
        <v>27.63</v>
      </c>
      <c r="R125" s="216">
        <f>23.825+1.92</f>
        <v>25.744999999999997</v>
      </c>
      <c r="S125" s="176">
        <f t="shared" si="19"/>
        <v>1.0732181006020587</v>
      </c>
      <c r="T125" s="176">
        <f t="shared" si="20"/>
        <v>1.0435751925415482</v>
      </c>
      <c r="U125" s="492"/>
      <c r="V125" s="499">
        <f>'[3]SALARII SI CA'!G25/1000</f>
        <v>27.63</v>
      </c>
      <c r="W125" s="500"/>
      <c r="X125" s="492"/>
      <c r="Y125" s="492"/>
    </row>
    <row r="126" spans="1:25" s="195" customFormat="1" ht="34.5" customHeight="1" thickBot="1">
      <c r="A126" s="425"/>
      <c r="B126" s="417"/>
      <c r="C126" s="421" t="s">
        <v>285</v>
      </c>
      <c r="D126" s="421"/>
      <c r="E126" s="421"/>
      <c r="F126" s="180">
        <v>113</v>
      </c>
      <c r="G126" s="216">
        <f>G127+G130+G131+G132+G133+G134</f>
        <v>91.86</v>
      </c>
      <c r="H126" s="180"/>
      <c r="I126" s="216">
        <f t="shared" ref="I126:V126" si="32">I127+I130+I131+I132+I133+I134</f>
        <v>243.35</v>
      </c>
      <c r="J126" s="216">
        <f t="shared" si="32"/>
        <v>220.589</v>
      </c>
      <c r="K126" s="216">
        <f t="shared" si="32"/>
        <v>64.292999999999992</v>
      </c>
      <c r="L126" s="216">
        <f t="shared" si="32"/>
        <v>470.75099999999998</v>
      </c>
      <c r="M126" s="216">
        <f t="shared" si="32"/>
        <v>69.956000000000003</v>
      </c>
      <c r="N126" s="216">
        <f t="shared" si="32"/>
        <v>546.84199999999998</v>
      </c>
      <c r="O126" s="216">
        <f t="shared" si="32"/>
        <v>69.962000000000003</v>
      </c>
      <c r="P126" s="216">
        <f t="shared" si="32"/>
        <v>188.899</v>
      </c>
      <c r="Q126" s="216">
        <f t="shared" si="32"/>
        <v>274.178</v>
      </c>
      <c r="R126" s="216">
        <f t="shared" si="32"/>
        <v>220.584</v>
      </c>
      <c r="S126" s="176">
        <f t="shared" si="19"/>
        <v>1.2429359578220129</v>
      </c>
      <c r="T126" s="176">
        <f t="shared" si="20"/>
        <v>2.4013607663836272</v>
      </c>
      <c r="U126" s="217"/>
      <c r="V126" s="216">
        <f t="shared" si="32"/>
        <v>274.16844700799999</v>
      </c>
      <c r="W126" s="501"/>
      <c r="X126" s="486"/>
      <c r="Y126" s="486"/>
    </row>
    <row r="127" spans="1:25" ht="39" customHeight="1" thickBot="1">
      <c r="A127" s="425"/>
      <c r="B127" s="417"/>
      <c r="C127" s="257" t="s">
        <v>31</v>
      </c>
      <c r="D127" s="416" t="s">
        <v>286</v>
      </c>
      <c r="E127" s="416"/>
      <c r="F127" s="257">
        <v>114</v>
      </c>
      <c r="G127" s="253">
        <v>0</v>
      </c>
      <c r="H127" s="204"/>
      <c r="I127" s="187">
        <f t="shared" ref="I127:V127" si="33">I128+I129</f>
        <v>0</v>
      </c>
      <c r="J127" s="259">
        <f t="shared" si="33"/>
        <v>1.7669999999999999</v>
      </c>
      <c r="K127" s="206">
        <f t="shared" si="33"/>
        <v>6.2E-2</v>
      </c>
      <c r="L127" s="206">
        <f t="shared" si="33"/>
        <v>0</v>
      </c>
      <c r="M127" s="206">
        <f t="shared" si="33"/>
        <v>0.64</v>
      </c>
      <c r="N127" s="206">
        <f t="shared" si="33"/>
        <v>0</v>
      </c>
      <c r="O127" s="206">
        <f t="shared" si="33"/>
        <v>0.64600000000000002</v>
      </c>
      <c r="P127" s="207">
        <f t="shared" si="33"/>
        <v>2E-3</v>
      </c>
      <c r="Q127" s="187">
        <f t="shared" si="33"/>
        <v>2</v>
      </c>
      <c r="R127" s="187">
        <f t="shared" si="33"/>
        <v>1.7669999999999999</v>
      </c>
      <c r="S127" s="176">
        <f t="shared" si="19"/>
        <v>1.1318619128466327</v>
      </c>
      <c r="T127" s="176" t="e">
        <f t="shared" si="20"/>
        <v>#DIV/0!</v>
      </c>
      <c r="U127" s="238"/>
      <c r="V127" s="187">
        <f t="shared" si="33"/>
        <v>2</v>
      </c>
      <c r="W127" s="502"/>
      <c r="X127" s="150"/>
      <c r="Y127" s="150"/>
    </row>
    <row r="128" spans="1:25" ht="18" customHeight="1" thickBot="1">
      <c r="A128" s="425"/>
      <c r="B128" s="417"/>
      <c r="C128" s="183"/>
      <c r="D128" s="418" t="s">
        <v>287</v>
      </c>
      <c r="E128" s="418"/>
      <c r="F128" s="183">
        <v>115</v>
      </c>
      <c r="G128" s="203"/>
      <c r="H128" s="204"/>
      <c r="I128" s="187"/>
      <c r="J128" s="205"/>
      <c r="K128" s="206">
        <v>0</v>
      </c>
      <c r="L128" s="206"/>
      <c r="M128" s="206">
        <v>0</v>
      </c>
      <c r="N128" s="206"/>
      <c r="O128" s="206">
        <v>0</v>
      </c>
      <c r="P128" s="207">
        <v>0</v>
      </c>
      <c r="Q128" s="187"/>
      <c r="R128" s="205"/>
      <c r="S128" s="176" t="str">
        <f t="shared" si="19"/>
        <v>0</v>
      </c>
      <c r="T128" s="176" t="str">
        <f t="shared" si="20"/>
        <v>0</v>
      </c>
      <c r="U128" s="150"/>
      <c r="V128" s="497"/>
      <c r="W128" s="502"/>
      <c r="X128" s="150"/>
      <c r="Y128" s="150"/>
    </row>
    <row r="129" spans="1:25" ht="18" customHeight="1" thickBot="1">
      <c r="A129" s="425"/>
      <c r="B129" s="417"/>
      <c r="C129" s="183"/>
      <c r="D129" s="418" t="s">
        <v>288</v>
      </c>
      <c r="E129" s="418"/>
      <c r="F129" s="183">
        <v>116</v>
      </c>
      <c r="G129" s="203"/>
      <c r="H129" s="204"/>
      <c r="I129" s="187"/>
      <c r="J129" s="205">
        <v>1.7669999999999999</v>
      </c>
      <c r="K129" s="206">
        <v>6.2E-2</v>
      </c>
      <c r="L129" s="206"/>
      <c r="M129" s="206">
        <v>0.64</v>
      </c>
      <c r="N129" s="206"/>
      <c r="O129" s="206">
        <v>0.64600000000000002</v>
      </c>
      <c r="P129" s="207">
        <v>2E-3</v>
      </c>
      <c r="Q129" s="187">
        <v>2</v>
      </c>
      <c r="R129" s="205">
        <v>1.7669999999999999</v>
      </c>
      <c r="S129" s="176">
        <f t="shared" si="19"/>
        <v>1.1318619128466327</v>
      </c>
      <c r="T129" s="176" t="e">
        <f t="shared" si="20"/>
        <v>#DIV/0!</v>
      </c>
      <c r="U129" s="150"/>
      <c r="V129" s="497">
        <f>'[3]LP -venituri'!E60/1000</f>
        <v>2</v>
      </c>
      <c r="W129" s="502"/>
      <c r="X129" s="150"/>
      <c r="Y129" s="150"/>
    </row>
    <row r="130" spans="1:25" ht="18" customHeight="1" thickBot="1">
      <c r="A130" s="425"/>
      <c r="B130" s="417"/>
      <c r="C130" s="183" t="s">
        <v>33</v>
      </c>
      <c r="D130" s="418" t="s">
        <v>289</v>
      </c>
      <c r="E130" s="418"/>
      <c r="F130" s="183">
        <v>117</v>
      </c>
      <c r="G130" s="203"/>
      <c r="H130" s="204"/>
      <c r="I130" s="187"/>
      <c r="J130" s="205"/>
      <c r="K130" s="206">
        <v>0</v>
      </c>
      <c r="L130" s="206">
        <v>0</v>
      </c>
      <c r="M130" s="206">
        <v>0</v>
      </c>
      <c r="N130" s="206"/>
      <c r="O130" s="206">
        <v>0</v>
      </c>
      <c r="P130" s="207"/>
      <c r="Q130" s="187"/>
      <c r="R130" s="205"/>
      <c r="S130" s="176" t="str">
        <f t="shared" si="19"/>
        <v>0</v>
      </c>
      <c r="T130" s="176" t="str">
        <f t="shared" si="20"/>
        <v>0</v>
      </c>
      <c r="U130" s="150"/>
      <c r="V130" s="497"/>
      <c r="W130" s="502"/>
      <c r="X130" s="150"/>
      <c r="Y130" s="150"/>
    </row>
    <row r="131" spans="1:25" ht="21" customHeight="1" thickBot="1">
      <c r="A131" s="425"/>
      <c r="B131" s="417"/>
      <c r="C131" s="183" t="s">
        <v>81</v>
      </c>
      <c r="D131" s="418" t="s">
        <v>290</v>
      </c>
      <c r="E131" s="418"/>
      <c r="F131" s="183">
        <v>118</v>
      </c>
      <c r="G131" s="203"/>
      <c r="H131" s="204"/>
      <c r="I131" s="187"/>
      <c r="J131" s="205"/>
      <c r="K131" s="206">
        <v>0</v>
      </c>
      <c r="L131" s="206"/>
      <c r="M131" s="206">
        <v>0</v>
      </c>
      <c r="N131" s="206"/>
      <c r="O131" s="206">
        <v>0</v>
      </c>
      <c r="P131" s="207"/>
      <c r="Q131" s="187"/>
      <c r="R131" s="205"/>
      <c r="S131" s="176" t="str">
        <f t="shared" si="19"/>
        <v>0</v>
      </c>
      <c r="T131" s="176" t="str">
        <f t="shared" si="20"/>
        <v>0</v>
      </c>
      <c r="U131" s="150"/>
      <c r="V131" s="497"/>
      <c r="W131" s="502"/>
      <c r="X131" s="150"/>
      <c r="Y131" s="150"/>
    </row>
    <row r="132" spans="1:25" ht="18" customHeight="1" thickBot="1">
      <c r="A132" s="425"/>
      <c r="B132" s="417"/>
      <c r="C132" s="183" t="s">
        <v>91</v>
      </c>
      <c r="D132" s="503" t="s">
        <v>291</v>
      </c>
      <c r="E132" s="503"/>
      <c r="F132" s="183">
        <v>119</v>
      </c>
      <c r="G132" s="203">
        <v>69.7</v>
      </c>
      <c r="H132" s="204"/>
      <c r="I132" s="187">
        <v>221.35</v>
      </c>
      <c r="J132" s="205">
        <f>74.868+117.49</f>
        <v>192.358</v>
      </c>
      <c r="K132" s="206">
        <f>12.689+44.025</f>
        <v>56.713999999999999</v>
      </c>
      <c r="L132" s="206">
        <f>437.089+28.774</f>
        <v>465.863</v>
      </c>
      <c r="M132" s="206">
        <v>60.82</v>
      </c>
      <c r="N132" s="206">
        <f>443.298+92.116</f>
        <v>535.41399999999999</v>
      </c>
      <c r="O132" s="206">
        <v>60.82</v>
      </c>
      <c r="P132" s="207">
        <f>70.945+99.007</f>
        <v>169.952</v>
      </c>
      <c r="Q132" s="187">
        <f>119.584+119.584</f>
        <v>239.16800000000001</v>
      </c>
      <c r="R132" s="205">
        <f>74.868+117.49</f>
        <v>192.358</v>
      </c>
      <c r="S132" s="176">
        <f t="shared" si="19"/>
        <v>1.2433483400742367</v>
      </c>
      <c r="T132" s="176">
        <f t="shared" si="20"/>
        <v>2.7597991391678622</v>
      </c>
      <c r="U132" s="150"/>
      <c r="V132" s="497">
        <f>('[3]LP -venituri'!E61+'[3]LP -venituri'!E63)/1000</f>
        <v>239.16806700799998</v>
      </c>
      <c r="W132" s="502"/>
      <c r="X132" s="150"/>
      <c r="Y132" s="150"/>
    </row>
    <row r="133" spans="1:25" ht="19.5" customHeight="1" thickBot="1">
      <c r="A133" s="425"/>
      <c r="B133" s="417"/>
      <c r="C133" s="183" t="s">
        <v>93</v>
      </c>
      <c r="D133" s="418" t="s">
        <v>292</v>
      </c>
      <c r="E133" s="418"/>
      <c r="F133" s="183">
        <v>120</v>
      </c>
      <c r="G133" s="203">
        <v>22.16</v>
      </c>
      <c r="H133" s="204"/>
      <c r="I133" s="187">
        <v>22</v>
      </c>
      <c r="J133" s="205">
        <f>25.721+0.743</f>
        <v>26.463999999999999</v>
      </c>
      <c r="K133" s="206">
        <f>7.332+0.185</f>
        <v>7.5169999999999995</v>
      </c>
      <c r="L133" s="206">
        <f>4.702+0.186</f>
        <v>4.8879999999999999</v>
      </c>
      <c r="M133" s="206">
        <v>8.4960000000000004</v>
      </c>
      <c r="N133" s="206">
        <f>11.057+0.371</f>
        <v>11.428000000000001</v>
      </c>
      <c r="O133" s="206">
        <v>8.4960000000000004</v>
      </c>
      <c r="P133" s="207">
        <f>18.389+0.556</f>
        <v>18.945</v>
      </c>
      <c r="Q133" s="187">
        <v>33.01</v>
      </c>
      <c r="R133" s="205">
        <f>25.721+0.743</f>
        <v>26.463999999999999</v>
      </c>
      <c r="S133" s="176">
        <f t="shared" si="19"/>
        <v>1.2473548972188633</v>
      </c>
      <c r="T133" s="176">
        <f t="shared" si="20"/>
        <v>1.1942238267148013</v>
      </c>
      <c r="U133" s="150"/>
      <c r="V133" s="497">
        <f>('[3]Calcul amotizare MF din DR 24'!E23+'[3]Calcul amotizare MF din DR 24'!E28)/1000</f>
        <v>33.00038</v>
      </c>
      <c r="W133" s="502"/>
      <c r="X133" s="150"/>
      <c r="Y133" s="150"/>
    </row>
    <row r="134" spans="1:25" ht="40.5" customHeight="1" thickBot="1">
      <c r="A134" s="425"/>
      <c r="B134" s="417"/>
      <c r="C134" s="257" t="s">
        <v>163</v>
      </c>
      <c r="D134" s="416" t="s">
        <v>293</v>
      </c>
      <c r="E134" s="416"/>
      <c r="F134" s="257">
        <v>121</v>
      </c>
      <c r="G134" s="254">
        <v>0</v>
      </c>
      <c r="H134" s="204"/>
      <c r="I134" s="241">
        <f t="shared" ref="I134:R134" si="34">I135-I138</f>
        <v>0</v>
      </c>
      <c r="J134" s="205">
        <f t="shared" si="34"/>
        <v>0</v>
      </c>
      <c r="K134" s="206">
        <f t="shared" si="34"/>
        <v>0</v>
      </c>
      <c r="L134" s="206">
        <f t="shared" si="34"/>
        <v>0</v>
      </c>
      <c r="M134" s="206">
        <f t="shared" si="34"/>
        <v>0</v>
      </c>
      <c r="N134" s="206">
        <f t="shared" si="34"/>
        <v>0</v>
      </c>
      <c r="O134" s="206">
        <f t="shared" si="34"/>
        <v>0</v>
      </c>
      <c r="P134" s="207">
        <f t="shared" si="34"/>
        <v>0</v>
      </c>
      <c r="Q134" s="241">
        <f t="shared" si="34"/>
        <v>0</v>
      </c>
      <c r="R134" s="205">
        <f t="shared" si="34"/>
        <v>-4.9999999999998934E-3</v>
      </c>
      <c r="S134" s="176" t="str">
        <f t="shared" si="19"/>
        <v>0</v>
      </c>
      <c r="T134" s="176" t="str">
        <f t="shared" si="20"/>
        <v>0</v>
      </c>
      <c r="U134" s="150"/>
      <c r="V134" s="283"/>
      <c r="W134" s="150"/>
      <c r="X134" s="150"/>
      <c r="Y134" s="150"/>
    </row>
    <row r="135" spans="1:25" ht="27" customHeight="1" thickBot="1">
      <c r="A135" s="425"/>
      <c r="B135" s="417"/>
      <c r="C135" s="417"/>
      <c r="D135" s="183" t="s">
        <v>165</v>
      </c>
      <c r="E135" s="184" t="s">
        <v>294</v>
      </c>
      <c r="F135" s="183">
        <v>122</v>
      </c>
      <c r="G135" s="203"/>
      <c r="H135" s="204"/>
      <c r="I135" s="187">
        <v>0</v>
      </c>
      <c r="J135" s="205"/>
      <c r="K135" s="206">
        <v>0</v>
      </c>
      <c r="L135" s="206"/>
      <c r="M135" s="206">
        <v>0</v>
      </c>
      <c r="N135" s="206"/>
      <c r="O135" s="206">
        <v>0</v>
      </c>
      <c r="P135" s="207"/>
      <c r="Q135" s="187">
        <f>Q136+Q137</f>
        <v>0</v>
      </c>
      <c r="R135" s="187">
        <f t="shared" ref="R135:V135" si="35">R136+R137</f>
        <v>7.9249999999999998</v>
      </c>
      <c r="S135" s="176" t="str">
        <f t="shared" si="19"/>
        <v>0</v>
      </c>
      <c r="T135" s="176" t="str">
        <f t="shared" si="20"/>
        <v>0</v>
      </c>
      <c r="U135" s="187"/>
      <c r="V135" s="187">
        <f t="shared" si="35"/>
        <v>7.9249999999999998</v>
      </c>
      <c r="W135" s="150"/>
      <c r="X135" s="150"/>
      <c r="Y135" s="150"/>
    </row>
    <row r="136" spans="1:25" ht="24" customHeight="1" thickBot="1">
      <c r="A136" s="425"/>
      <c r="B136" s="417"/>
      <c r="C136" s="417"/>
      <c r="D136" s="183" t="s">
        <v>295</v>
      </c>
      <c r="E136" s="184" t="s">
        <v>296</v>
      </c>
      <c r="F136" s="183">
        <v>123</v>
      </c>
      <c r="G136" s="203"/>
      <c r="H136" s="204"/>
      <c r="I136" s="187">
        <v>0</v>
      </c>
      <c r="J136" s="205"/>
      <c r="K136" s="206">
        <v>0</v>
      </c>
      <c r="L136" s="206"/>
      <c r="M136" s="206">
        <v>0</v>
      </c>
      <c r="N136" s="206"/>
      <c r="O136" s="206">
        <v>0</v>
      </c>
      <c r="P136" s="207"/>
      <c r="Q136" s="187">
        <v>0</v>
      </c>
      <c r="R136" s="187">
        <v>7.9249999999999998</v>
      </c>
      <c r="S136" s="176" t="str">
        <f t="shared" si="19"/>
        <v>0</v>
      </c>
      <c r="T136" s="176" t="str">
        <f t="shared" si="20"/>
        <v>0</v>
      </c>
      <c r="U136" s="187"/>
      <c r="V136" s="187">
        <v>7.9249999999999998</v>
      </c>
      <c r="W136" s="150"/>
      <c r="X136" s="150"/>
      <c r="Y136" s="150"/>
    </row>
    <row r="137" spans="1:25" ht="22.5" customHeight="1" thickBot="1">
      <c r="A137" s="425"/>
      <c r="B137" s="417"/>
      <c r="C137" s="417"/>
      <c r="D137" s="183" t="s">
        <v>297</v>
      </c>
      <c r="E137" s="184" t="s">
        <v>298</v>
      </c>
      <c r="F137" s="183">
        <v>124</v>
      </c>
      <c r="G137" s="203"/>
      <c r="H137" s="204"/>
      <c r="I137" s="187">
        <v>0</v>
      </c>
      <c r="J137" s="205"/>
      <c r="K137" s="206">
        <v>0</v>
      </c>
      <c r="L137" s="206"/>
      <c r="M137" s="206">
        <v>0</v>
      </c>
      <c r="N137" s="206"/>
      <c r="O137" s="206">
        <v>0</v>
      </c>
      <c r="P137" s="207"/>
      <c r="Q137" s="187">
        <v>0</v>
      </c>
      <c r="R137" s="187">
        <v>0</v>
      </c>
      <c r="S137" s="176" t="str">
        <f t="shared" si="19"/>
        <v>0</v>
      </c>
      <c r="T137" s="176" t="str">
        <f t="shared" si="20"/>
        <v>0</v>
      </c>
      <c r="U137" s="187"/>
      <c r="V137" s="187">
        <v>0</v>
      </c>
      <c r="W137" s="150"/>
      <c r="X137" s="150"/>
      <c r="Y137" s="150"/>
    </row>
    <row r="138" spans="1:25" ht="37.5" customHeight="1" thickBot="1">
      <c r="A138" s="425"/>
      <c r="B138" s="417"/>
      <c r="C138" s="417"/>
      <c r="D138" s="183" t="s">
        <v>167</v>
      </c>
      <c r="E138" s="184" t="s">
        <v>299</v>
      </c>
      <c r="F138" s="183">
        <v>125</v>
      </c>
      <c r="G138" s="203"/>
      <c r="H138" s="204"/>
      <c r="I138" s="187">
        <v>0</v>
      </c>
      <c r="J138" s="205"/>
      <c r="K138" s="206">
        <v>0</v>
      </c>
      <c r="L138" s="206"/>
      <c r="M138" s="206">
        <v>0</v>
      </c>
      <c r="N138" s="206"/>
      <c r="O138" s="206">
        <v>0</v>
      </c>
      <c r="P138" s="207"/>
      <c r="Q138" s="187">
        <f>Q139</f>
        <v>0</v>
      </c>
      <c r="R138" s="187">
        <f t="shared" ref="R138:V138" si="36">R139</f>
        <v>7.93</v>
      </c>
      <c r="S138" s="176" t="str">
        <f t="shared" si="19"/>
        <v>0</v>
      </c>
      <c r="T138" s="176" t="str">
        <f t="shared" si="20"/>
        <v>0</v>
      </c>
      <c r="U138" s="187"/>
      <c r="V138" s="187">
        <f t="shared" si="36"/>
        <v>7.93</v>
      </c>
      <c r="W138" s="150"/>
      <c r="X138" s="150"/>
      <c r="Y138" s="150"/>
    </row>
    <row r="139" spans="1:25" ht="34.5" customHeight="1" thickBot="1">
      <c r="A139" s="425"/>
      <c r="B139" s="417"/>
      <c r="C139" s="417"/>
      <c r="D139" s="257" t="s">
        <v>300</v>
      </c>
      <c r="E139" s="256" t="s">
        <v>301</v>
      </c>
      <c r="F139" s="257">
        <v>126</v>
      </c>
      <c r="G139" s="254">
        <v>0</v>
      </c>
      <c r="H139" s="204"/>
      <c r="I139" s="241">
        <f t="shared" ref="I139:V139" si="37">I140+I141+I142</f>
        <v>0</v>
      </c>
      <c r="J139" s="205">
        <f t="shared" si="37"/>
        <v>0</v>
      </c>
      <c r="K139" s="206">
        <f t="shared" si="37"/>
        <v>0</v>
      </c>
      <c r="L139" s="206">
        <f t="shared" si="37"/>
        <v>0</v>
      </c>
      <c r="M139" s="206">
        <f t="shared" si="37"/>
        <v>0</v>
      </c>
      <c r="N139" s="206">
        <f t="shared" si="37"/>
        <v>0</v>
      </c>
      <c r="O139" s="206">
        <f t="shared" si="37"/>
        <v>0</v>
      </c>
      <c r="P139" s="207">
        <f t="shared" si="37"/>
        <v>0</v>
      </c>
      <c r="Q139" s="241">
        <f t="shared" si="37"/>
        <v>0</v>
      </c>
      <c r="R139" s="241">
        <f t="shared" si="37"/>
        <v>7.93</v>
      </c>
      <c r="S139" s="176" t="str">
        <f t="shared" si="19"/>
        <v>0</v>
      </c>
      <c r="T139" s="176" t="str">
        <f t="shared" si="20"/>
        <v>0</v>
      </c>
      <c r="U139" s="241"/>
      <c r="V139" s="241">
        <f t="shared" si="37"/>
        <v>7.93</v>
      </c>
      <c r="W139" s="150"/>
      <c r="X139" s="150"/>
      <c r="Y139" s="150"/>
    </row>
    <row r="140" spans="1:25" ht="18.75" thickBot="1">
      <c r="A140" s="425"/>
      <c r="B140" s="417"/>
      <c r="C140" s="417"/>
      <c r="D140" s="418"/>
      <c r="E140" s="184" t="s">
        <v>302</v>
      </c>
      <c r="F140" s="183">
        <v>127</v>
      </c>
      <c r="G140" s="203"/>
      <c r="H140" s="204"/>
      <c r="I140" s="187">
        <v>0</v>
      </c>
      <c r="J140" s="205"/>
      <c r="K140" s="206">
        <v>0</v>
      </c>
      <c r="L140" s="206"/>
      <c r="M140" s="206">
        <v>0</v>
      </c>
      <c r="N140" s="206"/>
      <c r="O140" s="206">
        <v>0</v>
      </c>
      <c r="P140" s="207"/>
      <c r="Q140" s="187">
        <v>0</v>
      </c>
      <c r="R140" s="187">
        <v>7.93</v>
      </c>
      <c r="S140" s="176" t="str">
        <f t="shared" si="19"/>
        <v>0</v>
      </c>
      <c r="T140" s="176" t="str">
        <f t="shared" si="20"/>
        <v>0</v>
      </c>
      <c r="U140" s="187"/>
      <c r="V140" s="187">
        <v>7.93</v>
      </c>
      <c r="W140" s="150"/>
      <c r="X140" s="150"/>
      <c r="Y140" s="150"/>
    </row>
    <row r="141" spans="1:25" ht="22.5" customHeight="1" thickBot="1">
      <c r="A141" s="425"/>
      <c r="B141" s="417"/>
      <c r="C141" s="417"/>
      <c r="D141" s="418"/>
      <c r="E141" s="184" t="s">
        <v>303</v>
      </c>
      <c r="F141" s="183">
        <v>128</v>
      </c>
      <c r="G141" s="203"/>
      <c r="H141" s="204"/>
      <c r="I141" s="187">
        <v>0</v>
      </c>
      <c r="J141" s="205"/>
      <c r="K141" s="206">
        <v>0</v>
      </c>
      <c r="L141" s="206"/>
      <c r="M141" s="206">
        <v>0</v>
      </c>
      <c r="N141" s="206"/>
      <c r="O141" s="206">
        <v>0</v>
      </c>
      <c r="P141" s="207"/>
      <c r="Q141" s="187">
        <v>0</v>
      </c>
      <c r="R141" s="205"/>
      <c r="S141" s="176" t="str">
        <f t="shared" si="19"/>
        <v>0</v>
      </c>
      <c r="T141" s="176" t="str">
        <f t="shared" si="20"/>
        <v>0</v>
      </c>
      <c r="U141" s="150"/>
      <c r="V141" s="283"/>
      <c r="W141" s="150"/>
      <c r="X141" s="150"/>
      <c r="Y141" s="150"/>
    </row>
    <row r="142" spans="1:25" ht="23.25" customHeight="1" thickBot="1">
      <c r="A142" s="425"/>
      <c r="B142" s="417"/>
      <c r="C142" s="417"/>
      <c r="D142" s="418"/>
      <c r="E142" s="184" t="s">
        <v>304</v>
      </c>
      <c r="F142" s="183">
        <v>129</v>
      </c>
      <c r="G142" s="203"/>
      <c r="H142" s="204"/>
      <c r="I142" s="187">
        <v>0</v>
      </c>
      <c r="J142" s="205"/>
      <c r="K142" s="206">
        <v>0</v>
      </c>
      <c r="L142" s="206"/>
      <c r="M142" s="206">
        <v>0</v>
      </c>
      <c r="N142" s="206"/>
      <c r="O142" s="206">
        <v>0</v>
      </c>
      <c r="P142" s="207"/>
      <c r="Q142" s="187">
        <v>0</v>
      </c>
      <c r="R142" s="205"/>
      <c r="S142" s="176" t="str">
        <f t="shared" si="19"/>
        <v>0</v>
      </c>
      <c r="T142" s="176" t="str">
        <f t="shared" si="20"/>
        <v>0</v>
      </c>
      <c r="U142" s="150"/>
      <c r="V142" s="283"/>
      <c r="W142" s="150"/>
      <c r="X142" s="150"/>
      <c r="Y142" s="150"/>
    </row>
    <row r="143" spans="1:25" s="195" customFormat="1" ht="39" customHeight="1" thickBot="1">
      <c r="A143" s="426"/>
      <c r="B143" s="180">
        <v>2</v>
      </c>
      <c r="C143" s="180"/>
      <c r="D143" s="420" t="s">
        <v>305</v>
      </c>
      <c r="E143" s="420"/>
      <c r="F143" s="180">
        <v>130</v>
      </c>
      <c r="G143" s="216">
        <f>G144+G147+G150</f>
        <v>0.09</v>
      </c>
      <c r="H143" s="243"/>
      <c r="I143" s="216">
        <f t="shared" ref="I143:V143" si="38">I144+I147+I150</f>
        <v>0.1</v>
      </c>
      <c r="J143" s="217">
        <f t="shared" si="38"/>
        <v>1E-3</v>
      </c>
      <c r="K143" s="216">
        <f t="shared" si="38"/>
        <v>0</v>
      </c>
      <c r="L143" s="216">
        <f t="shared" si="38"/>
        <v>1E-3</v>
      </c>
      <c r="M143" s="216">
        <f t="shared" si="38"/>
        <v>0</v>
      </c>
      <c r="N143" s="216">
        <f t="shared" si="38"/>
        <v>1E-3</v>
      </c>
      <c r="O143" s="216">
        <f t="shared" si="38"/>
        <v>0</v>
      </c>
      <c r="P143" s="216">
        <f t="shared" si="38"/>
        <v>1E-3</v>
      </c>
      <c r="Q143" s="216">
        <f t="shared" si="38"/>
        <v>0</v>
      </c>
      <c r="R143" s="216">
        <f t="shared" si="38"/>
        <v>0.1</v>
      </c>
      <c r="S143" s="176" t="str">
        <f t="shared" ref="S143:S188" si="39">IF(Q143=0,"0",Q143/J143)</f>
        <v>0</v>
      </c>
      <c r="T143" s="176">
        <f t="shared" ref="T143:T188" si="40">IF(J143=0,"0",J143/G143)</f>
        <v>1.1111111111111112E-2</v>
      </c>
      <c r="U143" s="216">
        <f t="shared" si="38"/>
        <v>0</v>
      </c>
      <c r="V143" s="216">
        <f t="shared" si="38"/>
        <v>0</v>
      </c>
      <c r="W143" s="486"/>
      <c r="X143" s="486"/>
      <c r="Y143" s="486"/>
    </row>
    <row r="144" spans="1:25" ht="15.75" customHeight="1" thickBot="1">
      <c r="A144" s="426"/>
      <c r="B144" s="417"/>
      <c r="C144" s="183" t="s">
        <v>31</v>
      </c>
      <c r="D144" s="418" t="s">
        <v>306</v>
      </c>
      <c r="E144" s="418"/>
      <c r="F144" s="183">
        <v>131</v>
      </c>
      <c r="G144" s="253">
        <v>0</v>
      </c>
      <c r="H144" s="204"/>
      <c r="I144" s="238"/>
      <c r="J144" s="259">
        <v>0</v>
      </c>
      <c r="K144" s="246">
        <v>0</v>
      </c>
      <c r="L144" s="246">
        <v>0</v>
      </c>
      <c r="M144" s="246">
        <v>0</v>
      </c>
      <c r="N144" s="246">
        <v>0</v>
      </c>
      <c r="O144" s="246">
        <v>0</v>
      </c>
      <c r="P144" s="247">
        <v>0</v>
      </c>
      <c r="Q144" s="187"/>
      <c r="R144" s="259">
        <v>0</v>
      </c>
      <c r="S144" s="176" t="str">
        <f t="shared" si="39"/>
        <v>0</v>
      </c>
      <c r="T144" s="176" t="str">
        <f t="shared" si="40"/>
        <v>0</v>
      </c>
      <c r="U144" s="283"/>
      <c r="V144" s="283"/>
      <c r="W144" s="150"/>
      <c r="X144" s="150"/>
      <c r="Y144" s="150"/>
    </row>
    <row r="145" spans="1:25" ht="18.75" thickBot="1">
      <c r="A145" s="426"/>
      <c r="B145" s="417"/>
      <c r="C145" s="417"/>
      <c r="D145" s="183" t="s">
        <v>147</v>
      </c>
      <c r="E145" s="184" t="s">
        <v>307</v>
      </c>
      <c r="F145" s="183">
        <v>132</v>
      </c>
      <c r="G145" s="253">
        <v>0</v>
      </c>
      <c r="H145" s="204"/>
      <c r="I145" s="238"/>
      <c r="J145" s="259">
        <v>0</v>
      </c>
      <c r="K145" s="206">
        <v>0</v>
      </c>
      <c r="L145" s="206">
        <v>0</v>
      </c>
      <c r="M145" s="206">
        <v>0</v>
      </c>
      <c r="N145" s="206">
        <v>0</v>
      </c>
      <c r="O145" s="206">
        <v>0</v>
      </c>
      <c r="P145" s="207">
        <v>0</v>
      </c>
      <c r="Q145" s="187"/>
      <c r="R145" s="259">
        <v>0</v>
      </c>
      <c r="S145" s="176" t="str">
        <f t="shared" si="39"/>
        <v>0</v>
      </c>
      <c r="T145" s="176" t="str">
        <f t="shared" si="40"/>
        <v>0</v>
      </c>
      <c r="U145" s="283"/>
      <c r="V145" s="283"/>
      <c r="W145" s="150"/>
      <c r="X145" s="150"/>
      <c r="Y145" s="150"/>
    </row>
    <row r="146" spans="1:25" ht="18.75" thickBot="1">
      <c r="A146" s="426"/>
      <c r="B146" s="417"/>
      <c r="C146" s="417"/>
      <c r="D146" s="183" t="s">
        <v>149</v>
      </c>
      <c r="E146" s="184" t="s">
        <v>308</v>
      </c>
      <c r="F146" s="183">
        <v>133</v>
      </c>
      <c r="G146" s="253">
        <v>0</v>
      </c>
      <c r="H146" s="204"/>
      <c r="I146" s="238"/>
      <c r="J146" s="259">
        <v>0</v>
      </c>
      <c r="K146" s="206">
        <v>0</v>
      </c>
      <c r="L146" s="206">
        <v>0</v>
      </c>
      <c r="M146" s="206">
        <v>0</v>
      </c>
      <c r="N146" s="206">
        <v>0</v>
      </c>
      <c r="O146" s="206">
        <v>0</v>
      </c>
      <c r="P146" s="207">
        <v>0</v>
      </c>
      <c r="Q146" s="187"/>
      <c r="R146" s="259">
        <v>0</v>
      </c>
      <c r="S146" s="176" t="str">
        <f t="shared" si="39"/>
        <v>0</v>
      </c>
      <c r="T146" s="176" t="str">
        <f t="shared" si="40"/>
        <v>0</v>
      </c>
      <c r="U146" s="283"/>
      <c r="V146" s="283"/>
      <c r="W146" s="150"/>
      <c r="X146" s="150"/>
      <c r="Y146" s="150"/>
    </row>
    <row r="147" spans="1:25" ht="18" customHeight="1" thickBot="1">
      <c r="A147" s="426"/>
      <c r="B147" s="417"/>
      <c r="C147" s="183" t="s">
        <v>33</v>
      </c>
      <c r="D147" s="418" t="s">
        <v>309</v>
      </c>
      <c r="E147" s="418"/>
      <c r="F147" s="183">
        <v>134</v>
      </c>
      <c r="G147" s="253">
        <v>0</v>
      </c>
      <c r="H147" s="204"/>
      <c r="I147" s="260"/>
      <c r="J147" s="259">
        <f t="shared" ref="J147:P147" si="41">J148+J149</f>
        <v>0</v>
      </c>
      <c r="K147" s="246">
        <f t="shared" si="41"/>
        <v>0</v>
      </c>
      <c r="L147" s="246">
        <f t="shared" si="41"/>
        <v>0</v>
      </c>
      <c r="M147" s="246">
        <f t="shared" si="41"/>
        <v>0</v>
      </c>
      <c r="N147" s="246">
        <f t="shared" si="41"/>
        <v>1E-3</v>
      </c>
      <c r="O147" s="246">
        <f t="shared" si="41"/>
        <v>0</v>
      </c>
      <c r="P147" s="247">
        <f t="shared" si="41"/>
        <v>1E-3</v>
      </c>
      <c r="Q147" s="187"/>
      <c r="R147" s="259">
        <f>R148+R149</f>
        <v>0</v>
      </c>
      <c r="S147" s="176" t="str">
        <f t="shared" si="39"/>
        <v>0</v>
      </c>
      <c r="T147" s="176" t="str">
        <f t="shared" si="40"/>
        <v>0</v>
      </c>
      <c r="U147" s="283"/>
      <c r="V147" s="283"/>
      <c r="W147" s="150"/>
      <c r="X147" s="150"/>
      <c r="Y147" s="150"/>
    </row>
    <row r="148" spans="1:25" ht="18.75" thickBot="1">
      <c r="A148" s="426"/>
      <c r="B148" s="417"/>
      <c r="C148" s="417"/>
      <c r="D148" s="183" t="s">
        <v>191</v>
      </c>
      <c r="E148" s="184" t="s">
        <v>307</v>
      </c>
      <c r="F148" s="183">
        <v>135</v>
      </c>
      <c r="G148" s="253">
        <v>0</v>
      </c>
      <c r="H148" s="204"/>
      <c r="I148" s="238"/>
      <c r="J148" s="259">
        <v>0</v>
      </c>
      <c r="K148" s="206">
        <v>0</v>
      </c>
      <c r="L148" s="206">
        <v>0</v>
      </c>
      <c r="M148" s="206">
        <v>0</v>
      </c>
      <c r="N148" s="206">
        <v>0</v>
      </c>
      <c r="O148" s="206">
        <v>0</v>
      </c>
      <c r="P148" s="207">
        <v>0</v>
      </c>
      <c r="Q148" s="187"/>
      <c r="R148" s="259">
        <v>0</v>
      </c>
      <c r="S148" s="176" t="str">
        <f t="shared" si="39"/>
        <v>0</v>
      </c>
      <c r="T148" s="176" t="str">
        <f t="shared" si="40"/>
        <v>0</v>
      </c>
      <c r="U148" s="283"/>
      <c r="V148" s="283"/>
      <c r="W148" s="150"/>
      <c r="X148" s="150"/>
      <c r="Y148" s="150"/>
    </row>
    <row r="149" spans="1:25" ht="18.75" thickBot="1">
      <c r="A149" s="426"/>
      <c r="B149" s="417"/>
      <c r="C149" s="417"/>
      <c r="D149" s="183" t="s">
        <v>193</v>
      </c>
      <c r="E149" s="184" t="s">
        <v>308</v>
      </c>
      <c r="F149" s="183">
        <v>136</v>
      </c>
      <c r="G149" s="253"/>
      <c r="H149" s="204"/>
      <c r="I149" s="187"/>
      <c r="J149" s="261">
        <v>0</v>
      </c>
      <c r="K149" s="262">
        <v>0</v>
      </c>
      <c r="L149" s="263">
        <v>0</v>
      </c>
      <c r="M149" s="263">
        <v>0</v>
      </c>
      <c r="N149" s="263">
        <v>1E-3</v>
      </c>
      <c r="O149" s="263">
        <v>0</v>
      </c>
      <c r="P149" s="264">
        <v>1E-3</v>
      </c>
      <c r="Q149" s="265"/>
      <c r="R149" s="261">
        <v>0</v>
      </c>
      <c r="S149" s="176" t="str">
        <f t="shared" si="39"/>
        <v>0</v>
      </c>
      <c r="T149" s="176" t="str">
        <f t="shared" si="40"/>
        <v>0</v>
      </c>
      <c r="U149" s="150"/>
      <c r="V149" s="504"/>
      <c r="W149" s="150"/>
      <c r="X149" s="150"/>
      <c r="Y149" s="150"/>
    </row>
    <row r="150" spans="1:25" ht="18" customHeight="1" thickBot="1">
      <c r="A150" s="426"/>
      <c r="B150" s="417"/>
      <c r="C150" s="183" t="s">
        <v>81</v>
      </c>
      <c r="D150" s="418" t="s">
        <v>310</v>
      </c>
      <c r="E150" s="418"/>
      <c r="F150" s="183">
        <v>137</v>
      </c>
      <c r="G150" s="253">
        <v>0.09</v>
      </c>
      <c r="H150" s="204"/>
      <c r="I150" s="187">
        <v>0.1</v>
      </c>
      <c r="J150" s="205">
        <v>1E-3</v>
      </c>
      <c r="K150" s="266">
        <v>0</v>
      </c>
      <c r="L150" s="206">
        <v>1E-3</v>
      </c>
      <c r="M150" s="206">
        <v>0</v>
      </c>
      <c r="N150" s="206">
        <v>0</v>
      </c>
      <c r="O150" s="206">
        <v>0</v>
      </c>
      <c r="P150" s="207">
        <v>0</v>
      </c>
      <c r="Q150" s="187">
        <v>0</v>
      </c>
      <c r="R150" s="187">
        <v>0.1</v>
      </c>
      <c r="S150" s="176" t="str">
        <f t="shared" si="39"/>
        <v>0</v>
      </c>
      <c r="T150" s="176">
        <f t="shared" si="40"/>
        <v>1.1111111111111112E-2</v>
      </c>
      <c r="U150" s="187"/>
      <c r="V150" s="187">
        <v>0</v>
      </c>
      <c r="W150" s="150"/>
      <c r="X150" s="150"/>
      <c r="Y150" s="150"/>
    </row>
    <row r="151" spans="1:25" s="231" customFormat="1" ht="24.75" customHeight="1" thickBot="1">
      <c r="A151" s="267" t="s">
        <v>61</v>
      </c>
      <c r="B151" s="268"/>
      <c r="C151" s="268"/>
      <c r="D151" s="415" t="s">
        <v>311</v>
      </c>
      <c r="E151" s="415"/>
      <c r="F151" s="268">
        <v>138</v>
      </c>
      <c r="G151" s="216">
        <f>G14-G41</f>
        <v>95.499000000000251</v>
      </c>
      <c r="H151" s="216">
        <f>H14-H41</f>
        <v>0</v>
      </c>
      <c r="I151" s="216">
        <f>I14-I41</f>
        <v>94.498320000000149</v>
      </c>
      <c r="J151" s="217">
        <f>J14-J41</f>
        <v>157.57299999999987</v>
      </c>
      <c r="K151" s="217">
        <f t="shared" ref="K151:P151" si="42">K14-K41</f>
        <v>239.89400000000001</v>
      </c>
      <c r="L151" s="217">
        <f t="shared" si="42"/>
        <v>-990.53199999999993</v>
      </c>
      <c r="M151" s="217">
        <f t="shared" si="42"/>
        <v>-47.870499999999993</v>
      </c>
      <c r="N151" s="217">
        <f t="shared" si="42"/>
        <v>-1716.2719999999999</v>
      </c>
      <c r="O151" s="217">
        <f t="shared" si="42"/>
        <v>-58.477000000000089</v>
      </c>
      <c r="P151" s="217">
        <f t="shared" si="42"/>
        <v>-1742.6130000000001</v>
      </c>
      <c r="Q151" s="216">
        <f>Q14-Q41</f>
        <v>158.06800000000021</v>
      </c>
      <c r="R151" s="216">
        <f t="shared" ref="R151:V151" si="43">R14-R41</f>
        <v>-2272.8889999999992</v>
      </c>
      <c r="S151" s="176">
        <f t="shared" si="39"/>
        <v>1.0031414011283681</v>
      </c>
      <c r="T151" s="176">
        <f t="shared" si="40"/>
        <v>1.6499963350401516</v>
      </c>
      <c r="U151" s="216"/>
      <c r="V151" s="216">
        <f t="shared" si="43"/>
        <v>158.08315705829</v>
      </c>
      <c r="W151" s="505">
        <f>V151-J151</f>
        <v>0.51015705829013314</v>
      </c>
      <c r="X151" s="492">
        <f>W151/J151*100</f>
        <v>0.32375918354675837</v>
      </c>
      <c r="Y151" s="492"/>
    </row>
    <row r="152" spans="1:25" ht="22.5" customHeight="1" thickBot="1">
      <c r="A152" s="183"/>
      <c r="B152" s="183"/>
      <c r="C152" s="183"/>
      <c r="D152" s="184"/>
      <c r="E152" s="184" t="s">
        <v>312</v>
      </c>
      <c r="F152" s="183">
        <v>139</v>
      </c>
      <c r="G152" s="253"/>
      <c r="H152" s="204"/>
      <c r="I152" s="187">
        <v>0</v>
      </c>
      <c r="J152" s="205"/>
      <c r="K152" s="266">
        <v>0</v>
      </c>
      <c r="L152" s="206"/>
      <c r="M152" s="206">
        <v>0</v>
      </c>
      <c r="N152" s="206"/>
      <c r="O152" s="206">
        <v>0</v>
      </c>
      <c r="P152" s="207"/>
      <c r="Q152" s="187">
        <v>0</v>
      </c>
      <c r="R152" s="205"/>
      <c r="S152" s="176" t="str">
        <f t="shared" si="39"/>
        <v>0</v>
      </c>
      <c r="T152" s="176" t="str">
        <f t="shared" si="40"/>
        <v>0</v>
      </c>
      <c r="U152" s="150"/>
      <c r="V152" s="283"/>
      <c r="W152" s="150"/>
      <c r="X152" s="150"/>
      <c r="Y152" s="150"/>
    </row>
    <row r="153" spans="1:25" ht="21.75" customHeight="1" thickBot="1">
      <c r="A153" s="183"/>
      <c r="B153" s="183"/>
      <c r="C153" s="183"/>
      <c r="D153" s="184"/>
      <c r="E153" s="184" t="s">
        <v>313</v>
      </c>
      <c r="F153" s="183">
        <v>140</v>
      </c>
      <c r="G153" s="253"/>
      <c r="H153" s="204"/>
      <c r="I153" s="187">
        <v>0</v>
      </c>
      <c r="J153" s="205"/>
      <c r="K153" s="266">
        <v>0</v>
      </c>
      <c r="L153" s="206"/>
      <c r="M153" s="206">
        <v>0</v>
      </c>
      <c r="N153" s="206"/>
      <c r="O153" s="206">
        <v>0</v>
      </c>
      <c r="P153" s="207"/>
      <c r="Q153" s="187">
        <v>0</v>
      </c>
      <c r="R153" s="205"/>
      <c r="S153" s="176" t="str">
        <f t="shared" si="39"/>
        <v>0</v>
      </c>
      <c r="T153" s="176" t="str">
        <f t="shared" si="40"/>
        <v>0</v>
      </c>
      <c r="U153" s="150"/>
      <c r="V153" s="283"/>
      <c r="W153" s="150"/>
      <c r="X153" s="150"/>
      <c r="Y153" s="150"/>
    </row>
    <row r="154" spans="1:25" s="179" customFormat="1" ht="17.25" customHeight="1" thickBot="1">
      <c r="A154" s="257" t="s">
        <v>63</v>
      </c>
      <c r="B154" s="257"/>
      <c r="C154" s="257"/>
      <c r="D154" s="416" t="s">
        <v>314</v>
      </c>
      <c r="E154" s="416"/>
      <c r="F154" s="257">
        <v>141</v>
      </c>
      <c r="G154" s="253">
        <v>15.28</v>
      </c>
      <c r="H154" s="245"/>
      <c r="I154" s="187">
        <f>I151*16%</f>
        <v>15.119731200000023</v>
      </c>
      <c r="J154" s="205">
        <f>J151*16%</f>
        <v>25.21167999999998</v>
      </c>
      <c r="K154" s="269">
        <f>K151*16%</f>
        <v>38.383040000000001</v>
      </c>
      <c r="L154" s="246">
        <v>0</v>
      </c>
      <c r="M154" s="246">
        <f>M151*16%</f>
        <v>-7.659279999999999</v>
      </c>
      <c r="N154" s="246">
        <v>0</v>
      </c>
      <c r="O154" s="246">
        <f>O151*16%</f>
        <v>-9.3563200000000144</v>
      </c>
      <c r="P154" s="247">
        <v>0</v>
      </c>
      <c r="Q154" s="187">
        <f>Q151*16%</f>
        <v>25.290880000000033</v>
      </c>
      <c r="R154" s="205">
        <f>R151*16%</f>
        <v>-363.66223999999988</v>
      </c>
      <c r="S154" s="176">
        <f t="shared" si="39"/>
        <v>1.0031414011283679</v>
      </c>
      <c r="T154" s="176">
        <f t="shared" si="40"/>
        <v>1.6499790575916218</v>
      </c>
      <c r="U154" s="484"/>
      <c r="V154" s="506"/>
      <c r="W154" s="484"/>
      <c r="X154" s="484"/>
      <c r="Y154" s="484"/>
    </row>
    <row r="155" spans="1:25" s="179" customFormat="1" ht="21" customHeight="1" thickBot="1">
      <c r="A155" s="257" t="s">
        <v>69</v>
      </c>
      <c r="B155" s="257"/>
      <c r="C155" s="257"/>
      <c r="D155" s="416" t="s">
        <v>102</v>
      </c>
      <c r="E155" s="416"/>
      <c r="F155" s="257"/>
      <c r="G155" s="253"/>
      <c r="H155" s="245"/>
      <c r="I155" s="187">
        <v>0</v>
      </c>
      <c r="J155" s="205"/>
      <c r="K155" s="269">
        <v>0</v>
      </c>
      <c r="L155" s="246"/>
      <c r="M155" s="246">
        <v>0</v>
      </c>
      <c r="N155" s="246"/>
      <c r="O155" s="246">
        <v>0</v>
      </c>
      <c r="P155" s="247">
        <v>0</v>
      </c>
      <c r="Q155" s="187">
        <v>0</v>
      </c>
      <c r="R155" s="205"/>
      <c r="S155" s="176" t="str">
        <f t="shared" si="39"/>
        <v>0</v>
      </c>
      <c r="T155" s="176" t="str">
        <f t="shared" si="40"/>
        <v>0</v>
      </c>
      <c r="U155" s="484"/>
      <c r="V155" s="507"/>
      <c r="W155" s="484"/>
      <c r="X155" s="484"/>
      <c r="Y155" s="484"/>
    </row>
    <row r="156" spans="1:25" s="514" customFormat="1" ht="23.25" customHeight="1" thickBot="1">
      <c r="A156" s="417"/>
      <c r="B156" s="519">
        <v>1</v>
      </c>
      <c r="C156" s="204"/>
      <c r="D156" s="520" t="s">
        <v>315</v>
      </c>
      <c r="E156" s="520"/>
      <c r="F156" s="204">
        <f>F154+1</f>
        <v>142</v>
      </c>
      <c r="G156" s="271">
        <f>G15</f>
        <v>2194.0300000000002</v>
      </c>
      <c r="H156" s="271"/>
      <c r="I156" s="271">
        <f t="shared" ref="I156:R156" si="44">I15</f>
        <v>2527.6790000000001</v>
      </c>
      <c r="J156" s="271">
        <f t="shared" si="44"/>
        <v>2499.895</v>
      </c>
      <c r="K156" s="521">
        <f t="shared" si="44"/>
        <v>732.90099999999995</v>
      </c>
      <c r="L156" s="271">
        <f t="shared" si="44"/>
        <v>0</v>
      </c>
      <c r="M156" s="271">
        <f t="shared" si="44"/>
        <v>698.23599999999999</v>
      </c>
      <c r="N156" s="271">
        <f t="shared" si="44"/>
        <v>0.58499999999999996</v>
      </c>
      <c r="O156" s="271">
        <f t="shared" si="44"/>
        <v>630.18599999999992</v>
      </c>
      <c r="P156" s="271">
        <f t="shared" si="44"/>
        <v>0</v>
      </c>
      <c r="Q156" s="271">
        <f t="shared" si="44"/>
        <v>2755.152</v>
      </c>
      <c r="R156" s="271">
        <f t="shared" si="44"/>
        <v>69.619</v>
      </c>
      <c r="S156" s="511">
        <f t="shared" si="39"/>
        <v>1.1021070884977169</v>
      </c>
      <c r="T156" s="511">
        <f t="shared" si="40"/>
        <v>1.1394078476593299</v>
      </c>
      <c r="U156" s="512"/>
      <c r="V156" s="522"/>
      <c r="W156" s="512"/>
      <c r="X156" s="512"/>
      <c r="Y156" s="512"/>
    </row>
    <row r="157" spans="1:25" s="514" customFormat="1" ht="22.5" customHeight="1" thickBot="1">
      <c r="A157" s="417"/>
      <c r="B157" s="519"/>
      <c r="C157" s="204"/>
      <c r="D157" s="510" t="s">
        <v>31</v>
      </c>
      <c r="E157" s="510" t="s">
        <v>316</v>
      </c>
      <c r="F157" s="204">
        <f>F156+1</f>
        <v>143</v>
      </c>
      <c r="G157" s="271"/>
      <c r="H157" s="204"/>
      <c r="I157" s="271">
        <v>0</v>
      </c>
      <c r="J157" s="254"/>
      <c r="K157" s="521">
        <v>0</v>
      </c>
      <c r="L157" s="271"/>
      <c r="M157" s="271">
        <v>0</v>
      </c>
      <c r="N157" s="271"/>
      <c r="O157" s="271">
        <v>0</v>
      </c>
      <c r="P157" s="271"/>
      <c r="Q157" s="271">
        <v>0</v>
      </c>
      <c r="R157" s="254"/>
      <c r="S157" s="511" t="str">
        <f t="shared" si="39"/>
        <v>0</v>
      </c>
      <c r="T157" s="511" t="str">
        <f t="shared" si="40"/>
        <v>0</v>
      </c>
      <c r="U157" s="512"/>
      <c r="V157" s="522"/>
      <c r="W157" s="512"/>
      <c r="X157" s="512"/>
      <c r="Y157" s="512"/>
    </row>
    <row r="158" spans="1:25" s="514" customFormat="1" ht="36.75" customHeight="1" thickBot="1">
      <c r="A158" s="417"/>
      <c r="B158" s="519"/>
      <c r="C158" s="204"/>
      <c r="D158" s="510" t="s">
        <v>33</v>
      </c>
      <c r="E158" s="510" t="s">
        <v>317</v>
      </c>
      <c r="F158" s="204">
        <f>F157+1</f>
        <v>144</v>
      </c>
      <c r="G158" s="271"/>
      <c r="H158" s="204"/>
      <c r="I158" s="271">
        <v>0</v>
      </c>
      <c r="J158" s="254"/>
      <c r="K158" s="521">
        <v>0</v>
      </c>
      <c r="L158" s="271"/>
      <c r="M158" s="271">
        <v>0</v>
      </c>
      <c r="N158" s="271"/>
      <c r="O158" s="271">
        <v>0</v>
      </c>
      <c r="P158" s="271"/>
      <c r="Q158" s="271">
        <v>0</v>
      </c>
      <c r="R158" s="254"/>
      <c r="S158" s="511" t="str">
        <f t="shared" si="39"/>
        <v>0</v>
      </c>
      <c r="T158" s="511" t="str">
        <f t="shared" si="40"/>
        <v>0</v>
      </c>
      <c r="U158" s="512"/>
      <c r="V158" s="522"/>
      <c r="W158" s="512"/>
      <c r="X158" s="512"/>
      <c r="Y158" s="512"/>
    </row>
    <row r="159" spans="1:25" s="514" customFormat="1" ht="18" customHeight="1" thickBot="1">
      <c r="A159" s="417"/>
      <c r="B159" s="519">
        <v>2</v>
      </c>
      <c r="C159" s="204"/>
      <c r="D159" s="520" t="s">
        <v>318</v>
      </c>
      <c r="E159" s="520"/>
      <c r="F159" s="204">
        <f>F158+1</f>
        <v>145</v>
      </c>
      <c r="G159" s="253">
        <f t="shared" ref="G159:R159" si="45">G42</f>
        <v>2098.451</v>
      </c>
      <c r="H159" s="253">
        <f t="shared" si="45"/>
        <v>0</v>
      </c>
      <c r="I159" s="253">
        <f t="shared" si="45"/>
        <v>2433.08068</v>
      </c>
      <c r="J159" s="253">
        <f t="shared" si="45"/>
        <v>2342.3209999999999</v>
      </c>
      <c r="K159" s="253">
        <f t="shared" si="45"/>
        <v>493.00699999999995</v>
      </c>
      <c r="L159" s="253">
        <f t="shared" si="45"/>
        <v>990.53099999999995</v>
      </c>
      <c r="M159" s="253">
        <f t="shared" si="45"/>
        <v>746.10649999999998</v>
      </c>
      <c r="N159" s="253">
        <f t="shared" si="45"/>
        <v>1716.866</v>
      </c>
      <c r="O159" s="253">
        <f t="shared" si="45"/>
        <v>688.66300000000001</v>
      </c>
      <c r="P159" s="253">
        <f t="shared" si="45"/>
        <v>1742.6120000000001</v>
      </c>
      <c r="Q159" s="253">
        <f t="shared" si="45"/>
        <v>2599.0839999999998</v>
      </c>
      <c r="R159" s="253">
        <f t="shared" si="45"/>
        <v>2342.4079999999994</v>
      </c>
      <c r="S159" s="511">
        <f t="shared" si="39"/>
        <v>1.1096190487981792</v>
      </c>
      <c r="T159" s="511">
        <f t="shared" si="40"/>
        <v>1.1162142933049186</v>
      </c>
      <c r="U159" s="512"/>
      <c r="V159" s="522"/>
      <c r="W159" s="512"/>
      <c r="X159" s="512"/>
      <c r="Y159" s="512"/>
    </row>
    <row r="160" spans="1:25" ht="54.75" thickBot="1">
      <c r="A160" s="417"/>
      <c r="B160" s="270"/>
      <c r="C160" s="183"/>
      <c r="D160" s="272" t="s">
        <v>31</v>
      </c>
      <c r="E160" s="272" t="s">
        <v>319</v>
      </c>
      <c r="F160" s="183">
        <f>F159+1</f>
        <v>146</v>
      </c>
      <c r="G160" s="271"/>
      <c r="H160" s="204"/>
      <c r="I160" s="187"/>
      <c r="J160" s="205"/>
      <c r="K160" s="266"/>
      <c r="L160" s="206"/>
      <c r="M160" s="206"/>
      <c r="N160" s="206"/>
      <c r="O160" s="206"/>
      <c r="P160" s="207"/>
      <c r="Q160" s="187"/>
      <c r="R160" s="205"/>
      <c r="S160" s="176" t="str">
        <f t="shared" si="39"/>
        <v>0</v>
      </c>
      <c r="T160" s="176" t="str">
        <f t="shared" si="40"/>
        <v>0</v>
      </c>
      <c r="U160" s="150"/>
      <c r="V160" s="283"/>
      <c r="W160" s="150"/>
      <c r="X160" s="150"/>
      <c r="Y160" s="150"/>
    </row>
    <row r="161" spans="1:25" ht="18.75" thickBot="1">
      <c r="A161" s="417"/>
      <c r="B161" s="270">
        <v>3</v>
      </c>
      <c r="C161" s="183"/>
      <c r="D161" s="413" t="s">
        <v>320</v>
      </c>
      <c r="E161" s="413"/>
      <c r="F161" s="183">
        <f>F160+1</f>
        <v>147</v>
      </c>
      <c r="G161" s="253">
        <f t="shared" ref="G161:R161" si="46">G99</f>
        <v>1094.9739999999999</v>
      </c>
      <c r="H161" s="253">
        <f t="shared" si="46"/>
        <v>0</v>
      </c>
      <c r="I161" s="187">
        <f t="shared" si="46"/>
        <v>1189.1600000000001</v>
      </c>
      <c r="J161" s="253">
        <f t="shared" si="46"/>
        <v>1078.258</v>
      </c>
      <c r="K161" s="246">
        <f t="shared" si="46"/>
        <v>241.62799999999999</v>
      </c>
      <c r="L161" s="246">
        <f t="shared" si="46"/>
        <v>264.74</v>
      </c>
      <c r="M161" s="246">
        <f t="shared" si="46"/>
        <v>274.34299999999996</v>
      </c>
      <c r="N161" s="246">
        <f t="shared" si="46"/>
        <v>568.798</v>
      </c>
      <c r="O161" s="246">
        <f t="shared" si="46"/>
        <v>275.92500000000001</v>
      </c>
      <c r="P161" s="247">
        <f t="shared" si="46"/>
        <v>814.8950000000001</v>
      </c>
      <c r="Q161" s="187">
        <f t="shared" si="46"/>
        <v>1065.7629999999999</v>
      </c>
      <c r="R161" s="253">
        <f t="shared" si="46"/>
        <v>1078.258</v>
      </c>
      <c r="S161" s="176">
        <f t="shared" si="39"/>
        <v>0.98841186432189687</v>
      </c>
      <c r="T161" s="176">
        <f t="shared" si="40"/>
        <v>0.98473388409222506</v>
      </c>
      <c r="U161" s="150"/>
      <c r="V161" s="283"/>
      <c r="W161" s="150"/>
      <c r="X161" s="150"/>
      <c r="Y161" s="150"/>
    </row>
    <row r="162" spans="1:25" ht="21" customHeight="1" thickBot="1">
      <c r="A162" s="417"/>
      <c r="B162" s="183"/>
      <c r="C162" s="183"/>
      <c r="D162" s="272" t="s">
        <v>31</v>
      </c>
      <c r="E162" s="272" t="s">
        <v>321</v>
      </c>
      <c r="F162" s="183" t="s">
        <v>322</v>
      </c>
      <c r="G162" s="271"/>
      <c r="H162" s="204"/>
      <c r="I162" s="187"/>
      <c r="J162" s="205"/>
      <c r="K162" s="266"/>
      <c r="L162" s="206"/>
      <c r="M162" s="206"/>
      <c r="N162" s="206"/>
      <c r="O162" s="206"/>
      <c r="P162" s="207"/>
      <c r="Q162" s="187"/>
      <c r="R162" s="205"/>
      <c r="S162" s="176" t="str">
        <f t="shared" si="39"/>
        <v>0</v>
      </c>
      <c r="T162" s="176" t="str">
        <f t="shared" si="40"/>
        <v>0</v>
      </c>
      <c r="U162" s="150"/>
      <c r="V162" s="283"/>
      <c r="W162" s="150"/>
      <c r="X162" s="150"/>
      <c r="Y162" s="150"/>
    </row>
    <row r="163" spans="1:25" ht="21" customHeight="1" thickBot="1">
      <c r="A163" s="417"/>
      <c r="B163" s="183"/>
      <c r="C163" s="183"/>
      <c r="D163" s="272" t="s">
        <v>33</v>
      </c>
      <c r="E163" s="272" t="s">
        <v>321</v>
      </c>
      <c r="F163" s="183" t="s">
        <v>323</v>
      </c>
      <c r="G163" s="271"/>
      <c r="H163" s="204"/>
      <c r="I163" s="187"/>
      <c r="J163" s="205"/>
      <c r="K163" s="266"/>
      <c r="L163" s="206"/>
      <c r="M163" s="206"/>
      <c r="N163" s="206"/>
      <c r="O163" s="206"/>
      <c r="P163" s="207"/>
      <c r="Q163" s="187"/>
      <c r="R163" s="205"/>
      <c r="S163" s="176" t="str">
        <f t="shared" si="39"/>
        <v>0</v>
      </c>
      <c r="T163" s="176" t="str">
        <f t="shared" si="40"/>
        <v>0</v>
      </c>
      <c r="U163" s="150"/>
      <c r="V163" s="283"/>
      <c r="W163" s="150"/>
      <c r="X163" s="150"/>
      <c r="Y163" s="150"/>
    </row>
    <row r="164" spans="1:25" ht="21" customHeight="1" thickBot="1">
      <c r="A164" s="417"/>
      <c r="B164" s="183"/>
      <c r="C164" s="183"/>
      <c r="D164" s="272" t="s">
        <v>81</v>
      </c>
      <c r="E164" s="272" t="s">
        <v>321</v>
      </c>
      <c r="F164" s="183" t="s">
        <v>324</v>
      </c>
      <c r="G164" s="271"/>
      <c r="H164" s="204"/>
      <c r="I164" s="187"/>
      <c r="J164" s="205"/>
      <c r="K164" s="266"/>
      <c r="L164" s="206"/>
      <c r="M164" s="206"/>
      <c r="N164" s="206"/>
      <c r="O164" s="206"/>
      <c r="P164" s="207"/>
      <c r="Q164" s="187"/>
      <c r="R164" s="205"/>
      <c r="S164" s="176" t="str">
        <f t="shared" si="39"/>
        <v>0</v>
      </c>
      <c r="T164" s="176" t="str">
        <f t="shared" si="40"/>
        <v>0</v>
      </c>
      <c r="U164" s="150"/>
      <c r="V164" s="283"/>
      <c r="W164" s="150"/>
      <c r="X164" s="150"/>
      <c r="Y164" s="150"/>
    </row>
    <row r="165" spans="1:25" ht="21.75" customHeight="1" thickBot="1">
      <c r="A165" s="417"/>
      <c r="B165" s="184">
        <v>4</v>
      </c>
      <c r="C165" s="183"/>
      <c r="D165" s="418" t="s">
        <v>103</v>
      </c>
      <c r="E165" s="418"/>
      <c r="F165" s="183">
        <f>F161+1</f>
        <v>148</v>
      </c>
      <c r="G165" s="273">
        <v>11</v>
      </c>
      <c r="H165" s="274"/>
      <c r="I165" s="275">
        <v>11</v>
      </c>
      <c r="J165" s="205">
        <v>10</v>
      </c>
      <c r="K165" s="276">
        <v>9</v>
      </c>
      <c r="L165" s="277">
        <v>11</v>
      </c>
      <c r="M165" s="277">
        <v>9</v>
      </c>
      <c r="N165" s="277">
        <v>13</v>
      </c>
      <c r="O165" s="277">
        <v>9</v>
      </c>
      <c r="P165" s="278">
        <v>11</v>
      </c>
      <c r="Q165" s="275">
        <v>9</v>
      </c>
      <c r="R165" s="205">
        <v>10</v>
      </c>
      <c r="S165" s="176">
        <f t="shared" si="39"/>
        <v>0.9</v>
      </c>
      <c r="T165" s="176">
        <f t="shared" si="40"/>
        <v>0.90909090909090906</v>
      </c>
      <c r="U165" s="150"/>
      <c r="V165" s="485"/>
      <c r="W165" s="150"/>
      <c r="X165" s="150"/>
      <c r="Y165" s="150"/>
    </row>
    <row r="166" spans="1:25" ht="22.5" customHeight="1" thickBot="1">
      <c r="A166" s="417"/>
      <c r="B166" s="184">
        <v>5</v>
      </c>
      <c r="C166" s="183"/>
      <c r="D166" s="418" t="s">
        <v>325</v>
      </c>
      <c r="E166" s="418"/>
      <c r="F166" s="183">
        <f t="shared" ref="F166:F188" si="47">F165+1</f>
        <v>149</v>
      </c>
      <c r="G166" s="273">
        <v>11</v>
      </c>
      <c r="H166" s="279"/>
      <c r="I166" s="275">
        <v>11</v>
      </c>
      <c r="J166" s="205">
        <v>10</v>
      </c>
      <c r="K166" s="280">
        <v>9</v>
      </c>
      <c r="L166" s="281">
        <v>11</v>
      </c>
      <c r="M166" s="281">
        <v>9</v>
      </c>
      <c r="N166" s="281">
        <v>13</v>
      </c>
      <c r="O166" s="281">
        <v>9</v>
      </c>
      <c r="P166" s="282">
        <v>11</v>
      </c>
      <c r="Q166" s="275">
        <v>9</v>
      </c>
      <c r="R166" s="205">
        <v>10</v>
      </c>
      <c r="S166" s="176">
        <f t="shared" si="39"/>
        <v>0.9</v>
      </c>
      <c r="T166" s="176">
        <f t="shared" si="40"/>
        <v>0.90909090909090906</v>
      </c>
      <c r="U166" s="150"/>
      <c r="V166" s="283"/>
      <c r="W166" s="150"/>
      <c r="X166" s="150"/>
      <c r="Y166" s="150"/>
    </row>
    <row r="167" spans="1:25" ht="37.5" customHeight="1" thickBot="1">
      <c r="A167" s="417"/>
      <c r="B167" s="184">
        <v>6</v>
      </c>
      <c r="C167" s="183" t="s">
        <v>31</v>
      </c>
      <c r="D167" s="418" t="s">
        <v>326</v>
      </c>
      <c r="E167" s="419"/>
      <c r="F167" s="183">
        <f t="shared" si="47"/>
        <v>150</v>
      </c>
      <c r="G167" s="253">
        <f>(G161/G166)/12*1000</f>
        <v>8295.257575757576</v>
      </c>
      <c r="H167" s="253"/>
      <c r="I167" s="187">
        <f>(I161/I166)/12*1000</f>
        <v>9008.7878787878799</v>
      </c>
      <c r="J167" s="253">
        <f>(J161/J166)/12*1000</f>
        <v>8985.4833333333336</v>
      </c>
      <c r="K167" s="246">
        <f>(K161/K166)/12*1000</f>
        <v>2237.2962962962961</v>
      </c>
      <c r="L167" s="246">
        <f>(L161/L166)/12*1000</f>
        <v>2005.6060606060603</v>
      </c>
      <c r="M167" s="246">
        <f>(M161/M166)/12*1000</f>
        <v>2540.2129629629626</v>
      </c>
      <c r="N167" s="246">
        <f>(N161/N166)/6*1000</f>
        <v>7292.2820512820508</v>
      </c>
      <c r="O167" s="246">
        <f>(O161/O166)/12*1000</f>
        <v>2554.8611111111113</v>
      </c>
      <c r="P167" s="247">
        <f>(P161/P166)/12*1000</f>
        <v>6173.4469696969709</v>
      </c>
      <c r="Q167" s="187">
        <f>(Q161/Q166)/12*1000</f>
        <v>9868.1759259259252</v>
      </c>
      <c r="R167" s="253">
        <f>(R161/R166)/12*1000</f>
        <v>8985.4833333333336</v>
      </c>
      <c r="S167" s="176">
        <f t="shared" si="39"/>
        <v>1.0982354048021077</v>
      </c>
      <c r="T167" s="176">
        <f t="shared" si="40"/>
        <v>1.0832072725014474</v>
      </c>
      <c r="U167" s="150"/>
      <c r="V167" s="283"/>
      <c r="W167" s="150"/>
      <c r="X167" s="150"/>
      <c r="Y167" s="150"/>
    </row>
    <row r="168" spans="1:25" ht="54.75" customHeight="1" thickBot="1">
      <c r="A168" s="417"/>
      <c r="B168" s="184"/>
      <c r="C168" s="183" t="s">
        <v>33</v>
      </c>
      <c r="D168" s="418" t="s">
        <v>327</v>
      </c>
      <c r="E168" s="419"/>
      <c r="F168" s="183">
        <f t="shared" si="47"/>
        <v>151</v>
      </c>
      <c r="G168" s="253">
        <f>(G161/G166)/12*1000</f>
        <v>8295.257575757576</v>
      </c>
      <c r="H168" s="253"/>
      <c r="I168" s="187">
        <f>(I161/I166)/12*1000</f>
        <v>9008.7878787878799</v>
      </c>
      <c r="J168" s="253">
        <f>(J161/J166)/12*1000</f>
        <v>8985.4833333333336</v>
      </c>
      <c r="K168" s="246">
        <f>(K161/K166)/12*1000</f>
        <v>2237.2962962962961</v>
      </c>
      <c r="L168" s="246">
        <f>(L161/L166)/12*1000</f>
        <v>2005.6060606060603</v>
      </c>
      <c r="M168" s="246">
        <f>(M161/M166)/12*1000</f>
        <v>2540.2129629629626</v>
      </c>
      <c r="N168" s="246">
        <f>(N161/N166)/6*1000</f>
        <v>7292.2820512820508</v>
      </c>
      <c r="O168" s="246">
        <f>(O161/O166)/12*1000</f>
        <v>2554.8611111111113</v>
      </c>
      <c r="P168" s="247">
        <f>(P161/P166)/12*1000</f>
        <v>6173.4469696969709</v>
      </c>
      <c r="Q168" s="187">
        <f>(Q161/Q166)/12*1000</f>
        <v>9868.1759259259252</v>
      </c>
      <c r="R168" s="253">
        <f>(R161/R166)/12*1000</f>
        <v>8985.4833333333336</v>
      </c>
      <c r="S168" s="176">
        <f t="shared" si="39"/>
        <v>1.0982354048021077</v>
      </c>
      <c r="T168" s="176">
        <f t="shared" si="40"/>
        <v>1.0832072725014474</v>
      </c>
      <c r="U168" s="150"/>
      <c r="V168" s="283"/>
      <c r="W168" s="150"/>
      <c r="X168" s="150"/>
      <c r="Y168" s="150"/>
    </row>
    <row r="169" spans="1:25" ht="57.75" customHeight="1" thickBot="1">
      <c r="A169" s="417"/>
      <c r="B169" s="184"/>
      <c r="C169" s="183" t="s">
        <v>81</v>
      </c>
      <c r="D169" s="418" t="s">
        <v>328</v>
      </c>
      <c r="E169" s="419"/>
      <c r="F169" s="183">
        <f t="shared" si="47"/>
        <v>152</v>
      </c>
      <c r="G169" s="253">
        <f>(G161/G166)/12*1000</f>
        <v>8295.257575757576</v>
      </c>
      <c r="H169" s="253"/>
      <c r="I169" s="187">
        <f>(I161/I166)/12*1000</f>
        <v>9008.7878787878799</v>
      </c>
      <c r="J169" s="253">
        <f>(J161/J166)/12*1000</f>
        <v>8985.4833333333336</v>
      </c>
      <c r="K169" s="246">
        <f>(K161/K166)/12*1000</f>
        <v>2237.2962962962961</v>
      </c>
      <c r="L169" s="246">
        <f>(L161/L166)/12*1000</f>
        <v>2005.6060606060603</v>
      </c>
      <c r="M169" s="246">
        <f>(M161/M166)/12*1000</f>
        <v>2540.2129629629626</v>
      </c>
      <c r="N169" s="246">
        <f>(N161/N166)/6*1000</f>
        <v>7292.2820512820508</v>
      </c>
      <c r="O169" s="246">
        <f>(O161/O166)/12*1000</f>
        <v>2554.8611111111113</v>
      </c>
      <c r="P169" s="247">
        <f>(P161/P166)/12*1000</f>
        <v>6173.4469696969709</v>
      </c>
      <c r="Q169" s="187">
        <f>(Q161/Q166)/12*1000</f>
        <v>9868.1759259259252</v>
      </c>
      <c r="R169" s="253">
        <f>(R161/R166)/12*1000</f>
        <v>8985.4833333333336</v>
      </c>
      <c r="S169" s="176">
        <f t="shared" si="39"/>
        <v>1.0982354048021077</v>
      </c>
      <c r="T169" s="176">
        <f t="shared" si="40"/>
        <v>1.0832072725014474</v>
      </c>
      <c r="U169" s="150"/>
      <c r="V169" s="283"/>
      <c r="W169" s="150"/>
      <c r="X169" s="150"/>
      <c r="Y169" s="150"/>
    </row>
    <row r="170" spans="1:25" ht="37.5" customHeight="1" thickBot="1">
      <c r="A170" s="417"/>
      <c r="B170" s="184">
        <v>7</v>
      </c>
      <c r="C170" s="183" t="s">
        <v>31</v>
      </c>
      <c r="D170" s="418" t="s">
        <v>329</v>
      </c>
      <c r="E170" s="418"/>
      <c r="F170" s="183">
        <f t="shared" si="47"/>
        <v>153</v>
      </c>
      <c r="G170" s="188">
        <f>G15/G166</f>
        <v>199.45727272727274</v>
      </c>
      <c r="H170" s="188"/>
      <c r="I170" s="202">
        <f t="shared" ref="I170:R170" si="48">I15/I166</f>
        <v>229.78900000000002</v>
      </c>
      <c r="J170" s="188">
        <f t="shared" si="48"/>
        <v>249.98949999999999</v>
      </c>
      <c r="K170" s="508">
        <f t="shared" si="48"/>
        <v>81.433444444444433</v>
      </c>
      <c r="L170" s="508">
        <f t="shared" si="48"/>
        <v>0</v>
      </c>
      <c r="M170" s="508">
        <f t="shared" si="48"/>
        <v>77.581777777777774</v>
      </c>
      <c r="N170" s="508">
        <f t="shared" si="48"/>
        <v>4.4999999999999998E-2</v>
      </c>
      <c r="O170" s="508">
        <f t="shared" si="48"/>
        <v>70.020666666666656</v>
      </c>
      <c r="P170" s="509">
        <f t="shared" si="48"/>
        <v>0</v>
      </c>
      <c r="Q170" s="202">
        <f t="shared" si="48"/>
        <v>306.12799999999999</v>
      </c>
      <c r="R170" s="188">
        <f t="shared" si="48"/>
        <v>6.9619</v>
      </c>
      <c r="S170" s="176">
        <f t="shared" si="39"/>
        <v>1.2245634316641298</v>
      </c>
      <c r="T170" s="176">
        <f t="shared" si="40"/>
        <v>1.253348632425263</v>
      </c>
      <c r="U170" s="150"/>
      <c r="V170" s="283"/>
      <c r="W170" s="150"/>
      <c r="X170" s="150"/>
      <c r="Y170" s="150"/>
    </row>
    <row r="171" spans="1:25" ht="42.75" customHeight="1" thickBot="1">
      <c r="A171" s="417"/>
      <c r="B171" s="417"/>
      <c r="C171" s="183" t="s">
        <v>33</v>
      </c>
      <c r="D171" s="418" t="s">
        <v>330</v>
      </c>
      <c r="E171" s="418"/>
      <c r="F171" s="183">
        <f t="shared" si="47"/>
        <v>154</v>
      </c>
      <c r="G171" s="253">
        <v>0</v>
      </c>
      <c r="H171" s="204"/>
      <c r="I171" s="187">
        <v>0</v>
      </c>
      <c r="J171" s="259">
        <v>0</v>
      </c>
      <c r="K171" s="266">
        <v>0</v>
      </c>
      <c r="L171" s="206"/>
      <c r="M171" s="206">
        <v>0</v>
      </c>
      <c r="N171" s="206"/>
      <c r="O171" s="206">
        <v>0</v>
      </c>
      <c r="P171" s="207"/>
      <c r="Q171" s="187">
        <v>0</v>
      </c>
      <c r="R171" s="205"/>
      <c r="S171" s="176" t="str">
        <f t="shared" si="39"/>
        <v>0</v>
      </c>
      <c r="T171" s="176" t="str">
        <f t="shared" si="40"/>
        <v>0</v>
      </c>
      <c r="U171" s="150"/>
      <c r="V171" s="283"/>
      <c r="W171" s="150"/>
      <c r="X171" s="150"/>
      <c r="Y171" s="150"/>
    </row>
    <row r="172" spans="1:25" ht="40.5" customHeight="1" thickBot="1">
      <c r="A172" s="417"/>
      <c r="B172" s="417"/>
      <c r="C172" s="183" t="s">
        <v>81</v>
      </c>
      <c r="D172" s="413" t="s">
        <v>331</v>
      </c>
      <c r="E172" s="413"/>
      <c r="F172" s="183">
        <f t="shared" si="47"/>
        <v>155</v>
      </c>
      <c r="G172" s="253"/>
      <c r="H172" s="204"/>
      <c r="I172" s="187"/>
      <c r="J172" s="259"/>
      <c r="K172" s="266"/>
      <c r="L172" s="206"/>
      <c r="M172" s="206"/>
      <c r="N172" s="206"/>
      <c r="O172" s="206"/>
      <c r="P172" s="207"/>
      <c r="Q172" s="187"/>
      <c r="R172" s="259">
        <v>0</v>
      </c>
      <c r="S172" s="176" t="str">
        <f t="shared" si="39"/>
        <v>0</v>
      </c>
      <c r="T172" s="176" t="str">
        <f t="shared" si="40"/>
        <v>0</v>
      </c>
      <c r="U172" s="150"/>
      <c r="V172" s="283"/>
      <c r="W172" s="150"/>
      <c r="X172" s="150"/>
      <c r="Y172" s="150"/>
    </row>
    <row r="173" spans="1:25" ht="21" customHeight="1" thickBot="1">
      <c r="A173" s="417"/>
      <c r="B173" s="417"/>
      <c r="C173" s="183" t="s">
        <v>157</v>
      </c>
      <c r="D173" s="418" t="s">
        <v>332</v>
      </c>
      <c r="E173" s="418"/>
      <c r="F173" s="183">
        <f t="shared" si="47"/>
        <v>156</v>
      </c>
      <c r="G173" s="253"/>
      <c r="H173" s="204"/>
      <c r="I173" s="187"/>
      <c r="J173" s="259"/>
      <c r="K173" s="206"/>
      <c r="L173" s="206"/>
      <c r="M173" s="206"/>
      <c r="N173" s="206"/>
      <c r="O173" s="206"/>
      <c r="P173" s="207"/>
      <c r="Q173" s="187"/>
      <c r="R173" s="205"/>
      <c r="S173" s="176" t="str">
        <f t="shared" si="39"/>
        <v>0</v>
      </c>
      <c r="T173" s="176" t="str">
        <f t="shared" si="40"/>
        <v>0</v>
      </c>
      <c r="U173" s="150"/>
      <c r="V173" s="283"/>
      <c r="W173" s="150"/>
      <c r="X173" s="150"/>
      <c r="Y173" s="150"/>
    </row>
    <row r="174" spans="1:25" ht="18" customHeight="1" thickBot="1">
      <c r="A174" s="417"/>
      <c r="B174" s="417"/>
      <c r="C174" s="417"/>
      <c r="D174" s="418"/>
      <c r="E174" s="184" t="s">
        <v>333</v>
      </c>
      <c r="F174" s="183">
        <f t="shared" si="47"/>
        <v>157</v>
      </c>
      <c r="G174" s="253"/>
      <c r="H174" s="204"/>
      <c r="I174" s="187"/>
      <c r="J174" s="259"/>
      <c r="K174" s="206"/>
      <c r="L174" s="206"/>
      <c r="M174" s="206"/>
      <c r="N174" s="206"/>
      <c r="O174" s="206"/>
      <c r="P174" s="207"/>
      <c r="Q174" s="187"/>
      <c r="R174" s="205"/>
      <c r="S174" s="176" t="str">
        <f t="shared" si="39"/>
        <v>0</v>
      </c>
      <c r="T174" s="176" t="str">
        <f t="shared" si="40"/>
        <v>0</v>
      </c>
      <c r="U174" s="150"/>
      <c r="V174" s="283"/>
      <c r="W174" s="150"/>
      <c r="X174" s="150"/>
      <c r="Y174" s="150"/>
    </row>
    <row r="175" spans="1:25" ht="18" customHeight="1" thickBot="1">
      <c r="A175" s="417"/>
      <c r="B175" s="417"/>
      <c r="C175" s="417"/>
      <c r="D175" s="418"/>
      <c r="E175" s="184" t="s">
        <v>334</v>
      </c>
      <c r="F175" s="183">
        <f t="shared" si="47"/>
        <v>158</v>
      </c>
      <c r="G175" s="253"/>
      <c r="H175" s="204"/>
      <c r="I175" s="187"/>
      <c r="J175" s="259"/>
      <c r="K175" s="206"/>
      <c r="L175" s="206"/>
      <c r="M175" s="206"/>
      <c r="N175" s="206"/>
      <c r="O175" s="206"/>
      <c r="P175" s="207"/>
      <c r="Q175" s="187"/>
      <c r="R175" s="205"/>
      <c r="S175" s="176" t="str">
        <f t="shared" si="39"/>
        <v>0</v>
      </c>
      <c r="T175" s="176" t="str">
        <f t="shared" si="40"/>
        <v>0</v>
      </c>
      <c r="U175" s="150"/>
      <c r="V175" s="283"/>
      <c r="W175" s="150"/>
      <c r="X175" s="150"/>
      <c r="Y175" s="150"/>
    </row>
    <row r="176" spans="1:25" ht="19.5" customHeight="1" thickBot="1">
      <c r="A176" s="417"/>
      <c r="B176" s="417"/>
      <c r="C176" s="417"/>
      <c r="D176" s="418"/>
      <c r="E176" s="184" t="s">
        <v>335</v>
      </c>
      <c r="F176" s="183">
        <f t="shared" si="47"/>
        <v>159</v>
      </c>
      <c r="G176" s="253"/>
      <c r="H176" s="204"/>
      <c r="I176" s="187"/>
      <c r="J176" s="259"/>
      <c r="K176" s="206"/>
      <c r="L176" s="206"/>
      <c r="M176" s="206"/>
      <c r="N176" s="206"/>
      <c r="O176" s="206"/>
      <c r="P176" s="207"/>
      <c r="Q176" s="187"/>
      <c r="R176" s="205"/>
      <c r="S176" s="176" t="str">
        <f t="shared" si="39"/>
        <v>0</v>
      </c>
      <c r="T176" s="176" t="str">
        <f t="shared" si="40"/>
        <v>0</v>
      </c>
      <c r="U176" s="150"/>
      <c r="V176" s="283"/>
      <c r="W176" s="150"/>
      <c r="X176" s="150"/>
      <c r="Y176" s="150"/>
    </row>
    <row r="177" spans="1:25" ht="24.75" customHeight="1" thickBot="1">
      <c r="A177" s="417"/>
      <c r="B177" s="417"/>
      <c r="C177" s="417"/>
      <c r="D177" s="418"/>
      <c r="E177" s="184" t="s">
        <v>336</v>
      </c>
      <c r="F177" s="183">
        <f t="shared" si="47"/>
        <v>160</v>
      </c>
      <c r="G177" s="253"/>
      <c r="H177" s="204"/>
      <c r="I177" s="187"/>
      <c r="J177" s="259"/>
      <c r="K177" s="206"/>
      <c r="L177" s="206"/>
      <c r="M177" s="206"/>
      <c r="N177" s="206"/>
      <c r="O177" s="206"/>
      <c r="P177" s="207"/>
      <c r="Q177" s="187"/>
      <c r="R177" s="205"/>
      <c r="S177" s="176" t="str">
        <f t="shared" si="39"/>
        <v>0</v>
      </c>
      <c r="T177" s="176" t="str">
        <f t="shared" si="40"/>
        <v>0</v>
      </c>
      <c r="U177" s="150"/>
      <c r="V177" s="283"/>
      <c r="W177" s="150"/>
      <c r="X177" s="150"/>
      <c r="Y177" s="150"/>
    </row>
    <row r="178" spans="1:25" ht="21" customHeight="1" thickBot="1">
      <c r="A178" s="417"/>
      <c r="B178" s="283">
        <v>8</v>
      </c>
      <c r="C178" s="283"/>
      <c r="D178" s="413" t="s">
        <v>337</v>
      </c>
      <c r="E178" s="413"/>
      <c r="F178" s="183">
        <f t="shared" si="47"/>
        <v>161</v>
      </c>
      <c r="G178" s="253"/>
      <c r="H178" s="204"/>
      <c r="I178" s="187"/>
      <c r="J178" s="259"/>
      <c r="K178" s="206"/>
      <c r="L178" s="206"/>
      <c r="M178" s="206"/>
      <c r="N178" s="206"/>
      <c r="O178" s="206"/>
      <c r="P178" s="207"/>
      <c r="Q178" s="187"/>
      <c r="R178" s="205"/>
      <c r="S178" s="176" t="str">
        <f t="shared" si="39"/>
        <v>0</v>
      </c>
      <c r="T178" s="176" t="str">
        <f t="shared" si="40"/>
        <v>0</v>
      </c>
      <c r="U178" s="150"/>
      <c r="V178" s="283"/>
      <c r="W178" s="150"/>
      <c r="X178" s="150"/>
      <c r="Y178" s="150"/>
    </row>
    <row r="179" spans="1:25" ht="22.5" customHeight="1" thickBot="1">
      <c r="A179" s="417"/>
      <c r="B179" s="283">
        <v>9</v>
      </c>
      <c r="C179" s="283"/>
      <c r="D179" s="413" t="s">
        <v>338</v>
      </c>
      <c r="E179" s="413"/>
      <c r="F179" s="183">
        <f t="shared" si="47"/>
        <v>162</v>
      </c>
      <c r="G179" s="253"/>
      <c r="H179" s="204"/>
      <c r="I179" s="187"/>
      <c r="J179" s="259"/>
      <c r="K179" s="206"/>
      <c r="L179" s="206"/>
      <c r="M179" s="206"/>
      <c r="N179" s="206"/>
      <c r="O179" s="206"/>
      <c r="P179" s="207"/>
      <c r="Q179" s="187"/>
      <c r="R179" s="205"/>
      <c r="S179" s="176" t="str">
        <f t="shared" si="39"/>
        <v>0</v>
      </c>
      <c r="T179" s="176" t="str">
        <f t="shared" si="40"/>
        <v>0</v>
      </c>
      <c r="U179" s="150"/>
      <c r="V179" s="283"/>
      <c r="W179" s="150"/>
      <c r="X179" s="150"/>
      <c r="Y179" s="150"/>
    </row>
    <row r="180" spans="1:25" ht="18" customHeight="1" thickBot="1">
      <c r="A180" s="417"/>
      <c r="B180" s="414"/>
      <c r="C180" s="283"/>
      <c r="D180" s="184"/>
      <c r="E180" s="184" t="s">
        <v>339</v>
      </c>
      <c r="F180" s="183">
        <f t="shared" si="47"/>
        <v>163</v>
      </c>
      <c r="G180" s="253"/>
      <c r="H180" s="204"/>
      <c r="I180" s="187"/>
      <c r="J180" s="259"/>
      <c r="K180" s="206"/>
      <c r="L180" s="206"/>
      <c r="M180" s="206"/>
      <c r="N180" s="206"/>
      <c r="O180" s="206"/>
      <c r="P180" s="207"/>
      <c r="Q180" s="187"/>
      <c r="R180" s="205"/>
      <c r="S180" s="176" t="str">
        <f t="shared" si="39"/>
        <v>0</v>
      </c>
      <c r="T180" s="176" t="str">
        <f t="shared" si="40"/>
        <v>0</v>
      </c>
      <c r="U180" s="150"/>
      <c r="V180" s="283"/>
      <c r="W180" s="150"/>
      <c r="X180" s="150"/>
      <c r="Y180" s="150"/>
    </row>
    <row r="181" spans="1:25" ht="20.25" customHeight="1" thickBot="1">
      <c r="A181" s="417"/>
      <c r="B181" s="414"/>
      <c r="C181" s="283"/>
      <c r="D181" s="184"/>
      <c r="E181" s="184" t="s">
        <v>340</v>
      </c>
      <c r="F181" s="183">
        <f t="shared" si="47"/>
        <v>164</v>
      </c>
      <c r="G181" s="253"/>
      <c r="H181" s="204"/>
      <c r="I181" s="187"/>
      <c r="J181" s="259"/>
      <c r="K181" s="206"/>
      <c r="L181" s="206"/>
      <c r="M181" s="206"/>
      <c r="N181" s="206"/>
      <c r="O181" s="206"/>
      <c r="P181" s="207"/>
      <c r="Q181" s="187"/>
      <c r="R181" s="205"/>
      <c r="S181" s="176" t="str">
        <f t="shared" si="39"/>
        <v>0</v>
      </c>
      <c r="T181" s="176" t="str">
        <f t="shared" si="40"/>
        <v>0</v>
      </c>
      <c r="U181" s="150"/>
      <c r="V181" s="283"/>
      <c r="W181" s="150"/>
      <c r="X181" s="150"/>
      <c r="Y181" s="150"/>
    </row>
    <row r="182" spans="1:25" ht="19.5" customHeight="1" thickBot="1">
      <c r="A182" s="417"/>
      <c r="B182" s="414"/>
      <c r="C182" s="283"/>
      <c r="D182" s="184"/>
      <c r="E182" s="184" t="s">
        <v>341</v>
      </c>
      <c r="F182" s="183">
        <f t="shared" si="47"/>
        <v>165</v>
      </c>
      <c r="G182" s="253"/>
      <c r="H182" s="204"/>
      <c r="I182" s="187"/>
      <c r="J182" s="259"/>
      <c r="K182" s="206"/>
      <c r="L182" s="206"/>
      <c r="M182" s="206"/>
      <c r="N182" s="206"/>
      <c r="O182" s="206"/>
      <c r="P182" s="207"/>
      <c r="Q182" s="187"/>
      <c r="R182" s="205"/>
      <c r="S182" s="176" t="str">
        <f t="shared" si="39"/>
        <v>0</v>
      </c>
      <c r="T182" s="176" t="str">
        <f t="shared" si="40"/>
        <v>0</v>
      </c>
      <c r="U182" s="150"/>
      <c r="V182" s="283"/>
      <c r="W182" s="150"/>
      <c r="X182" s="150"/>
      <c r="Y182" s="150"/>
    </row>
    <row r="183" spans="1:25" ht="17.25" customHeight="1" thickBot="1">
      <c r="A183" s="417"/>
      <c r="B183" s="414"/>
      <c r="C183" s="283"/>
      <c r="D183" s="184"/>
      <c r="E183" s="184" t="s">
        <v>342</v>
      </c>
      <c r="F183" s="183">
        <f t="shared" si="47"/>
        <v>166</v>
      </c>
      <c r="G183" s="253"/>
      <c r="H183" s="204"/>
      <c r="I183" s="222"/>
      <c r="J183" s="259"/>
      <c r="K183" s="206"/>
      <c r="L183" s="224"/>
      <c r="M183" s="224"/>
      <c r="N183" s="224"/>
      <c r="O183" s="224"/>
      <c r="P183" s="225"/>
      <c r="Q183" s="222"/>
      <c r="R183" s="205"/>
      <c r="S183" s="176" t="str">
        <f t="shared" si="39"/>
        <v>0</v>
      </c>
      <c r="T183" s="176" t="str">
        <f t="shared" si="40"/>
        <v>0</v>
      </c>
      <c r="U183" s="150"/>
      <c r="V183" s="283"/>
      <c r="W183" s="150"/>
      <c r="X183" s="150"/>
      <c r="Y183" s="150"/>
    </row>
    <row r="184" spans="1:25" ht="20.25" customHeight="1" thickBot="1">
      <c r="A184" s="417"/>
      <c r="B184" s="414"/>
      <c r="C184" s="283"/>
      <c r="D184" s="184"/>
      <c r="E184" s="184" t="s">
        <v>343</v>
      </c>
      <c r="F184" s="183">
        <f t="shared" si="47"/>
        <v>167</v>
      </c>
      <c r="G184" s="253"/>
      <c r="H184" s="204"/>
      <c r="I184" s="187"/>
      <c r="J184" s="259"/>
      <c r="K184" s="206"/>
      <c r="L184" s="206"/>
      <c r="M184" s="206"/>
      <c r="N184" s="206"/>
      <c r="O184" s="206"/>
      <c r="P184" s="207"/>
      <c r="Q184" s="187"/>
      <c r="R184" s="205"/>
      <c r="S184" s="176" t="str">
        <f t="shared" si="39"/>
        <v>0</v>
      </c>
      <c r="T184" s="176" t="str">
        <f t="shared" si="40"/>
        <v>0</v>
      </c>
      <c r="U184" s="150"/>
      <c r="V184" s="283"/>
      <c r="W184" s="150"/>
      <c r="X184" s="150"/>
      <c r="Y184" s="150"/>
    </row>
    <row r="185" spans="1:25" ht="36.75" customHeight="1" thickBot="1">
      <c r="A185" s="417"/>
      <c r="B185" s="283">
        <v>10</v>
      </c>
      <c r="C185" s="283"/>
      <c r="D185" s="413" t="s">
        <v>344</v>
      </c>
      <c r="E185" s="413"/>
      <c r="F185" s="183">
        <f t="shared" si="47"/>
        <v>168</v>
      </c>
      <c r="G185" s="253"/>
      <c r="H185" s="204"/>
      <c r="I185" s="187"/>
      <c r="J185" s="259"/>
      <c r="K185" s="206"/>
      <c r="L185" s="206"/>
      <c r="M185" s="206"/>
      <c r="N185" s="206"/>
      <c r="O185" s="206"/>
      <c r="P185" s="207"/>
      <c r="Q185" s="187"/>
      <c r="R185" s="223"/>
      <c r="S185" s="176" t="str">
        <f t="shared" si="39"/>
        <v>0</v>
      </c>
      <c r="T185" s="176" t="str">
        <f t="shared" si="40"/>
        <v>0</v>
      </c>
      <c r="U185" s="150"/>
      <c r="V185" s="283"/>
      <c r="W185" s="150"/>
      <c r="X185" s="150"/>
      <c r="Y185" s="150"/>
    </row>
    <row r="186" spans="1:25" ht="23.25" customHeight="1" thickBot="1">
      <c r="A186" s="417"/>
      <c r="B186" s="283">
        <v>11</v>
      </c>
      <c r="C186" s="283"/>
      <c r="D186" s="413" t="s">
        <v>345</v>
      </c>
      <c r="E186" s="413"/>
      <c r="F186" s="183">
        <f t="shared" si="47"/>
        <v>169</v>
      </c>
      <c r="G186" s="253"/>
      <c r="H186" s="204"/>
      <c r="I186" s="187"/>
      <c r="J186" s="259"/>
      <c r="K186" s="206"/>
      <c r="L186" s="206"/>
      <c r="M186" s="206"/>
      <c r="N186" s="206"/>
      <c r="O186" s="206"/>
      <c r="P186" s="207"/>
      <c r="Q186" s="187"/>
      <c r="R186" s="259"/>
      <c r="S186" s="176" t="str">
        <f t="shared" si="39"/>
        <v>0</v>
      </c>
      <c r="T186" s="176" t="str">
        <f t="shared" si="40"/>
        <v>0</v>
      </c>
      <c r="U186" s="150"/>
      <c r="V186" s="283"/>
      <c r="W186" s="150"/>
      <c r="X186" s="150"/>
      <c r="Y186" s="150"/>
    </row>
    <row r="187" spans="1:25" ht="23.25" customHeight="1" thickBot="1">
      <c r="A187" s="417"/>
      <c r="B187" s="283"/>
      <c r="C187" s="283"/>
      <c r="D187" s="183"/>
      <c r="E187" s="272" t="s">
        <v>346</v>
      </c>
      <c r="F187" s="183">
        <f t="shared" si="47"/>
        <v>170</v>
      </c>
      <c r="G187" s="253"/>
      <c r="H187" s="204"/>
      <c r="I187" s="187"/>
      <c r="J187" s="259"/>
      <c r="K187" s="206"/>
      <c r="L187" s="206"/>
      <c r="M187" s="206"/>
      <c r="N187" s="206"/>
      <c r="O187" s="206"/>
      <c r="P187" s="207"/>
      <c r="Q187" s="187"/>
      <c r="R187" s="259"/>
      <c r="S187" s="176" t="str">
        <f t="shared" si="39"/>
        <v>0</v>
      </c>
      <c r="T187" s="176" t="str">
        <f t="shared" si="40"/>
        <v>0</v>
      </c>
      <c r="U187" s="150"/>
      <c r="V187" s="283"/>
      <c r="W187" s="150"/>
      <c r="X187" s="150"/>
      <c r="Y187" s="150"/>
    </row>
    <row r="188" spans="1:25" ht="20.25" customHeight="1">
      <c r="A188" s="417"/>
      <c r="B188" s="283"/>
      <c r="C188" s="283"/>
      <c r="D188" s="183"/>
      <c r="E188" s="272" t="s">
        <v>347</v>
      </c>
      <c r="F188" s="183">
        <f t="shared" si="47"/>
        <v>171</v>
      </c>
      <c r="G188" s="253"/>
      <c r="H188" s="204"/>
      <c r="I188" s="187"/>
      <c r="J188" s="259"/>
      <c r="K188" s="206"/>
      <c r="L188" s="206"/>
      <c r="M188" s="206"/>
      <c r="N188" s="206"/>
      <c r="O188" s="206"/>
      <c r="P188" s="207"/>
      <c r="Q188" s="187"/>
      <c r="R188" s="259"/>
      <c r="S188" s="176" t="str">
        <f t="shared" si="39"/>
        <v>0</v>
      </c>
      <c r="T188" s="176" t="str">
        <f t="shared" si="40"/>
        <v>0</v>
      </c>
      <c r="U188" s="150"/>
      <c r="V188" s="283"/>
      <c r="W188" s="150"/>
      <c r="X188" s="150"/>
      <c r="Y188" s="150"/>
    </row>
    <row r="189" spans="1:25">
      <c r="A189" s="417"/>
      <c r="B189" s="284"/>
      <c r="C189" s="284"/>
      <c r="D189" s="284"/>
      <c r="E189" s="284"/>
      <c r="F189" s="284"/>
      <c r="G189" s="285"/>
      <c r="H189" s="285"/>
      <c r="I189" s="285"/>
      <c r="J189" s="285"/>
      <c r="K189" s="286"/>
      <c r="L189" s="286"/>
      <c r="M189" s="286"/>
      <c r="N189" s="286"/>
      <c r="O189" s="286"/>
      <c r="P189" s="285"/>
      <c r="Q189" s="285"/>
      <c r="R189" s="285"/>
      <c r="S189" s="285"/>
      <c r="T189" s="285"/>
      <c r="U189" s="150"/>
      <c r="V189" s="150"/>
      <c r="W189" s="150"/>
      <c r="X189" s="150"/>
      <c r="Y189" s="150"/>
    </row>
    <row r="190" spans="1:25">
      <c r="A190" s="150"/>
      <c r="B190" s="284"/>
      <c r="C190" s="284"/>
      <c r="D190" s="284"/>
      <c r="E190" s="284"/>
      <c r="F190" s="284"/>
      <c r="H190" s="411" t="s">
        <v>348</v>
      </c>
      <c r="I190" s="411"/>
      <c r="J190" s="411"/>
      <c r="K190" s="411"/>
      <c r="L190" s="411"/>
      <c r="M190" s="411"/>
      <c r="N190" s="411"/>
      <c r="O190" s="411"/>
      <c r="P190" s="411"/>
      <c r="Q190" s="411"/>
      <c r="R190" s="284"/>
      <c r="S190" s="284"/>
      <c r="T190" s="150"/>
      <c r="U190" s="284"/>
    </row>
    <row r="191" spans="1:25">
      <c r="A191" s="411" t="s">
        <v>113</v>
      </c>
      <c r="B191" s="411"/>
      <c r="C191" s="411"/>
      <c r="D191" s="411"/>
      <c r="E191" s="411"/>
      <c r="G191" s="411"/>
      <c r="H191" s="411"/>
      <c r="I191" s="150"/>
      <c r="J191" s="411" t="s">
        <v>349</v>
      </c>
      <c r="K191" s="411"/>
      <c r="L191" s="411"/>
      <c r="M191" s="411"/>
      <c r="N191" s="288"/>
      <c r="O191" s="154"/>
      <c r="P191" s="150"/>
      <c r="Q191" s="150"/>
      <c r="R191" s="150"/>
      <c r="S191" s="150"/>
      <c r="T191" s="150"/>
    </row>
    <row r="192" spans="1:25">
      <c r="A192" s="411" t="s">
        <v>115</v>
      </c>
      <c r="B192" s="411"/>
      <c r="C192" s="411"/>
      <c r="D192" s="411"/>
      <c r="E192" s="411"/>
      <c r="G192" s="150"/>
      <c r="H192" s="150"/>
      <c r="I192" s="150"/>
      <c r="J192" s="411" t="s">
        <v>118</v>
      </c>
      <c r="K192" s="411"/>
      <c r="L192" s="411"/>
      <c r="M192" s="411"/>
      <c r="N192" s="288"/>
      <c r="O192" s="154"/>
      <c r="P192" s="150"/>
      <c r="Q192" s="150"/>
      <c r="R192" s="150"/>
      <c r="S192" s="150"/>
      <c r="T192" s="150"/>
    </row>
    <row r="193" spans="1:5">
      <c r="A193" s="412" t="s">
        <v>117</v>
      </c>
      <c r="B193" s="412"/>
      <c r="C193" s="412"/>
      <c r="D193" s="412"/>
      <c r="E193" s="412"/>
    </row>
  </sheetData>
  <mergeCells count="159">
    <mergeCell ref="S10:S11"/>
    <mergeCell ref="T10:T11"/>
    <mergeCell ref="H11:I11"/>
    <mergeCell ref="J11:J12"/>
    <mergeCell ref="K11:R11"/>
    <mergeCell ref="K12:L12"/>
    <mergeCell ref="M12:N12"/>
    <mergeCell ref="O12:P12"/>
    <mergeCell ref="I1:T1"/>
    <mergeCell ref="A5:T6"/>
    <mergeCell ref="A7:T7"/>
    <mergeCell ref="A9:T9"/>
    <mergeCell ref="A10:C12"/>
    <mergeCell ref="D10:E12"/>
    <mergeCell ref="F10:F12"/>
    <mergeCell ref="G10:G11"/>
    <mergeCell ref="H10:J10"/>
    <mergeCell ref="K10:R10"/>
    <mergeCell ref="B13:C13"/>
    <mergeCell ref="D13:E13"/>
    <mergeCell ref="D14:E14"/>
    <mergeCell ref="A15:A40"/>
    <mergeCell ref="D15:E15"/>
    <mergeCell ref="B16:B34"/>
    <mergeCell ref="D16:E16"/>
    <mergeCell ref="C17:C20"/>
    <mergeCell ref="D21:E21"/>
    <mergeCell ref="D22:E22"/>
    <mergeCell ref="B36:B40"/>
    <mergeCell ref="D36:E36"/>
    <mergeCell ref="D37:E37"/>
    <mergeCell ref="D38:E38"/>
    <mergeCell ref="D39:E39"/>
    <mergeCell ref="D40:E40"/>
    <mergeCell ref="C23:C24"/>
    <mergeCell ref="D25:E25"/>
    <mergeCell ref="D26:E26"/>
    <mergeCell ref="D27:E27"/>
    <mergeCell ref="C28:C34"/>
    <mergeCell ref="D35:E35"/>
    <mergeCell ref="B41:E41"/>
    <mergeCell ref="A42:A150"/>
    <mergeCell ref="C42:E42"/>
    <mergeCell ref="B43:B142"/>
    <mergeCell ref="C43:E43"/>
    <mergeCell ref="D44:E44"/>
    <mergeCell ref="D45:E45"/>
    <mergeCell ref="D46:E46"/>
    <mergeCell ref="C47:C48"/>
    <mergeCell ref="D49:E49"/>
    <mergeCell ref="D57:E57"/>
    <mergeCell ref="D58:E58"/>
    <mergeCell ref="D59:E59"/>
    <mergeCell ref="D60:E60"/>
    <mergeCell ref="D62:E62"/>
    <mergeCell ref="C63:C68"/>
    <mergeCell ref="D66:D68"/>
    <mergeCell ref="D50:E50"/>
    <mergeCell ref="D51:E51"/>
    <mergeCell ref="D52:E52"/>
    <mergeCell ref="D53:E53"/>
    <mergeCell ref="D54:E54"/>
    <mergeCell ref="C55:C56"/>
    <mergeCell ref="D79:E79"/>
    <mergeCell ref="D80:E80"/>
    <mergeCell ref="D81:E81"/>
    <mergeCell ref="C82:C89"/>
    <mergeCell ref="D90:E90"/>
    <mergeCell ref="C91:E91"/>
    <mergeCell ref="D69:E69"/>
    <mergeCell ref="C70:C73"/>
    <mergeCell ref="D74:E74"/>
    <mergeCell ref="D75:E75"/>
    <mergeCell ref="C76:C78"/>
    <mergeCell ref="D76:E76"/>
    <mergeCell ref="D77:E77"/>
    <mergeCell ref="D78:E78"/>
    <mergeCell ref="C98:E98"/>
    <mergeCell ref="D99:E99"/>
    <mergeCell ref="D100:E100"/>
    <mergeCell ref="D101:E101"/>
    <mergeCell ref="C102:C103"/>
    <mergeCell ref="D102:E102"/>
    <mergeCell ref="D103:E103"/>
    <mergeCell ref="D92:E92"/>
    <mergeCell ref="D93:E93"/>
    <mergeCell ref="D94:E94"/>
    <mergeCell ref="D95:E95"/>
    <mergeCell ref="D96:E96"/>
    <mergeCell ref="D97:E97"/>
    <mergeCell ref="D112:E112"/>
    <mergeCell ref="C113:C115"/>
    <mergeCell ref="D113:E113"/>
    <mergeCell ref="D114:E114"/>
    <mergeCell ref="D115:E115"/>
    <mergeCell ref="D116:E116"/>
    <mergeCell ref="D104:E104"/>
    <mergeCell ref="C105:C111"/>
    <mergeCell ref="D105:E105"/>
    <mergeCell ref="D106:D107"/>
    <mergeCell ref="D108:E108"/>
    <mergeCell ref="D109:E109"/>
    <mergeCell ref="D110:E110"/>
    <mergeCell ref="D111:E111"/>
    <mergeCell ref="C126:E126"/>
    <mergeCell ref="D127:E127"/>
    <mergeCell ref="D128:E128"/>
    <mergeCell ref="D129:E129"/>
    <mergeCell ref="D130:E130"/>
    <mergeCell ref="D131:E131"/>
    <mergeCell ref="C117:C124"/>
    <mergeCell ref="D117:E117"/>
    <mergeCell ref="D120:E120"/>
    <mergeCell ref="D123:E123"/>
    <mergeCell ref="D124:E124"/>
    <mergeCell ref="D125:E125"/>
    <mergeCell ref="B144:B150"/>
    <mergeCell ref="D144:E144"/>
    <mergeCell ref="C145:C146"/>
    <mergeCell ref="D147:E147"/>
    <mergeCell ref="C148:C149"/>
    <mergeCell ref="D150:E150"/>
    <mergeCell ref="D132:E132"/>
    <mergeCell ref="D133:E133"/>
    <mergeCell ref="D134:E134"/>
    <mergeCell ref="C135:C142"/>
    <mergeCell ref="D140:D142"/>
    <mergeCell ref="D143:E143"/>
    <mergeCell ref="D151:E151"/>
    <mergeCell ref="D154:E154"/>
    <mergeCell ref="D155:E155"/>
    <mergeCell ref="A156:A189"/>
    <mergeCell ref="D156:E156"/>
    <mergeCell ref="D159:E159"/>
    <mergeCell ref="D161:E161"/>
    <mergeCell ref="D165:E165"/>
    <mergeCell ref="D166:E166"/>
    <mergeCell ref="D167:E167"/>
    <mergeCell ref="D168:E168"/>
    <mergeCell ref="D169:E169"/>
    <mergeCell ref="D170:E170"/>
    <mergeCell ref="B171:B177"/>
    <mergeCell ref="D171:E171"/>
    <mergeCell ref="D172:E172"/>
    <mergeCell ref="D173:E173"/>
    <mergeCell ref="C174:C177"/>
    <mergeCell ref="D174:D177"/>
    <mergeCell ref="A191:E191"/>
    <mergeCell ref="G191:H191"/>
    <mergeCell ref="J191:M191"/>
    <mergeCell ref="A192:E192"/>
    <mergeCell ref="J192:M192"/>
    <mergeCell ref="A193:E193"/>
    <mergeCell ref="D178:E178"/>
    <mergeCell ref="D179:E179"/>
    <mergeCell ref="B180:B184"/>
    <mergeCell ref="D185:E185"/>
    <mergeCell ref="D186:E186"/>
    <mergeCell ref="H190:Q190"/>
  </mergeCells>
  <printOptions horizontalCentered="1" verticalCentered="1"/>
  <pageMargins left="0" right="0" top="0" bottom="0" header="0" footer="0"/>
  <pageSetup paperSize="9" scale="50" orientation="landscape" r:id="rId1"/>
  <rowBreaks count="6" manualBreakCount="6">
    <brk id="40" max="21" man="1"/>
    <brk id="65" max="21" man="1"/>
    <brk id="97" max="21" man="1"/>
    <brk id="125" max="21" man="1"/>
    <brk id="150" max="21" man="1"/>
    <brk id="171" max="2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21"/>
  <sheetViews>
    <sheetView view="pageBreakPreview" zoomScaleSheetLayoutView="100" workbookViewId="0">
      <selection activeCell="H64" sqref="H64"/>
    </sheetView>
  </sheetViews>
  <sheetFormatPr defaultRowHeight="18"/>
  <cols>
    <col min="1" max="1" width="9.28515625" style="144" bestFit="1" customWidth="1"/>
    <col min="2" max="2" width="49" style="144" customWidth="1"/>
    <col min="3" max="3" width="17" style="144" customWidth="1"/>
    <col min="4" max="4" width="16.5703125" style="144" customWidth="1"/>
    <col min="5" max="5" width="10" style="144" customWidth="1"/>
    <col min="6" max="6" width="19.5703125" style="144" customWidth="1"/>
    <col min="7" max="7" width="19.140625" style="144" customWidth="1"/>
    <col min="8" max="8" width="9.140625" style="144" customWidth="1"/>
    <col min="9" max="256" width="9.140625" style="144"/>
    <col min="257" max="257" width="9.28515625" style="144" bestFit="1" customWidth="1"/>
    <col min="258" max="258" width="49" style="144" customWidth="1"/>
    <col min="259" max="259" width="17" style="144" customWidth="1"/>
    <col min="260" max="260" width="16.5703125" style="144" customWidth="1"/>
    <col min="261" max="261" width="10" style="144" customWidth="1"/>
    <col min="262" max="262" width="19.5703125" style="144" customWidth="1"/>
    <col min="263" max="263" width="19.140625" style="144" customWidth="1"/>
    <col min="264" max="512" width="9.140625" style="144"/>
    <col min="513" max="513" width="9.28515625" style="144" bestFit="1" customWidth="1"/>
    <col min="514" max="514" width="49" style="144" customWidth="1"/>
    <col min="515" max="515" width="17" style="144" customWidth="1"/>
    <col min="516" max="516" width="16.5703125" style="144" customWidth="1"/>
    <col min="517" max="517" width="10" style="144" customWidth="1"/>
    <col min="518" max="518" width="19.5703125" style="144" customWidth="1"/>
    <col min="519" max="519" width="19.140625" style="144" customWidth="1"/>
    <col min="520" max="768" width="9.140625" style="144"/>
    <col min="769" max="769" width="9.28515625" style="144" bestFit="1" customWidth="1"/>
    <col min="770" max="770" width="49" style="144" customWidth="1"/>
    <col min="771" max="771" width="17" style="144" customWidth="1"/>
    <col min="772" max="772" width="16.5703125" style="144" customWidth="1"/>
    <col min="773" max="773" width="10" style="144" customWidth="1"/>
    <col min="774" max="774" width="19.5703125" style="144" customWidth="1"/>
    <col min="775" max="775" width="19.140625" style="144" customWidth="1"/>
    <col min="776" max="1024" width="9.140625" style="144"/>
    <col min="1025" max="1025" width="9.28515625" style="144" bestFit="1" customWidth="1"/>
    <col min="1026" max="1026" width="49" style="144" customWidth="1"/>
    <col min="1027" max="1027" width="17" style="144" customWidth="1"/>
    <col min="1028" max="1028" width="16.5703125" style="144" customWidth="1"/>
    <col min="1029" max="1029" width="10" style="144" customWidth="1"/>
    <col min="1030" max="1030" width="19.5703125" style="144" customWidth="1"/>
    <col min="1031" max="1031" width="19.140625" style="144" customWidth="1"/>
    <col min="1032" max="1280" width="9.140625" style="144"/>
    <col min="1281" max="1281" width="9.28515625" style="144" bestFit="1" customWidth="1"/>
    <col min="1282" max="1282" width="49" style="144" customWidth="1"/>
    <col min="1283" max="1283" width="17" style="144" customWidth="1"/>
    <col min="1284" max="1284" width="16.5703125" style="144" customWidth="1"/>
    <col min="1285" max="1285" width="10" style="144" customWidth="1"/>
    <col min="1286" max="1286" width="19.5703125" style="144" customWidth="1"/>
    <col min="1287" max="1287" width="19.140625" style="144" customWidth="1"/>
    <col min="1288" max="1536" width="9.140625" style="144"/>
    <col min="1537" max="1537" width="9.28515625" style="144" bestFit="1" customWidth="1"/>
    <col min="1538" max="1538" width="49" style="144" customWidth="1"/>
    <col min="1539" max="1539" width="17" style="144" customWidth="1"/>
    <col min="1540" max="1540" width="16.5703125" style="144" customWidth="1"/>
    <col min="1541" max="1541" width="10" style="144" customWidth="1"/>
    <col min="1542" max="1542" width="19.5703125" style="144" customWidth="1"/>
    <col min="1543" max="1543" width="19.140625" style="144" customWidth="1"/>
    <col min="1544" max="1792" width="9.140625" style="144"/>
    <col min="1793" max="1793" width="9.28515625" style="144" bestFit="1" customWidth="1"/>
    <col min="1794" max="1794" width="49" style="144" customWidth="1"/>
    <col min="1795" max="1795" width="17" style="144" customWidth="1"/>
    <col min="1796" max="1796" width="16.5703125" style="144" customWidth="1"/>
    <col min="1797" max="1797" width="10" style="144" customWidth="1"/>
    <col min="1798" max="1798" width="19.5703125" style="144" customWidth="1"/>
    <col min="1799" max="1799" width="19.140625" style="144" customWidth="1"/>
    <col min="1800" max="2048" width="9.140625" style="144"/>
    <col min="2049" max="2049" width="9.28515625" style="144" bestFit="1" customWidth="1"/>
    <col min="2050" max="2050" width="49" style="144" customWidth="1"/>
    <col min="2051" max="2051" width="17" style="144" customWidth="1"/>
    <col min="2052" max="2052" width="16.5703125" style="144" customWidth="1"/>
    <col min="2053" max="2053" width="10" style="144" customWidth="1"/>
    <col min="2054" max="2054" width="19.5703125" style="144" customWidth="1"/>
    <col min="2055" max="2055" width="19.140625" style="144" customWidth="1"/>
    <col min="2056" max="2304" width="9.140625" style="144"/>
    <col min="2305" max="2305" width="9.28515625" style="144" bestFit="1" customWidth="1"/>
    <col min="2306" max="2306" width="49" style="144" customWidth="1"/>
    <col min="2307" max="2307" width="17" style="144" customWidth="1"/>
    <col min="2308" max="2308" width="16.5703125" style="144" customWidth="1"/>
    <col min="2309" max="2309" width="10" style="144" customWidth="1"/>
    <col min="2310" max="2310" width="19.5703125" style="144" customWidth="1"/>
    <col min="2311" max="2311" width="19.140625" style="144" customWidth="1"/>
    <col min="2312" max="2560" width="9.140625" style="144"/>
    <col min="2561" max="2561" width="9.28515625" style="144" bestFit="1" customWidth="1"/>
    <col min="2562" max="2562" width="49" style="144" customWidth="1"/>
    <col min="2563" max="2563" width="17" style="144" customWidth="1"/>
    <col min="2564" max="2564" width="16.5703125" style="144" customWidth="1"/>
    <col min="2565" max="2565" width="10" style="144" customWidth="1"/>
    <col min="2566" max="2566" width="19.5703125" style="144" customWidth="1"/>
    <col min="2567" max="2567" width="19.140625" style="144" customWidth="1"/>
    <col min="2568" max="2816" width="9.140625" style="144"/>
    <col min="2817" max="2817" width="9.28515625" style="144" bestFit="1" customWidth="1"/>
    <col min="2818" max="2818" width="49" style="144" customWidth="1"/>
    <col min="2819" max="2819" width="17" style="144" customWidth="1"/>
    <col min="2820" max="2820" width="16.5703125" style="144" customWidth="1"/>
    <col min="2821" max="2821" width="10" style="144" customWidth="1"/>
    <col min="2822" max="2822" width="19.5703125" style="144" customWidth="1"/>
    <col min="2823" max="2823" width="19.140625" style="144" customWidth="1"/>
    <col min="2824" max="3072" width="9.140625" style="144"/>
    <col min="3073" max="3073" width="9.28515625" style="144" bestFit="1" customWidth="1"/>
    <col min="3074" max="3074" width="49" style="144" customWidth="1"/>
    <col min="3075" max="3075" width="17" style="144" customWidth="1"/>
    <col min="3076" max="3076" width="16.5703125" style="144" customWidth="1"/>
    <col min="3077" max="3077" width="10" style="144" customWidth="1"/>
    <col min="3078" max="3078" width="19.5703125" style="144" customWidth="1"/>
    <col min="3079" max="3079" width="19.140625" style="144" customWidth="1"/>
    <col min="3080" max="3328" width="9.140625" style="144"/>
    <col min="3329" max="3329" width="9.28515625" style="144" bestFit="1" customWidth="1"/>
    <col min="3330" max="3330" width="49" style="144" customWidth="1"/>
    <col min="3331" max="3331" width="17" style="144" customWidth="1"/>
    <col min="3332" max="3332" width="16.5703125" style="144" customWidth="1"/>
    <col min="3333" max="3333" width="10" style="144" customWidth="1"/>
    <col min="3334" max="3334" width="19.5703125" style="144" customWidth="1"/>
    <col min="3335" max="3335" width="19.140625" style="144" customWidth="1"/>
    <col min="3336" max="3584" width="9.140625" style="144"/>
    <col min="3585" max="3585" width="9.28515625" style="144" bestFit="1" customWidth="1"/>
    <col min="3586" max="3586" width="49" style="144" customWidth="1"/>
    <col min="3587" max="3587" width="17" style="144" customWidth="1"/>
    <col min="3588" max="3588" width="16.5703125" style="144" customWidth="1"/>
    <col min="3589" max="3589" width="10" style="144" customWidth="1"/>
    <col min="3590" max="3590" width="19.5703125" style="144" customWidth="1"/>
    <col min="3591" max="3591" width="19.140625" style="144" customWidth="1"/>
    <col min="3592" max="3840" width="9.140625" style="144"/>
    <col min="3841" max="3841" width="9.28515625" style="144" bestFit="1" customWidth="1"/>
    <col min="3842" max="3842" width="49" style="144" customWidth="1"/>
    <col min="3843" max="3843" width="17" style="144" customWidth="1"/>
    <col min="3844" max="3844" width="16.5703125" style="144" customWidth="1"/>
    <col min="3845" max="3845" width="10" style="144" customWidth="1"/>
    <col min="3846" max="3846" width="19.5703125" style="144" customWidth="1"/>
    <col min="3847" max="3847" width="19.140625" style="144" customWidth="1"/>
    <col min="3848" max="4096" width="9.140625" style="144"/>
    <col min="4097" max="4097" width="9.28515625" style="144" bestFit="1" customWidth="1"/>
    <col min="4098" max="4098" width="49" style="144" customWidth="1"/>
    <col min="4099" max="4099" width="17" style="144" customWidth="1"/>
    <col min="4100" max="4100" width="16.5703125" style="144" customWidth="1"/>
    <col min="4101" max="4101" width="10" style="144" customWidth="1"/>
    <col min="4102" max="4102" width="19.5703125" style="144" customWidth="1"/>
    <col min="4103" max="4103" width="19.140625" style="144" customWidth="1"/>
    <col min="4104" max="4352" width="9.140625" style="144"/>
    <col min="4353" max="4353" width="9.28515625" style="144" bestFit="1" customWidth="1"/>
    <col min="4354" max="4354" width="49" style="144" customWidth="1"/>
    <col min="4355" max="4355" width="17" style="144" customWidth="1"/>
    <col min="4356" max="4356" width="16.5703125" style="144" customWidth="1"/>
    <col min="4357" max="4357" width="10" style="144" customWidth="1"/>
    <col min="4358" max="4358" width="19.5703125" style="144" customWidth="1"/>
    <col min="4359" max="4359" width="19.140625" style="144" customWidth="1"/>
    <col min="4360" max="4608" width="9.140625" style="144"/>
    <col min="4609" max="4609" width="9.28515625" style="144" bestFit="1" customWidth="1"/>
    <col min="4610" max="4610" width="49" style="144" customWidth="1"/>
    <col min="4611" max="4611" width="17" style="144" customWidth="1"/>
    <col min="4612" max="4612" width="16.5703125" style="144" customWidth="1"/>
    <col min="4613" max="4613" width="10" style="144" customWidth="1"/>
    <col min="4614" max="4614" width="19.5703125" style="144" customWidth="1"/>
    <col min="4615" max="4615" width="19.140625" style="144" customWidth="1"/>
    <col min="4616" max="4864" width="9.140625" style="144"/>
    <col min="4865" max="4865" width="9.28515625" style="144" bestFit="1" customWidth="1"/>
    <col min="4866" max="4866" width="49" style="144" customWidth="1"/>
    <col min="4867" max="4867" width="17" style="144" customWidth="1"/>
    <col min="4868" max="4868" width="16.5703125" style="144" customWidth="1"/>
    <col min="4869" max="4869" width="10" style="144" customWidth="1"/>
    <col min="4870" max="4870" width="19.5703125" style="144" customWidth="1"/>
    <col min="4871" max="4871" width="19.140625" style="144" customWidth="1"/>
    <col min="4872" max="5120" width="9.140625" style="144"/>
    <col min="5121" max="5121" width="9.28515625" style="144" bestFit="1" customWidth="1"/>
    <col min="5122" max="5122" width="49" style="144" customWidth="1"/>
    <col min="5123" max="5123" width="17" style="144" customWidth="1"/>
    <col min="5124" max="5124" width="16.5703125" style="144" customWidth="1"/>
    <col min="5125" max="5125" width="10" style="144" customWidth="1"/>
    <col min="5126" max="5126" width="19.5703125" style="144" customWidth="1"/>
    <col min="5127" max="5127" width="19.140625" style="144" customWidth="1"/>
    <col min="5128" max="5376" width="9.140625" style="144"/>
    <col min="5377" max="5377" width="9.28515625" style="144" bestFit="1" customWidth="1"/>
    <col min="5378" max="5378" width="49" style="144" customWidth="1"/>
    <col min="5379" max="5379" width="17" style="144" customWidth="1"/>
    <col min="5380" max="5380" width="16.5703125" style="144" customWidth="1"/>
    <col min="5381" max="5381" width="10" style="144" customWidth="1"/>
    <col min="5382" max="5382" width="19.5703125" style="144" customWidth="1"/>
    <col min="5383" max="5383" width="19.140625" style="144" customWidth="1"/>
    <col min="5384" max="5632" width="9.140625" style="144"/>
    <col min="5633" max="5633" width="9.28515625" style="144" bestFit="1" customWidth="1"/>
    <col min="5634" max="5634" width="49" style="144" customWidth="1"/>
    <col min="5635" max="5635" width="17" style="144" customWidth="1"/>
    <col min="5636" max="5636" width="16.5703125" style="144" customWidth="1"/>
    <col min="5637" max="5637" width="10" style="144" customWidth="1"/>
    <col min="5638" max="5638" width="19.5703125" style="144" customWidth="1"/>
    <col min="5639" max="5639" width="19.140625" style="144" customWidth="1"/>
    <col min="5640" max="5888" width="9.140625" style="144"/>
    <col min="5889" max="5889" width="9.28515625" style="144" bestFit="1" customWidth="1"/>
    <col min="5890" max="5890" width="49" style="144" customWidth="1"/>
    <col min="5891" max="5891" width="17" style="144" customWidth="1"/>
    <col min="5892" max="5892" width="16.5703125" style="144" customWidth="1"/>
    <col min="5893" max="5893" width="10" style="144" customWidth="1"/>
    <col min="5894" max="5894" width="19.5703125" style="144" customWidth="1"/>
    <col min="5895" max="5895" width="19.140625" style="144" customWidth="1"/>
    <col min="5896" max="6144" width="9.140625" style="144"/>
    <col min="6145" max="6145" width="9.28515625" style="144" bestFit="1" customWidth="1"/>
    <col min="6146" max="6146" width="49" style="144" customWidth="1"/>
    <col min="6147" max="6147" width="17" style="144" customWidth="1"/>
    <col min="6148" max="6148" width="16.5703125" style="144" customWidth="1"/>
    <col min="6149" max="6149" width="10" style="144" customWidth="1"/>
    <col min="6150" max="6150" width="19.5703125" style="144" customWidth="1"/>
    <col min="6151" max="6151" width="19.140625" style="144" customWidth="1"/>
    <col min="6152" max="6400" width="9.140625" style="144"/>
    <col min="6401" max="6401" width="9.28515625" style="144" bestFit="1" customWidth="1"/>
    <col min="6402" max="6402" width="49" style="144" customWidth="1"/>
    <col min="6403" max="6403" width="17" style="144" customWidth="1"/>
    <col min="6404" max="6404" width="16.5703125" style="144" customWidth="1"/>
    <col min="6405" max="6405" width="10" style="144" customWidth="1"/>
    <col min="6406" max="6406" width="19.5703125" style="144" customWidth="1"/>
    <col min="6407" max="6407" width="19.140625" style="144" customWidth="1"/>
    <col min="6408" max="6656" width="9.140625" style="144"/>
    <col min="6657" max="6657" width="9.28515625" style="144" bestFit="1" customWidth="1"/>
    <col min="6658" max="6658" width="49" style="144" customWidth="1"/>
    <col min="6659" max="6659" width="17" style="144" customWidth="1"/>
    <col min="6660" max="6660" width="16.5703125" style="144" customWidth="1"/>
    <col min="6661" max="6661" width="10" style="144" customWidth="1"/>
    <col min="6662" max="6662" width="19.5703125" style="144" customWidth="1"/>
    <col min="6663" max="6663" width="19.140625" style="144" customWidth="1"/>
    <col min="6664" max="6912" width="9.140625" style="144"/>
    <col min="6913" max="6913" width="9.28515625" style="144" bestFit="1" customWidth="1"/>
    <col min="6914" max="6914" width="49" style="144" customWidth="1"/>
    <col min="6915" max="6915" width="17" style="144" customWidth="1"/>
    <col min="6916" max="6916" width="16.5703125" style="144" customWidth="1"/>
    <col min="6917" max="6917" width="10" style="144" customWidth="1"/>
    <col min="6918" max="6918" width="19.5703125" style="144" customWidth="1"/>
    <col min="6919" max="6919" width="19.140625" style="144" customWidth="1"/>
    <col min="6920" max="7168" width="9.140625" style="144"/>
    <col min="7169" max="7169" width="9.28515625" style="144" bestFit="1" customWidth="1"/>
    <col min="7170" max="7170" width="49" style="144" customWidth="1"/>
    <col min="7171" max="7171" width="17" style="144" customWidth="1"/>
    <col min="7172" max="7172" width="16.5703125" style="144" customWidth="1"/>
    <col min="7173" max="7173" width="10" style="144" customWidth="1"/>
    <col min="7174" max="7174" width="19.5703125" style="144" customWidth="1"/>
    <col min="7175" max="7175" width="19.140625" style="144" customWidth="1"/>
    <col min="7176" max="7424" width="9.140625" style="144"/>
    <col min="7425" max="7425" width="9.28515625" style="144" bestFit="1" customWidth="1"/>
    <col min="7426" max="7426" width="49" style="144" customWidth="1"/>
    <col min="7427" max="7427" width="17" style="144" customWidth="1"/>
    <col min="7428" max="7428" width="16.5703125" style="144" customWidth="1"/>
    <col min="7429" max="7429" width="10" style="144" customWidth="1"/>
    <col min="7430" max="7430" width="19.5703125" style="144" customWidth="1"/>
    <col min="7431" max="7431" width="19.140625" style="144" customWidth="1"/>
    <col min="7432" max="7680" width="9.140625" style="144"/>
    <col min="7681" max="7681" width="9.28515625" style="144" bestFit="1" customWidth="1"/>
    <col min="7682" max="7682" width="49" style="144" customWidth="1"/>
    <col min="7683" max="7683" width="17" style="144" customWidth="1"/>
    <col min="7684" max="7684" width="16.5703125" style="144" customWidth="1"/>
    <col min="7685" max="7685" width="10" style="144" customWidth="1"/>
    <col min="7686" max="7686" width="19.5703125" style="144" customWidth="1"/>
    <col min="7687" max="7687" width="19.140625" style="144" customWidth="1"/>
    <col min="7688" max="7936" width="9.140625" style="144"/>
    <col min="7937" max="7937" width="9.28515625" style="144" bestFit="1" customWidth="1"/>
    <col min="7938" max="7938" width="49" style="144" customWidth="1"/>
    <col min="7939" max="7939" width="17" style="144" customWidth="1"/>
    <col min="7940" max="7940" width="16.5703125" style="144" customWidth="1"/>
    <col min="7941" max="7941" width="10" style="144" customWidth="1"/>
    <col min="7942" max="7942" width="19.5703125" style="144" customWidth="1"/>
    <col min="7943" max="7943" width="19.140625" style="144" customWidth="1"/>
    <col min="7944" max="8192" width="9.140625" style="144"/>
    <col min="8193" max="8193" width="9.28515625" style="144" bestFit="1" customWidth="1"/>
    <col min="8194" max="8194" width="49" style="144" customWidth="1"/>
    <col min="8195" max="8195" width="17" style="144" customWidth="1"/>
    <col min="8196" max="8196" width="16.5703125" style="144" customWidth="1"/>
    <col min="8197" max="8197" width="10" style="144" customWidth="1"/>
    <col min="8198" max="8198" width="19.5703125" style="144" customWidth="1"/>
    <col min="8199" max="8199" width="19.140625" style="144" customWidth="1"/>
    <col min="8200" max="8448" width="9.140625" style="144"/>
    <col min="8449" max="8449" width="9.28515625" style="144" bestFit="1" customWidth="1"/>
    <col min="8450" max="8450" width="49" style="144" customWidth="1"/>
    <col min="8451" max="8451" width="17" style="144" customWidth="1"/>
    <col min="8452" max="8452" width="16.5703125" style="144" customWidth="1"/>
    <col min="8453" max="8453" width="10" style="144" customWidth="1"/>
    <col min="8454" max="8454" width="19.5703125" style="144" customWidth="1"/>
    <col min="8455" max="8455" width="19.140625" style="144" customWidth="1"/>
    <col min="8456" max="8704" width="9.140625" style="144"/>
    <col min="8705" max="8705" width="9.28515625" style="144" bestFit="1" customWidth="1"/>
    <col min="8706" max="8706" width="49" style="144" customWidth="1"/>
    <col min="8707" max="8707" width="17" style="144" customWidth="1"/>
    <col min="8708" max="8708" width="16.5703125" style="144" customWidth="1"/>
    <col min="8709" max="8709" width="10" style="144" customWidth="1"/>
    <col min="8710" max="8710" width="19.5703125" style="144" customWidth="1"/>
    <col min="8711" max="8711" width="19.140625" style="144" customWidth="1"/>
    <col min="8712" max="8960" width="9.140625" style="144"/>
    <col min="8961" max="8961" width="9.28515625" style="144" bestFit="1" customWidth="1"/>
    <col min="8962" max="8962" width="49" style="144" customWidth="1"/>
    <col min="8963" max="8963" width="17" style="144" customWidth="1"/>
    <col min="8964" max="8964" width="16.5703125" style="144" customWidth="1"/>
    <col min="8965" max="8965" width="10" style="144" customWidth="1"/>
    <col min="8966" max="8966" width="19.5703125" style="144" customWidth="1"/>
    <col min="8967" max="8967" width="19.140625" style="144" customWidth="1"/>
    <col min="8968" max="9216" width="9.140625" style="144"/>
    <col min="9217" max="9217" width="9.28515625" style="144" bestFit="1" customWidth="1"/>
    <col min="9218" max="9218" width="49" style="144" customWidth="1"/>
    <col min="9219" max="9219" width="17" style="144" customWidth="1"/>
    <col min="9220" max="9220" width="16.5703125" style="144" customWidth="1"/>
    <col min="9221" max="9221" width="10" style="144" customWidth="1"/>
    <col min="9222" max="9222" width="19.5703125" style="144" customWidth="1"/>
    <col min="9223" max="9223" width="19.140625" style="144" customWidth="1"/>
    <col min="9224" max="9472" width="9.140625" style="144"/>
    <col min="9473" max="9473" width="9.28515625" style="144" bestFit="1" customWidth="1"/>
    <col min="9474" max="9474" width="49" style="144" customWidth="1"/>
    <col min="9475" max="9475" width="17" style="144" customWidth="1"/>
    <col min="9476" max="9476" width="16.5703125" style="144" customWidth="1"/>
    <col min="9477" max="9477" width="10" style="144" customWidth="1"/>
    <col min="9478" max="9478" width="19.5703125" style="144" customWidth="1"/>
    <col min="9479" max="9479" width="19.140625" style="144" customWidth="1"/>
    <col min="9480" max="9728" width="9.140625" style="144"/>
    <col min="9729" max="9729" width="9.28515625" style="144" bestFit="1" customWidth="1"/>
    <col min="9730" max="9730" width="49" style="144" customWidth="1"/>
    <col min="9731" max="9731" width="17" style="144" customWidth="1"/>
    <col min="9732" max="9732" width="16.5703125" style="144" customWidth="1"/>
    <col min="9733" max="9733" width="10" style="144" customWidth="1"/>
    <col min="9734" max="9734" width="19.5703125" style="144" customWidth="1"/>
    <col min="9735" max="9735" width="19.140625" style="144" customWidth="1"/>
    <col min="9736" max="9984" width="9.140625" style="144"/>
    <col min="9985" max="9985" width="9.28515625" style="144" bestFit="1" customWidth="1"/>
    <col min="9986" max="9986" width="49" style="144" customWidth="1"/>
    <col min="9987" max="9987" width="17" style="144" customWidth="1"/>
    <col min="9988" max="9988" width="16.5703125" style="144" customWidth="1"/>
    <col min="9989" max="9989" width="10" style="144" customWidth="1"/>
    <col min="9990" max="9990" width="19.5703125" style="144" customWidth="1"/>
    <col min="9991" max="9991" width="19.140625" style="144" customWidth="1"/>
    <col min="9992" max="10240" width="9.140625" style="144"/>
    <col min="10241" max="10241" width="9.28515625" style="144" bestFit="1" customWidth="1"/>
    <col min="10242" max="10242" width="49" style="144" customWidth="1"/>
    <col min="10243" max="10243" width="17" style="144" customWidth="1"/>
    <col min="10244" max="10244" width="16.5703125" style="144" customWidth="1"/>
    <col min="10245" max="10245" width="10" style="144" customWidth="1"/>
    <col min="10246" max="10246" width="19.5703125" style="144" customWidth="1"/>
    <col min="10247" max="10247" width="19.140625" style="144" customWidth="1"/>
    <col min="10248" max="10496" width="9.140625" style="144"/>
    <col min="10497" max="10497" width="9.28515625" style="144" bestFit="1" customWidth="1"/>
    <col min="10498" max="10498" width="49" style="144" customWidth="1"/>
    <col min="10499" max="10499" width="17" style="144" customWidth="1"/>
    <col min="10500" max="10500" width="16.5703125" style="144" customWidth="1"/>
    <col min="10501" max="10501" width="10" style="144" customWidth="1"/>
    <col min="10502" max="10502" width="19.5703125" style="144" customWidth="1"/>
    <col min="10503" max="10503" width="19.140625" style="144" customWidth="1"/>
    <col min="10504" max="10752" width="9.140625" style="144"/>
    <col min="10753" max="10753" width="9.28515625" style="144" bestFit="1" customWidth="1"/>
    <col min="10754" max="10754" width="49" style="144" customWidth="1"/>
    <col min="10755" max="10755" width="17" style="144" customWidth="1"/>
    <col min="10756" max="10756" width="16.5703125" style="144" customWidth="1"/>
    <col min="10757" max="10757" width="10" style="144" customWidth="1"/>
    <col min="10758" max="10758" width="19.5703125" style="144" customWidth="1"/>
    <col min="10759" max="10759" width="19.140625" style="144" customWidth="1"/>
    <col min="10760" max="11008" width="9.140625" style="144"/>
    <col min="11009" max="11009" width="9.28515625" style="144" bestFit="1" customWidth="1"/>
    <col min="11010" max="11010" width="49" style="144" customWidth="1"/>
    <col min="11011" max="11011" width="17" style="144" customWidth="1"/>
    <col min="11012" max="11012" width="16.5703125" style="144" customWidth="1"/>
    <col min="11013" max="11013" width="10" style="144" customWidth="1"/>
    <col min="11014" max="11014" width="19.5703125" style="144" customWidth="1"/>
    <col min="11015" max="11015" width="19.140625" style="144" customWidth="1"/>
    <col min="11016" max="11264" width="9.140625" style="144"/>
    <col min="11265" max="11265" width="9.28515625" style="144" bestFit="1" customWidth="1"/>
    <col min="11266" max="11266" width="49" style="144" customWidth="1"/>
    <col min="11267" max="11267" width="17" style="144" customWidth="1"/>
    <col min="11268" max="11268" width="16.5703125" style="144" customWidth="1"/>
    <col min="11269" max="11269" width="10" style="144" customWidth="1"/>
    <col min="11270" max="11270" width="19.5703125" style="144" customWidth="1"/>
    <col min="11271" max="11271" width="19.140625" style="144" customWidth="1"/>
    <col min="11272" max="11520" width="9.140625" style="144"/>
    <col min="11521" max="11521" width="9.28515625" style="144" bestFit="1" customWidth="1"/>
    <col min="11522" max="11522" width="49" style="144" customWidth="1"/>
    <col min="11523" max="11523" width="17" style="144" customWidth="1"/>
    <col min="11524" max="11524" width="16.5703125" style="144" customWidth="1"/>
    <col min="11525" max="11525" width="10" style="144" customWidth="1"/>
    <col min="11526" max="11526" width="19.5703125" style="144" customWidth="1"/>
    <col min="11527" max="11527" width="19.140625" style="144" customWidth="1"/>
    <col min="11528" max="11776" width="9.140625" style="144"/>
    <col min="11777" max="11777" width="9.28515625" style="144" bestFit="1" customWidth="1"/>
    <col min="11778" max="11778" width="49" style="144" customWidth="1"/>
    <col min="11779" max="11779" width="17" style="144" customWidth="1"/>
    <col min="11780" max="11780" width="16.5703125" style="144" customWidth="1"/>
    <col min="11781" max="11781" width="10" style="144" customWidth="1"/>
    <col min="11782" max="11782" width="19.5703125" style="144" customWidth="1"/>
    <col min="11783" max="11783" width="19.140625" style="144" customWidth="1"/>
    <col min="11784" max="12032" width="9.140625" style="144"/>
    <col min="12033" max="12033" width="9.28515625" style="144" bestFit="1" customWidth="1"/>
    <col min="12034" max="12034" width="49" style="144" customWidth="1"/>
    <col min="12035" max="12035" width="17" style="144" customWidth="1"/>
    <col min="12036" max="12036" width="16.5703125" style="144" customWidth="1"/>
    <col min="12037" max="12037" width="10" style="144" customWidth="1"/>
    <col min="12038" max="12038" width="19.5703125" style="144" customWidth="1"/>
    <col min="12039" max="12039" width="19.140625" style="144" customWidth="1"/>
    <col min="12040" max="12288" width="9.140625" style="144"/>
    <col min="12289" max="12289" width="9.28515625" style="144" bestFit="1" customWidth="1"/>
    <col min="12290" max="12290" width="49" style="144" customWidth="1"/>
    <col min="12291" max="12291" width="17" style="144" customWidth="1"/>
    <col min="12292" max="12292" width="16.5703125" style="144" customWidth="1"/>
    <col min="12293" max="12293" width="10" style="144" customWidth="1"/>
    <col min="12294" max="12294" width="19.5703125" style="144" customWidth="1"/>
    <col min="12295" max="12295" width="19.140625" style="144" customWidth="1"/>
    <col min="12296" max="12544" width="9.140625" style="144"/>
    <col min="12545" max="12545" width="9.28515625" style="144" bestFit="1" customWidth="1"/>
    <col min="12546" max="12546" width="49" style="144" customWidth="1"/>
    <col min="12547" max="12547" width="17" style="144" customWidth="1"/>
    <col min="12548" max="12548" width="16.5703125" style="144" customWidth="1"/>
    <col min="12549" max="12549" width="10" style="144" customWidth="1"/>
    <col min="12550" max="12550" width="19.5703125" style="144" customWidth="1"/>
    <col min="12551" max="12551" width="19.140625" style="144" customWidth="1"/>
    <col min="12552" max="12800" width="9.140625" style="144"/>
    <col min="12801" max="12801" width="9.28515625" style="144" bestFit="1" customWidth="1"/>
    <col min="12802" max="12802" width="49" style="144" customWidth="1"/>
    <col min="12803" max="12803" width="17" style="144" customWidth="1"/>
    <col min="12804" max="12804" width="16.5703125" style="144" customWidth="1"/>
    <col min="12805" max="12805" width="10" style="144" customWidth="1"/>
    <col min="12806" max="12806" width="19.5703125" style="144" customWidth="1"/>
    <col min="12807" max="12807" width="19.140625" style="144" customWidth="1"/>
    <col min="12808" max="13056" width="9.140625" style="144"/>
    <col min="13057" max="13057" width="9.28515625" style="144" bestFit="1" customWidth="1"/>
    <col min="13058" max="13058" width="49" style="144" customWidth="1"/>
    <col min="13059" max="13059" width="17" style="144" customWidth="1"/>
    <col min="13060" max="13060" width="16.5703125" style="144" customWidth="1"/>
    <col min="13061" max="13061" width="10" style="144" customWidth="1"/>
    <col min="13062" max="13062" width="19.5703125" style="144" customWidth="1"/>
    <col min="13063" max="13063" width="19.140625" style="144" customWidth="1"/>
    <col min="13064" max="13312" width="9.140625" style="144"/>
    <col min="13313" max="13313" width="9.28515625" style="144" bestFit="1" customWidth="1"/>
    <col min="13314" max="13314" width="49" style="144" customWidth="1"/>
    <col min="13315" max="13315" width="17" style="144" customWidth="1"/>
    <col min="13316" max="13316" width="16.5703125" style="144" customWidth="1"/>
    <col min="13317" max="13317" width="10" style="144" customWidth="1"/>
    <col min="13318" max="13318" width="19.5703125" style="144" customWidth="1"/>
    <col min="13319" max="13319" width="19.140625" style="144" customWidth="1"/>
    <col min="13320" max="13568" width="9.140625" style="144"/>
    <col min="13569" max="13569" width="9.28515625" style="144" bestFit="1" customWidth="1"/>
    <col min="13570" max="13570" width="49" style="144" customWidth="1"/>
    <col min="13571" max="13571" width="17" style="144" customWidth="1"/>
    <col min="13572" max="13572" width="16.5703125" style="144" customWidth="1"/>
    <col min="13573" max="13573" width="10" style="144" customWidth="1"/>
    <col min="13574" max="13574" width="19.5703125" style="144" customWidth="1"/>
    <col min="13575" max="13575" width="19.140625" style="144" customWidth="1"/>
    <col min="13576" max="13824" width="9.140625" style="144"/>
    <col min="13825" max="13825" width="9.28515625" style="144" bestFit="1" customWidth="1"/>
    <col min="13826" max="13826" width="49" style="144" customWidth="1"/>
    <col min="13827" max="13827" width="17" style="144" customWidth="1"/>
    <col min="13828" max="13828" width="16.5703125" style="144" customWidth="1"/>
    <col min="13829" max="13829" width="10" style="144" customWidth="1"/>
    <col min="13830" max="13830" width="19.5703125" style="144" customWidth="1"/>
    <col min="13831" max="13831" width="19.140625" style="144" customWidth="1"/>
    <col min="13832" max="14080" width="9.140625" style="144"/>
    <col min="14081" max="14081" width="9.28515625" style="144" bestFit="1" customWidth="1"/>
    <col min="14082" max="14082" width="49" style="144" customWidth="1"/>
    <col min="14083" max="14083" width="17" style="144" customWidth="1"/>
    <col min="14084" max="14084" width="16.5703125" style="144" customWidth="1"/>
    <col min="14085" max="14085" width="10" style="144" customWidth="1"/>
    <col min="14086" max="14086" width="19.5703125" style="144" customWidth="1"/>
    <col min="14087" max="14087" width="19.140625" style="144" customWidth="1"/>
    <col min="14088" max="14336" width="9.140625" style="144"/>
    <col min="14337" max="14337" width="9.28515625" style="144" bestFit="1" customWidth="1"/>
    <col min="14338" max="14338" width="49" style="144" customWidth="1"/>
    <col min="14339" max="14339" width="17" style="144" customWidth="1"/>
    <col min="14340" max="14340" width="16.5703125" style="144" customWidth="1"/>
    <col min="14341" max="14341" width="10" style="144" customWidth="1"/>
    <col min="14342" max="14342" width="19.5703125" style="144" customWidth="1"/>
    <col min="14343" max="14343" width="19.140625" style="144" customWidth="1"/>
    <col min="14344" max="14592" width="9.140625" style="144"/>
    <col min="14593" max="14593" width="9.28515625" style="144" bestFit="1" customWidth="1"/>
    <col min="14594" max="14594" width="49" style="144" customWidth="1"/>
    <col min="14595" max="14595" width="17" style="144" customWidth="1"/>
    <col min="14596" max="14596" width="16.5703125" style="144" customWidth="1"/>
    <col min="14597" max="14597" width="10" style="144" customWidth="1"/>
    <col min="14598" max="14598" width="19.5703125" style="144" customWidth="1"/>
    <col min="14599" max="14599" width="19.140625" style="144" customWidth="1"/>
    <col min="14600" max="14848" width="9.140625" style="144"/>
    <col min="14849" max="14849" width="9.28515625" style="144" bestFit="1" customWidth="1"/>
    <col min="14850" max="14850" width="49" style="144" customWidth="1"/>
    <col min="14851" max="14851" width="17" style="144" customWidth="1"/>
    <col min="14852" max="14852" width="16.5703125" style="144" customWidth="1"/>
    <col min="14853" max="14853" width="10" style="144" customWidth="1"/>
    <col min="14854" max="14854" width="19.5703125" style="144" customWidth="1"/>
    <col min="14855" max="14855" width="19.140625" style="144" customWidth="1"/>
    <col min="14856" max="15104" width="9.140625" style="144"/>
    <col min="15105" max="15105" width="9.28515625" style="144" bestFit="1" customWidth="1"/>
    <col min="15106" max="15106" width="49" style="144" customWidth="1"/>
    <col min="15107" max="15107" width="17" style="144" customWidth="1"/>
    <col min="15108" max="15108" width="16.5703125" style="144" customWidth="1"/>
    <col min="15109" max="15109" width="10" style="144" customWidth="1"/>
    <col min="15110" max="15110" width="19.5703125" style="144" customWidth="1"/>
    <col min="15111" max="15111" width="19.140625" style="144" customWidth="1"/>
    <col min="15112" max="15360" width="9.140625" style="144"/>
    <col min="15361" max="15361" width="9.28515625" style="144" bestFit="1" customWidth="1"/>
    <col min="15362" max="15362" width="49" style="144" customWidth="1"/>
    <col min="15363" max="15363" width="17" style="144" customWidth="1"/>
    <col min="15364" max="15364" width="16.5703125" style="144" customWidth="1"/>
    <col min="15365" max="15365" width="10" style="144" customWidth="1"/>
    <col min="15366" max="15366" width="19.5703125" style="144" customWidth="1"/>
    <col min="15367" max="15367" width="19.140625" style="144" customWidth="1"/>
    <col min="15368" max="15616" width="9.140625" style="144"/>
    <col min="15617" max="15617" width="9.28515625" style="144" bestFit="1" customWidth="1"/>
    <col min="15618" max="15618" width="49" style="144" customWidth="1"/>
    <col min="15619" max="15619" width="17" style="144" customWidth="1"/>
    <col min="15620" max="15620" width="16.5703125" style="144" customWidth="1"/>
    <col min="15621" max="15621" width="10" style="144" customWidth="1"/>
    <col min="15622" max="15622" width="19.5703125" style="144" customWidth="1"/>
    <col min="15623" max="15623" width="19.140625" style="144" customWidth="1"/>
    <col min="15624" max="15872" width="9.140625" style="144"/>
    <col min="15873" max="15873" width="9.28515625" style="144" bestFit="1" customWidth="1"/>
    <col min="15874" max="15874" width="49" style="144" customWidth="1"/>
    <col min="15875" max="15875" width="17" style="144" customWidth="1"/>
    <col min="15876" max="15876" width="16.5703125" style="144" customWidth="1"/>
    <col min="15877" max="15877" width="10" style="144" customWidth="1"/>
    <col min="15878" max="15878" width="19.5703125" style="144" customWidth="1"/>
    <col min="15879" max="15879" width="19.140625" style="144" customWidth="1"/>
    <col min="15880" max="16128" width="9.140625" style="144"/>
    <col min="16129" max="16129" width="9.28515625" style="144" bestFit="1" customWidth="1"/>
    <col min="16130" max="16130" width="49" style="144" customWidth="1"/>
    <col min="16131" max="16131" width="17" style="144" customWidth="1"/>
    <col min="16132" max="16132" width="16.5703125" style="144" customWidth="1"/>
    <col min="16133" max="16133" width="10" style="144" customWidth="1"/>
    <col min="16134" max="16134" width="19.5703125" style="144" customWidth="1"/>
    <col min="16135" max="16135" width="19.140625" style="144" customWidth="1"/>
    <col min="16136" max="16384" width="9.140625" style="144"/>
  </cols>
  <sheetData>
    <row r="1" spans="1:8">
      <c r="A1" s="144" t="s">
        <v>0</v>
      </c>
      <c r="F1" s="459" t="s">
        <v>350</v>
      </c>
      <c r="G1" s="459"/>
      <c r="H1" s="459"/>
    </row>
    <row r="2" spans="1:8">
      <c r="A2" s="144" t="s">
        <v>2</v>
      </c>
      <c r="F2" s="459" t="s">
        <v>351</v>
      </c>
      <c r="G2" s="459"/>
      <c r="H2" s="459"/>
    </row>
    <row r="3" spans="1:8">
      <c r="A3" s="144" t="s">
        <v>120</v>
      </c>
      <c r="F3" s="459" t="s">
        <v>352</v>
      </c>
      <c r="G3" s="459"/>
      <c r="H3" s="459"/>
    </row>
    <row r="4" spans="1:8">
      <c r="A4" s="144" t="s">
        <v>6</v>
      </c>
    </row>
    <row r="6" spans="1:8">
      <c r="B6" s="460" t="s">
        <v>353</v>
      </c>
      <c r="C6" s="460"/>
      <c r="D6" s="460"/>
      <c r="E6" s="460"/>
      <c r="F6" s="460"/>
      <c r="G6" s="460"/>
      <c r="H6" s="460"/>
    </row>
    <row r="8" spans="1:8" ht="18.75" thickBot="1">
      <c r="H8" s="290" t="s">
        <v>9</v>
      </c>
    </row>
    <row r="9" spans="1:8" ht="15.75" customHeight="1">
      <c r="A9" s="291" t="s">
        <v>354</v>
      </c>
      <c r="B9" s="461" t="s">
        <v>355</v>
      </c>
      <c r="C9" s="463" t="s">
        <v>356</v>
      </c>
      <c r="D9" s="463"/>
      <c r="E9" s="464" t="s">
        <v>357</v>
      </c>
      <c r="F9" s="463" t="s">
        <v>358</v>
      </c>
      <c r="G9" s="463"/>
      <c r="H9" s="466" t="s">
        <v>359</v>
      </c>
    </row>
    <row r="10" spans="1:8">
      <c r="A10" s="292" t="s">
        <v>360</v>
      </c>
      <c r="B10" s="462"/>
      <c r="C10" s="293" t="s">
        <v>361</v>
      </c>
      <c r="D10" s="293" t="s">
        <v>362</v>
      </c>
      <c r="E10" s="465"/>
      <c r="F10" s="293" t="s">
        <v>361</v>
      </c>
      <c r="G10" s="293" t="s">
        <v>362</v>
      </c>
      <c r="H10" s="467"/>
    </row>
    <row r="11" spans="1:8">
      <c r="A11" s="295">
        <v>0</v>
      </c>
      <c r="B11" s="293">
        <v>1</v>
      </c>
      <c r="C11" s="293">
        <v>2</v>
      </c>
      <c r="D11" s="293">
        <v>3</v>
      </c>
      <c r="E11" s="293">
        <v>4</v>
      </c>
      <c r="F11" s="293">
        <v>5</v>
      </c>
      <c r="G11" s="293">
        <v>6</v>
      </c>
      <c r="H11" s="296">
        <v>7</v>
      </c>
    </row>
    <row r="12" spans="1:8" ht="21.75" customHeight="1">
      <c r="A12" s="297" t="s">
        <v>363</v>
      </c>
      <c r="B12" s="298" t="s">
        <v>364</v>
      </c>
      <c r="C12" s="299">
        <f>C13+C14</f>
        <v>2416.94</v>
      </c>
      <c r="D12" s="299">
        <f>D13+D14</f>
        <v>2194.0400000000004</v>
      </c>
      <c r="E12" s="300">
        <f>IF(C12=0,"",D12/C12)</f>
        <v>0.90777594809966333</v>
      </c>
      <c r="F12" s="299">
        <f>F13+F14</f>
        <v>2527.6799999999998</v>
      </c>
      <c r="G12" s="299">
        <f>G13+G14</f>
        <v>2499.9</v>
      </c>
      <c r="H12" s="301">
        <f>IF(F12=0,"",G12/F12)</f>
        <v>0.98900968477022422</v>
      </c>
    </row>
    <row r="13" spans="1:8" ht="30" customHeight="1">
      <c r="A13" s="297">
        <v>1</v>
      </c>
      <c r="B13" s="302" t="s">
        <v>365</v>
      </c>
      <c r="C13" s="303">
        <v>2416.84</v>
      </c>
      <c r="D13" s="303">
        <v>2194.0300000000002</v>
      </c>
      <c r="E13" s="300">
        <v>0.97880821639210902</v>
      </c>
      <c r="F13" s="303">
        <v>2527.6799999999998</v>
      </c>
      <c r="G13" s="303">
        <v>2499.9</v>
      </c>
      <c r="H13" s="301">
        <f>IF(F13=0,"",G13/F13)</f>
        <v>0.98900968477022422</v>
      </c>
    </row>
    <row r="14" spans="1:8" ht="23.25" customHeight="1" thickBot="1">
      <c r="A14" s="304" t="s">
        <v>366</v>
      </c>
      <c r="B14" s="305" t="s">
        <v>35</v>
      </c>
      <c r="C14" s="306">
        <v>0.1</v>
      </c>
      <c r="D14" s="306">
        <v>0.01</v>
      </c>
      <c r="E14" s="307">
        <f>IF(C14=0,"",D14/C14)</f>
        <v>9.9999999999999992E-2</v>
      </c>
      <c r="F14" s="306">
        <v>0</v>
      </c>
      <c r="G14" s="306">
        <v>0</v>
      </c>
      <c r="H14" s="301" t="str">
        <f>IF(F14=0,"",G14/F14)</f>
        <v/>
      </c>
    </row>
    <row r="19" spans="2:7">
      <c r="B19" s="458" t="s">
        <v>367</v>
      </c>
      <c r="C19" s="458"/>
      <c r="E19" s="344" t="s">
        <v>368</v>
      </c>
      <c r="F19" s="344"/>
      <c r="G19" s="344"/>
    </row>
    <row r="20" spans="2:7">
      <c r="B20" s="344" t="s">
        <v>115</v>
      </c>
      <c r="C20" s="344"/>
      <c r="E20" s="344" t="s">
        <v>369</v>
      </c>
      <c r="F20" s="344"/>
      <c r="G20" s="344"/>
    </row>
    <row r="21" spans="2:7">
      <c r="B21" s="344" t="s">
        <v>117</v>
      </c>
      <c r="C21" s="344"/>
      <c r="E21" s="344" t="s">
        <v>370</v>
      </c>
      <c r="F21" s="344"/>
      <c r="G21" s="344"/>
    </row>
  </sheetData>
  <mergeCells count="15">
    <mergeCell ref="F1:H1"/>
    <mergeCell ref="F2:H2"/>
    <mergeCell ref="F3:H3"/>
    <mergeCell ref="B6:H6"/>
    <mergeCell ref="B9:B10"/>
    <mergeCell ref="C9:D9"/>
    <mergeCell ref="E9:E10"/>
    <mergeCell ref="F9:G9"/>
    <mergeCell ref="H9:H10"/>
    <mergeCell ref="B19:C19"/>
    <mergeCell ref="E19:G19"/>
    <mergeCell ref="B20:C20"/>
    <mergeCell ref="E20:G20"/>
    <mergeCell ref="B21:C21"/>
    <mergeCell ref="E21:G21"/>
  </mergeCells>
  <printOptions horizontalCentered="1" verticalCentered="1"/>
  <pageMargins left="0" right="0" top="0" bottom="0" header="0" footer="0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Q83"/>
  <sheetViews>
    <sheetView view="pageBreakPreview" zoomScaleSheetLayoutView="100" workbookViewId="0">
      <pane ySplit="12" topLeftCell="A43" activePane="bottomLeft" state="frozen"/>
      <selection activeCell="H64" sqref="H64"/>
      <selection pane="bottomLeft" activeCell="H64" sqref="H64"/>
    </sheetView>
  </sheetViews>
  <sheetFormatPr defaultRowHeight="18"/>
  <cols>
    <col min="1" max="1" width="5" style="144" customWidth="1"/>
    <col min="2" max="2" width="5.7109375" style="144" customWidth="1"/>
    <col min="3" max="3" width="75.140625" style="144" customWidth="1"/>
    <col min="4" max="4" width="12.7109375" style="144" customWidth="1"/>
    <col min="5" max="5" width="11.85546875" style="144" customWidth="1"/>
    <col min="6" max="6" width="13" style="144" customWidth="1"/>
    <col min="7" max="7" width="14.5703125" style="144" customWidth="1"/>
    <col min="8" max="8" width="13.140625" style="144" hidden="1" customWidth="1"/>
    <col min="9" max="9" width="12.42578125" style="144" hidden="1" customWidth="1"/>
    <col min="10" max="11" width="10.42578125" style="144" hidden="1" customWidth="1"/>
    <col min="12" max="12" width="13.140625" style="144" customWidth="1"/>
    <col min="13" max="13" width="12.7109375" style="144" customWidth="1"/>
    <col min="14" max="256" width="9.140625" style="144"/>
    <col min="257" max="257" width="5" style="144" customWidth="1"/>
    <col min="258" max="258" width="5.7109375" style="144" customWidth="1"/>
    <col min="259" max="259" width="75.140625" style="144" customWidth="1"/>
    <col min="260" max="260" width="12.7109375" style="144" customWidth="1"/>
    <col min="261" max="261" width="11.85546875" style="144" customWidth="1"/>
    <col min="262" max="262" width="13" style="144" customWidth="1"/>
    <col min="263" max="263" width="14.5703125" style="144" customWidth="1"/>
    <col min="264" max="267" width="0" style="144" hidden="1" customWidth="1"/>
    <col min="268" max="268" width="13.140625" style="144" customWidth="1"/>
    <col min="269" max="269" width="12.7109375" style="144" customWidth="1"/>
    <col min="270" max="512" width="9.140625" style="144"/>
    <col min="513" max="513" width="5" style="144" customWidth="1"/>
    <col min="514" max="514" width="5.7109375" style="144" customWidth="1"/>
    <col min="515" max="515" width="75.140625" style="144" customWidth="1"/>
    <col min="516" max="516" width="12.7109375" style="144" customWidth="1"/>
    <col min="517" max="517" width="11.85546875" style="144" customWidth="1"/>
    <col min="518" max="518" width="13" style="144" customWidth="1"/>
    <col min="519" max="519" width="14.5703125" style="144" customWidth="1"/>
    <col min="520" max="523" width="0" style="144" hidden="1" customWidth="1"/>
    <col min="524" max="524" width="13.140625" style="144" customWidth="1"/>
    <col min="525" max="525" width="12.7109375" style="144" customWidth="1"/>
    <col min="526" max="768" width="9.140625" style="144"/>
    <col min="769" max="769" width="5" style="144" customWidth="1"/>
    <col min="770" max="770" width="5.7109375" style="144" customWidth="1"/>
    <col min="771" max="771" width="75.140625" style="144" customWidth="1"/>
    <col min="772" max="772" width="12.7109375" style="144" customWidth="1"/>
    <col min="773" max="773" width="11.85546875" style="144" customWidth="1"/>
    <col min="774" max="774" width="13" style="144" customWidth="1"/>
    <col min="775" max="775" width="14.5703125" style="144" customWidth="1"/>
    <col min="776" max="779" width="0" style="144" hidden="1" customWidth="1"/>
    <col min="780" max="780" width="13.140625" style="144" customWidth="1"/>
    <col min="781" max="781" width="12.7109375" style="144" customWidth="1"/>
    <col min="782" max="1024" width="9.140625" style="144"/>
    <col min="1025" max="1025" width="5" style="144" customWidth="1"/>
    <col min="1026" max="1026" width="5.7109375" style="144" customWidth="1"/>
    <col min="1027" max="1027" width="75.140625" style="144" customWidth="1"/>
    <col min="1028" max="1028" width="12.7109375" style="144" customWidth="1"/>
    <col min="1029" max="1029" width="11.85546875" style="144" customWidth="1"/>
    <col min="1030" max="1030" width="13" style="144" customWidth="1"/>
    <col min="1031" max="1031" width="14.5703125" style="144" customWidth="1"/>
    <col min="1032" max="1035" width="0" style="144" hidden="1" customWidth="1"/>
    <col min="1036" max="1036" width="13.140625" style="144" customWidth="1"/>
    <col min="1037" max="1037" width="12.7109375" style="144" customWidth="1"/>
    <col min="1038" max="1280" width="9.140625" style="144"/>
    <col min="1281" max="1281" width="5" style="144" customWidth="1"/>
    <col min="1282" max="1282" width="5.7109375" style="144" customWidth="1"/>
    <col min="1283" max="1283" width="75.140625" style="144" customWidth="1"/>
    <col min="1284" max="1284" width="12.7109375" style="144" customWidth="1"/>
    <col min="1285" max="1285" width="11.85546875" style="144" customWidth="1"/>
    <col min="1286" max="1286" width="13" style="144" customWidth="1"/>
    <col min="1287" max="1287" width="14.5703125" style="144" customWidth="1"/>
    <col min="1288" max="1291" width="0" style="144" hidden="1" customWidth="1"/>
    <col min="1292" max="1292" width="13.140625" style="144" customWidth="1"/>
    <col min="1293" max="1293" width="12.7109375" style="144" customWidth="1"/>
    <col min="1294" max="1536" width="9.140625" style="144"/>
    <col min="1537" max="1537" width="5" style="144" customWidth="1"/>
    <col min="1538" max="1538" width="5.7109375" style="144" customWidth="1"/>
    <col min="1539" max="1539" width="75.140625" style="144" customWidth="1"/>
    <col min="1540" max="1540" width="12.7109375" style="144" customWidth="1"/>
    <col min="1541" max="1541" width="11.85546875" style="144" customWidth="1"/>
    <col min="1542" max="1542" width="13" style="144" customWidth="1"/>
    <col min="1543" max="1543" width="14.5703125" style="144" customWidth="1"/>
    <col min="1544" max="1547" width="0" style="144" hidden="1" customWidth="1"/>
    <col min="1548" max="1548" width="13.140625" style="144" customWidth="1"/>
    <col min="1549" max="1549" width="12.7109375" style="144" customWidth="1"/>
    <col min="1550" max="1792" width="9.140625" style="144"/>
    <col min="1793" max="1793" width="5" style="144" customWidth="1"/>
    <col min="1794" max="1794" width="5.7109375" style="144" customWidth="1"/>
    <col min="1795" max="1795" width="75.140625" style="144" customWidth="1"/>
    <col min="1796" max="1796" width="12.7109375" style="144" customWidth="1"/>
    <col min="1797" max="1797" width="11.85546875" style="144" customWidth="1"/>
    <col min="1798" max="1798" width="13" style="144" customWidth="1"/>
    <col min="1799" max="1799" width="14.5703125" style="144" customWidth="1"/>
    <col min="1800" max="1803" width="0" style="144" hidden="1" customWidth="1"/>
    <col min="1804" max="1804" width="13.140625" style="144" customWidth="1"/>
    <col min="1805" max="1805" width="12.7109375" style="144" customWidth="1"/>
    <col min="1806" max="2048" width="9.140625" style="144"/>
    <col min="2049" max="2049" width="5" style="144" customWidth="1"/>
    <col min="2050" max="2050" width="5.7109375" style="144" customWidth="1"/>
    <col min="2051" max="2051" width="75.140625" style="144" customWidth="1"/>
    <col min="2052" max="2052" width="12.7109375" style="144" customWidth="1"/>
    <col min="2053" max="2053" width="11.85546875" style="144" customWidth="1"/>
    <col min="2054" max="2054" width="13" style="144" customWidth="1"/>
    <col min="2055" max="2055" width="14.5703125" style="144" customWidth="1"/>
    <col min="2056" max="2059" width="0" style="144" hidden="1" customWidth="1"/>
    <col min="2060" max="2060" width="13.140625" style="144" customWidth="1"/>
    <col min="2061" max="2061" width="12.7109375" style="144" customWidth="1"/>
    <col min="2062" max="2304" width="9.140625" style="144"/>
    <col min="2305" max="2305" width="5" style="144" customWidth="1"/>
    <col min="2306" max="2306" width="5.7109375" style="144" customWidth="1"/>
    <col min="2307" max="2307" width="75.140625" style="144" customWidth="1"/>
    <col min="2308" max="2308" width="12.7109375" style="144" customWidth="1"/>
    <col min="2309" max="2309" width="11.85546875" style="144" customWidth="1"/>
    <col min="2310" max="2310" width="13" style="144" customWidth="1"/>
    <col min="2311" max="2311" width="14.5703125" style="144" customWidth="1"/>
    <col min="2312" max="2315" width="0" style="144" hidden="1" customWidth="1"/>
    <col min="2316" max="2316" width="13.140625" style="144" customWidth="1"/>
    <col min="2317" max="2317" width="12.7109375" style="144" customWidth="1"/>
    <col min="2318" max="2560" width="9.140625" style="144"/>
    <col min="2561" max="2561" width="5" style="144" customWidth="1"/>
    <col min="2562" max="2562" width="5.7109375" style="144" customWidth="1"/>
    <col min="2563" max="2563" width="75.140625" style="144" customWidth="1"/>
    <col min="2564" max="2564" width="12.7109375" style="144" customWidth="1"/>
    <col min="2565" max="2565" width="11.85546875" style="144" customWidth="1"/>
    <col min="2566" max="2566" width="13" style="144" customWidth="1"/>
    <col min="2567" max="2567" width="14.5703125" style="144" customWidth="1"/>
    <col min="2568" max="2571" width="0" style="144" hidden="1" customWidth="1"/>
    <col min="2572" max="2572" width="13.140625" style="144" customWidth="1"/>
    <col min="2573" max="2573" width="12.7109375" style="144" customWidth="1"/>
    <col min="2574" max="2816" width="9.140625" style="144"/>
    <col min="2817" max="2817" width="5" style="144" customWidth="1"/>
    <col min="2818" max="2818" width="5.7109375" style="144" customWidth="1"/>
    <col min="2819" max="2819" width="75.140625" style="144" customWidth="1"/>
    <col min="2820" max="2820" width="12.7109375" style="144" customWidth="1"/>
    <col min="2821" max="2821" width="11.85546875" style="144" customWidth="1"/>
    <col min="2822" max="2822" width="13" style="144" customWidth="1"/>
    <col min="2823" max="2823" width="14.5703125" style="144" customWidth="1"/>
    <col min="2824" max="2827" width="0" style="144" hidden="1" customWidth="1"/>
    <col min="2828" max="2828" width="13.140625" style="144" customWidth="1"/>
    <col min="2829" max="2829" width="12.7109375" style="144" customWidth="1"/>
    <col min="2830" max="3072" width="9.140625" style="144"/>
    <col min="3073" max="3073" width="5" style="144" customWidth="1"/>
    <col min="3074" max="3074" width="5.7109375" style="144" customWidth="1"/>
    <col min="3075" max="3075" width="75.140625" style="144" customWidth="1"/>
    <col min="3076" max="3076" width="12.7109375" style="144" customWidth="1"/>
    <col min="3077" max="3077" width="11.85546875" style="144" customWidth="1"/>
    <col min="3078" max="3078" width="13" style="144" customWidth="1"/>
    <col min="3079" max="3079" width="14.5703125" style="144" customWidth="1"/>
    <col min="3080" max="3083" width="0" style="144" hidden="1" customWidth="1"/>
    <col min="3084" max="3084" width="13.140625" style="144" customWidth="1"/>
    <col min="3085" max="3085" width="12.7109375" style="144" customWidth="1"/>
    <col min="3086" max="3328" width="9.140625" style="144"/>
    <col min="3329" max="3329" width="5" style="144" customWidth="1"/>
    <col min="3330" max="3330" width="5.7109375" style="144" customWidth="1"/>
    <col min="3331" max="3331" width="75.140625" style="144" customWidth="1"/>
    <col min="3332" max="3332" width="12.7109375" style="144" customWidth="1"/>
    <col min="3333" max="3333" width="11.85546875" style="144" customWidth="1"/>
    <col min="3334" max="3334" width="13" style="144" customWidth="1"/>
    <col min="3335" max="3335" width="14.5703125" style="144" customWidth="1"/>
    <col min="3336" max="3339" width="0" style="144" hidden="1" customWidth="1"/>
    <col min="3340" max="3340" width="13.140625" style="144" customWidth="1"/>
    <col min="3341" max="3341" width="12.7109375" style="144" customWidth="1"/>
    <col min="3342" max="3584" width="9.140625" style="144"/>
    <col min="3585" max="3585" width="5" style="144" customWidth="1"/>
    <col min="3586" max="3586" width="5.7109375" style="144" customWidth="1"/>
    <col min="3587" max="3587" width="75.140625" style="144" customWidth="1"/>
    <col min="3588" max="3588" width="12.7109375" style="144" customWidth="1"/>
    <col min="3589" max="3589" width="11.85546875" style="144" customWidth="1"/>
    <col min="3590" max="3590" width="13" style="144" customWidth="1"/>
    <col min="3591" max="3591" width="14.5703125" style="144" customWidth="1"/>
    <col min="3592" max="3595" width="0" style="144" hidden="1" customWidth="1"/>
    <col min="3596" max="3596" width="13.140625" style="144" customWidth="1"/>
    <col min="3597" max="3597" width="12.7109375" style="144" customWidth="1"/>
    <col min="3598" max="3840" width="9.140625" style="144"/>
    <col min="3841" max="3841" width="5" style="144" customWidth="1"/>
    <col min="3842" max="3842" width="5.7109375" style="144" customWidth="1"/>
    <col min="3843" max="3843" width="75.140625" style="144" customWidth="1"/>
    <col min="3844" max="3844" width="12.7109375" style="144" customWidth="1"/>
    <col min="3845" max="3845" width="11.85546875" style="144" customWidth="1"/>
    <col min="3846" max="3846" width="13" style="144" customWidth="1"/>
    <col min="3847" max="3847" width="14.5703125" style="144" customWidth="1"/>
    <col min="3848" max="3851" width="0" style="144" hidden="1" customWidth="1"/>
    <col min="3852" max="3852" width="13.140625" style="144" customWidth="1"/>
    <col min="3853" max="3853" width="12.7109375" style="144" customWidth="1"/>
    <col min="3854" max="4096" width="9.140625" style="144"/>
    <col min="4097" max="4097" width="5" style="144" customWidth="1"/>
    <col min="4098" max="4098" width="5.7109375" style="144" customWidth="1"/>
    <col min="4099" max="4099" width="75.140625" style="144" customWidth="1"/>
    <col min="4100" max="4100" width="12.7109375" style="144" customWidth="1"/>
    <col min="4101" max="4101" width="11.85546875" style="144" customWidth="1"/>
    <col min="4102" max="4102" width="13" style="144" customWidth="1"/>
    <col min="4103" max="4103" width="14.5703125" style="144" customWidth="1"/>
    <col min="4104" max="4107" width="0" style="144" hidden="1" customWidth="1"/>
    <col min="4108" max="4108" width="13.140625" style="144" customWidth="1"/>
    <col min="4109" max="4109" width="12.7109375" style="144" customWidth="1"/>
    <col min="4110" max="4352" width="9.140625" style="144"/>
    <col min="4353" max="4353" width="5" style="144" customWidth="1"/>
    <col min="4354" max="4354" width="5.7109375" style="144" customWidth="1"/>
    <col min="4355" max="4355" width="75.140625" style="144" customWidth="1"/>
    <col min="4356" max="4356" width="12.7109375" style="144" customWidth="1"/>
    <col min="4357" max="4357" width="11.85546875" style="144" customWidth="1"/>
    <col min="4358" max="4358" width="13" style="144" customWidth="1"/>
    <col min="4359" max="4359" width="14.5703125" style="144" customWidth="1"/>
    <col min="4360" max="4363" width="0" style="144" hidden="1" customWidth="1"/>
    <col min="4364" max="4364" width="13.140625" style="144" customWidth="1"/>
    <col min="4365" max="4365" width="12.7109375" style="144" customWidth="1"/>
    <col min="4366" max="4608" width="9.140625" style="144"/>
    <col min="4609" max="4609" width="5" style="144" customWidth="1"/>
    <col min="4610" max="4610" width="5.7109375" style="144" customWidth="1"/>
    <col min="4611" max="4611" width="75.140625" style="144" customWidth="1"/>
    <col min="4612" max="4612" width="12.7109375" style="144" customWidth="1"/>
    <col min="4613" max="4613" width="11.85546875" style="144" customWidth="1"/>
    <col min="4614" max="4614" width="13" style="144" customWidth="1"/>
    <col min="4615" max="4615" width="14.5703125" style="144" customWidth="1"/>
    <col min="4616" max="4619" width="0" style="144" hidden="1" customWidth="1"/>
    <col min="4620" max="4620" width="13.140625" style="144" customWidth="1"/>
    <col min="4621" max="4621" width="12.7109375" style="144" customWidth="1"/>
    <col min="4622" max="4864" width="9.140625" style="144"/>
    <col min="4865" max="4865" width="5" style="144" customWidth="1"/>
    <col min="4866" max="4866" width="5.7109375" style="144" customWidth="1"/>
    <col min="4867" max="4867" width="75.140625" style="144" customWidth="1"/>
    <col min="4868" max="4868" width="12.7109375" style="144" customWidth="1"/>
    <col min="4869" max="4869" width="11.85546875" style="144" customWidth="1"/>
    <col min="4870" max="4870" width="13" style="144" customWidth="1"/>
    <col min="4871" max="4871" width="14.5703125" style="144" customWidth="1"/>
    <col min="4872" max="4875" width="0" style="144" hidden="1" customWidth="1"/>
    <col min="4876" max="4876" width="13.140625" style="144" customWidth="1"/>
    <col min="4877" max="4877" width="12.7109375" style="144" customWidth="1"/>
    <col min="4878" max="5120" width="9.140625" style="144"/>
    <col min="5121" max="5121" width="5" style="144" customWidth="1"/>
    <col min="5122" max="5122" width="5.7109375" style="144" customWidth="1"/>
    <col min="5123" max="5123" width="75.140625" style="144" customWidth="1"/>
    <col min="5124" max="5124" width="12.7109375" style="144" customWidth="1"/>
    <col min="5125" max="5125" width="11.85546875" style="144" customWidth="1"/>
    <col min="5126" max="5126" width="13" style="144" customWidth="1"/>
    <col min="5127" max="5127" width="14.5703125" style="144" customWidth="1"/>
    <col min="5128" max="5131" width="0" style="144" hidden="1" customWidth="1"/>
    <col min="5132" max="5132" width="13.140625" style="144" customWidth="1"/>
    <col min="5133" max="5133" width="12.7109375" style="144" customWidth="1"/>
    <col min="5134" max="5376" width="9.140625" style="144"/>
    <col min="5377" max="5377" width="5" style="144" customWidth="1"/>
    <col min="5378" max="5378" width="5.7109375" style="144" customWidth="1"/>
    <col min="5379" max="5379" width="75.140625" style="144" customWidth="1"/>
    <col min="5380" max="5380" width="12.7109375" style="144" customWidth="1"/>
    <col min="5381" max="5381" width="11.85546875" style="144" customWidth="1"/>
    <col min="5382" max="5382" width="13" style="144" customWidth="1"/>
    <col min="5383" max="5383" width="14.5703125" style="144" customWidth="1"/>
    <col min="5384" max="5387" width="0" style="144" hidden="1" customWidth="1"/>
    <col min="5388" max="5388" width="13.140625" style="144" customWidth="1"/>
    <col min="5389" max="5389" width="12.7109375" style="144" customWidth="1"/>
    <col min="5390" max="5632" width="9.140625" style="144"/>
    <col min="5633" max="5633" width="5" style="144" customWidth="1"/>
    <col min="5634" max="5634" width="5.7109375" style="144" customWidth="1"/>
    <col min="5635" max="5635" width="75.140625" style="144" customWidth="1"/>
    <col min="5636" max="5636" width="12.7109375" style="144" customWidth="1"/>
    <col min="5637" max="5637" width="11.85546875" style="144" customWidth="1"/>
    <col min="5638" max="5638" width="13" style="144" customWidth="1"/>
    <col min="5639" max="5639" width="14.5703125" style="144" customWidth="1"/>
    <col min="5640" max="5643" width="0" style="144" hidden="1" customWidth="1"/>
    <col min="5644" max="5644" width="13.140625" style="144" customWidth="1"/>
    <col min="5645" max="5645" width="12.7109375" style="144" customWidth="1"/>
    <col min="5646" max="5888" width="9.140625" style="144"/>
    <col min="5889" max="5889" width="5" style="144" customWidth="1"/>
    <col min="5890" max="5890" width="5.7109375" style="144" customWidth="1"/>
    <col min="5891" max="5891" width="75.140625" style="144" customWidth="1"/>
    <col min="5892" max="5892" width="12.7109375" style="144" customWidth="1"/>
    <col min="5893" max="5893" width="11.85546875" style="144" customWidth="1"/>
    <col min="5894" max="5894" width="13" style="144" customWidth="1"/>
    <col min="5895" max="5895" width="14.5703125" style="144" customWidth="1"/>
    <col min="5896" max="5899" width="0" style="144" hidden="1" customWidth="1"/>
    <col min="5900" max="5900" width="13.140625" style="144" customWidth="1"/>
    <col min="5901" max="5901" width="12.7109375" style="144" customWidth="1"/>
    <col min="5902" max="6144" width="9.140625" style="144"/>
    <col min="6145" max="6145" width="5" style="144" customWidth="1"/>
    <col min="6146" max="6146" width="5.7109375" style="144" customWidth="1"/>
    <col min="6147" max="6147" width="75.140625" style="144" customWidth="1"/>
    <col min="6148" max="6148" width="12.7109375" style="144" customWidth="1"/>
    <col min="6149" max="6149" width="11.85546875" style="144" customWidth="1"/>
    <col min="6150" max="6150" width="13" style="144" customWidth="1"/>
    <col min="6151" max="6151" width="14.5703125" style="144" customWidth="1"/>
    <col min="6152" max="6155" width="0" style="144" hidden="1" customWidth="1"/>
    <col min="6156" max="6156" width="13.140625" style="144" customWidth="1"/>
    <col min="6157" max="6157" width="12.7109375" style="144" customWidth="1"/>
    <col min="6158" max="6400" width="9.140625" style="144"/>
    <col min="6401" max="6401" width="5" style="144" customWidth="1"/>
    <col min="6402" max="6402" width="5.7109375" style="144" customWidth="1"/>
    <col min="6403" max="6403" width="75.140625" style="144" customWidth="1"/>
    <col min="6404" max="6404" width="12.7109375" style="144" customWidth="1"/>
    <col min="6405" max="6405" width="11.85546875" style="144" customWidth="1"/>
    <col min="6406" max="6406" width="13" style="144" customWidth="1"/>
    <col min="6407" max="6407" width="14.5703125" style="144" customWidth="1"/>
    <col min="6408" max="6411" width="0" style="144" hidden="1" customWidth="1"/>
    <col min="6412" max="6412" width="13.140625" style="144" customWidth="1"/>
    <col min="6413" max="6413" width="12.7109375" style="144" customWidth="1"/>
    <col min="6414" max="6656" width="9.140625" style="144"/>
    <col min="6657" max="6657" width="5" style="144" customWidth="1"/>
    <col min="6658" max="6658" width="5.7109375" style="144" customWidth="1"/>
    <col min="6659" max="6659" width="75.140625" style="144" customWidth="1"/>
    <col min="6660" max="6660" width="12.7109375" style="144" customWidth="1"/>
    <col min="6661" max="6661" width="11.85546875" style="144" customWidth="1"/>
    <col min="6662" max="6662" width="13" style="144" customWidth="1"/>
    <col min="6663" max="6663" width="14.5703125" style="144" customWidth="1"/>
    <col min="6664" max="6667" width="0" style="144" hidden="1" customWidth="1"/>
    <col min="6668" max="6668" width="13.140625" style="144" customWidth="1"/>
    <col min="6669" max="6669" width="12.7109375" style="144" customWidth="1"/>
    <col min="6670" max="6912" width="9.140625" style="144"/>
    <col min="6913" max="6913" width="5" style="144" customWidth="1"/>
    <col min="6914" max="6914" width="5.7109375" style="144" customWidth="1"/>
    <col min="6915" max="6915" width="75.140625" style="144" customWidth="1"/>
    <col min="6916" max="6916" width="12.7109375" style="144" customWidth="1"/>
    <col min="6917" max="6917" width="11.85546875" style="144" customWidth="1"/>
    <col min="6918" max="6918" width="13" style="144" customWidth="1"/>
    <col min="6919" max="6919" width="14.5703125" style="144" customWidth="1"/>
    <col min="6920" max="6923" width="0" style="144" hidden="1" customWidth="1"/>
    <col min="6924" max="6924" width="13.140625" style="144" customWidth="1"/>
    <col min="6925" max="6925" width="12.7109375" style="144" customWidth="1"/>
    <col min="6926" max="7168" width="9.140625" style="144"/>
    <col min="7169" max="7169" width="5" style="144" customWidth="1"/>
    <col min="7170" max="7170" width="5.7109375" style="144" customWidth="1"/>
    <col min="7171" max="7171" width="75.140625" style="144" customWidth="1"/>
    <col min="7172" max="7172" width="12.7109375" style="144" customWidth="1"/>
    <col min="7173" max="7173" width="11.85546875" style="144" customWidth="1"/>
    <col min="7174" max="7174" width="13" style="144" customWidth="1"/>
    <col min="7175" max="7175" width="14.5703125" style="144" customWidth="1"/>
    <col min="7176" max="7179" width="0" style="144" hidden="1" customWidth="1"/>
    <col min="7180" max="7180" width="13.140625" style="144" customWidth="1"/>
    <col min="7181" max="7181" width="12.7109375" style="144" customWidth="1"/>
    <col min="7182" max="7424" width="9.140625" style="144"/>
    <col min="7425" max="7425" width="5" style="144" customWidth="1"/>
    <col min="7426" max="7426" width="5.7109375" style="144" customWidth="1"/>
    <col min="7427" max="7427" width="75.140625" style="144" customWidth="1"/>
    <col min="7428" max="7428" width="12.7109375" style="144" customWidth="1"/>
    <col min="7429" max="7429" width="11.85546875" style="144" customWidth="1"/>
    <col min="7430" max="7430" width="13" style="144" customWidth="1"/>
    <col min="7431" max="7431" width="14.5703125" style="144" customWidth="1"/>
    <col min="7432" max="7435" width="0" style="144" hidden="1" customWidth="1"/>
    <col min="7436" max="7436" width="13.140625" style="144" customWidth="1"/>
    <col min="7437" max="7437" width="12.7109375" style="144" customWidth="1"/>
    <col min="7438" max="7680" width="9.140625" style="144"/>
    <col min="7681" max="7681" width="5" style="144" customWidth="1"/>
    <col min="7682" max="7682" width="5.7109375" style="144" customWidth="1"/>
    <col min="7683" max="7683" width="75.140625" style="144" customWidth="1"/>
    <col min="7684" max="7684" width="12.7109375" style="144" customWidth="1"/>
    <col min="7685" max="7685" width="11.85546875" style="144" customWidth="1"/>
    <col min="7686" max="7686" width="13" style="144" customWidth="1"/>
    <col min="7687" max="7687" width="14.5703125" style="144" customWidth="1"/>
    <col min="7688" max="7691" width="0" style="144" hidden="1" customWidth="1"/>
    <col min="7692" max="7692" width="13.140625" style="144" customWidth="1"/>
    <col min="7693" max="7693" width="12.7109375" style="144" customWidth="1"/>
    <col min="7694" max="7936" width="9.140625" style="144"/>
    <col min="7937" max="7937" width="5" style="144" customWidth="1"/>
    <col min="7938" max="7938" width="5.7109375" style="144" customWidth="1"/>
    <col min="7939" max="7939" width="75.140625" style="144" customWidth="1"/>
    <col min="7940" max="7940" width="12.7109375" style="144" customWidth="1"/>
    <col min="7941" max="7941" width="11.85546875" style="144" customWidth="1"/>
    <col min="7942" max="7942" width="13" style="144" customWidth="1"/>
    <col min="7943" max="7943" width="14.5703125" style="144" customWidth="1"/>
    <col min="7944" max="7947" width="0" style="144" hidden="1" customWidth="1"/>
    <col min="7948" max="7948" width="13.140625" style="144" customWidth="1"/>
    <col min="7949" max="7949" width="12.7109375" style="144" customWidth="1"/>
    <col min="7950" max="8192" width="9.140625" style="144"/>
    <col min="8193" max="8193" width="5" style="144" customWidth="1"/>
    <col min="8194" max="8194" width="5.7109375" style="144" customWidth="1"/>
    <col min="8195" max="8195" width="75.140625" style="144" customWidth="1"/>
    <col min="8196" max="8196" width="12.7109375" style="144" customWidth="1"/>
    <col min="8197" max="8197" width="11.85546875" style="144" customWidth="1"/>
    <col min="8198" max="8198" width="13" style="144" customWidth="1"/>
    <col min="8199" max="8199" width="14.5703125" style="144" customWidth="1"/>
    <col min="8200" max="8203" width="0" style="144" hidden="1" customWidth="1"/>
    <col min="8204" max="8204" width="13.140625" style="144" customWidth="1"/>
    <col min="8205" max="8205" width="12.7109375" style="144" customWidth="1"/>
    <col min="8206" max="8448" width="9.140625" style="144"/>
    <col min="8449" max="8449" width="5" style="144" customWidth="1"/>
    <col min="8450" max="8450" width="5.7109375" style="144" customWidth="1"/>
    <col min="8451" max="8451" width="75.140625" style="144" customWidth="1"/>
    <col min="8452" max="8452" width="12.7109375" style="144" customWidth="1"/>
    <col min="8453" max="8453" width="11.85546875" style="144" customWidth="1"/>
    <col min="8454" max="8454" width="13" style="144" customWidth="1"/>
    <col min="8455" max="8455" width="14.5703125" style="144" customWidth="1"/>
    <col min="8456" max="8459" width="0" style="144" hidden="1" customWidth="1"/>
    <col min="8460" max="8460" width="13.140625" style="144" customWidth="1"/>
    <col min="8461" max="8461" width="12.7109375" style="144" customWidth="1"/>
    <col min="8462" max="8704" width="9.140625" style="144"/>
    <col min="8705" max="8705" width="5" style="144" customWidth="1"/>
    <col min="8706" max="8706" width="5.7109375" style="144" customWidth="1"/>
    <col min="8707" max="8707" width="75.140625" style="144" customWidth="1"/>
    <col min="8708" max="8708" width="12.7109375" style="144" customWidth="1"/>
    <col min="8709" max="8709" width="11.85546875" style="144" customWidth="1"/>
    <col min="8710" max="8710" width="13" style="144" customWidth="1"/>
    <col min="8711" max="8711" width="14.5703125" style="144" customWidth="1"/>
    <col min="8712" max="8715" width="0" style="144" hidden="1" customWidth="1"/>
    <col min="8716" max="8716" width="13.140625" style="144" customWidth="1"/>
    <col min="8717" max="8717" width="12.7109375" style="144" customWidth="1"/>
    <col min="8718" max="8960" width="9.140625" style="144"/>
    <col min="8961" max="8961" width="5" style="144" customWidth="1"/>
    <col min="8962" max="8962" width="5.7109375" style="144" customWidth="1"/>
    <col min="8963" max="8963" width="75.140625" style="144" customWidth="1"/>
    <col min="8964" max="8964" width="12.7109375" style="144" customWidth="1"/>
    <col min="8965" max="8965" width="11.85546875" style="144" customWidth="1"/>
    <col min="8966" max="8966" width="13" style="144" customWidth="1"/>
    <col min="8967" max="8967" width="14.5703125" style="144" customWidth="1"/>
    <col min="8968" max="8971" width="0" style="144" hidden="1" customWidth="1"/>
    <col min="8972" max="8972" width="13.140625" style="144" customWidth="1"/>
    <col min="8973" max="8973" width="12.7109375" style="144" customWidth="1"/>
    <col min="8974" max="9216" width="9.140625" style="144"/>
    <col min="9217" max="9217" width="5" style="144" customWidth="1"/>
    <col min="9218" max="9218" width="5.7109375" style="144" customWidth="1"/>
    <col min="9219" max="9219" width="75.140625" style="144" customWidth="1"/>
    <col min="9220" max="9220" width="12.7109375" style="144" customWidth="1"/>
    <col min="9221" max="9221" width="11.85546875" style="144" customWidth="1"/>
    <col min="9222" max="9222" width="13" style="144" customWidth="1"/>
    <col min="9223" max="9223" width="14.5703125" style="144" customWidth="1"/>
    <col min="9224" max="9227" width="0" style="144" hidden="1" customWidth="1"/>
    <col min="9228" max="9228" width="13.140625" style="144" customWidth="1"/>
    <col min="9229" max="9229" width="12.7109375" style="144" customWidth="1"/>
    <col min="9230" max="9472" width="9.140625" style="144"/>
    <col min="9473" max="9473" width="5" style="144" customWidth="1"/>
    <col min="9474" max="9474" width="5.7109375" style="144" customWidth="1"/>
    <col min="9475" max="9475" width="75.140625" style="144" customWidth="1"/>
    <col min="9476" max="9476" width="12.7109375" style="144" customWidth="1"/>
    <col min="9477" max="9477" width="11.85546875" style="144" customWidth="1"/>
    <col min="9478" max="9478" width="13" style="144" customWidth="1"/>
    <col min="9479" max="9479" width="14.5703125" style="144" customWidth="1"/>
    <col min="9480" max="9483" width="0" style="144" hidden="1" customWidth="1"/>
    <col min="9484" max="9484" width="13.140625" style="144" customWidth="1"/>
    <col min="9485" max="9485" width="12.7109375" style="144" customWidth="1"/>
    <col min="9486" max="9728" width="9.140625" style="144"/>
    <col min="9729" max="9729" width="5" style="144" customWidth="1"/>
    <col min="9730" max="9730" width="5.7109375" style="144" customWidth="1"/>
    <col min="9731" max="9731" width="75.140625" style="144" customWidth="1"/>
    <col min="9732" max="9732" width="12.7109375" style="144" customWidth="1"/>
    <col min="9733" max="9733" width="11.85546875" style="144" customWidth="1"/>
    <col min="9734" max="9734" width="13" style="144" customWidth="1"/>
    <col min="9735" max="9735" width="14.5703125" style="144" customWidth="1"/>
    <col min="9736" max="9739" width="0" style="144" hidden="1" customWidth="1"/>
    <col min="9740" max="9740" width="13.140625" style="144" customWidth="1"/>
    <col min="9741" max="9741" width="12.7109375" style="144" customWidth="1"/>
    <col min="9742" max="9984" width="9.140625" style="144"/>
    <col min="9985" max="9985" width="5" style="144" customWidth="1"/>
    <col min="9986" max="9986" width="5.7109375" style="144" customWidth="1"/>
    <col min="9987" max="9987" width="75.140625" style="144" customWidth="1"/>
    <col min="9988" max="9988" width="12.7109375" style="144" customWidth="1"/>
    <col min="9989" max="9989" width="11.85546875" style="144" customWidth="1"/>
    <col min="9990" max="9990" width="13" style="144" customWidth="1"/>
    <col min="9991" max="9991" width="14.5703125" style="144" customWidth="1"/>
    <col min="9992" max="9995" width="0" style="144" hidden="1" customWidth="1"/>
    <col min="9996" max="9996" width="13.140625" style="144" customWidth="1"/>
    <col min="9997" max="9997" width="12.7109375" style="144" customWidth="1"/>
    <col min="9998" max="10240" width="9.140625" style="144"/>
    <col min="10241" max="10241" width="5" style="144" customWidth="1"/>
    <col min="10242" max="10242" width="5.7109375" style="144" customWidth="1"/>
    <col min="10243" max="10243" width="75.140625" style="144" customWidth="1"/>
    <col min="10244" max="10244" width="12.7109375" style="144" customWidth="1"/>
    <col min="10245" max="10245" width="11.85546875" style="144" customWidth="1"/>
    <col min="10246" max="10246" width="13" style="144" customWidth="1"/>
    <col min="10247" max="10247" width="14.5703125" style="144" customWidth="1"/>
    <col min="10248" max="10251" width="0" style="144" hidden="1" customWidth="1"/>
    <col min="10252" max="10252" width="13.140625" style="144" customWidth="1"/>
    <col min="10253" max="10253" width="12.7109375" style="144" customWidth="1"/>
    <col min="10254" max="10496" width="9.140625" style="144"/>
    <col min="10497" max="10497" width="5" style="144" customWidth="1"/>
    <col min="10498" max="10498" width="5.7109375" style="144" customWidth="1"/>
    <col min="10499" max="10499" width="75.140625" style="144" customWidth="1"/>
    <col min="10500" max="10500" width="12.7109375" style="144" customWidth="1"/>
    <col min="10501" max="10501" width="11.85546875" style="144" customWidth="1"/>
    <col min="10502" max="10502" width="13" style="144" customWidth="1"/>
    <col min="10503" max="10503" width="14.5703125" style="144" customWidth="1"/>
    <col min="10504" max="10507" width="0" style="144" hidden="1" customWidth="1"/>
    <col min="10508" max="10508" width="13.140625" style="144" customWidth="1"/>
    <col min="10509" max="10509" width="12.7109375" style="144" customWidth="1"/>
    <col min="10510" max="10752" width="9.140625" style="144"/>
    <col min="10753" max="10753" width="5" style="144" customWidth="1"/>
    <col min="10754" max="10754" width="5.7109375" style="144" customWidth="1"/>
    <col min="10755" max="10755" width="75.140625" style="144" customWidth="1"/>
    <col min="10756" max="10756" width="12.7109375" style="144" customWidth="1"/>
    <col min="10757" max="10757" width="11.85546875" style="144" customWidth="1"/>
    <col min="10758" max="10758" width="13" style="144" customWidth="1"/>
    <col min="10759" max="10759" width="14.5703125" style="144" customWidth="1"/>
    <col min="10760" max="10763" width="0" style="144" hidden="1" customWidth="1"/>
    <col min="10764" max="10764" width="13.140625" style="144" customWidth="1"/>
    <col min="10765" max="10765" width="12.7109375" style="144" customWidth="1"/>
    <col min="10766" max="11008" width="9.140625" style="144"/>
    <col min="11009" max="11009" width="5" style="144" customWidth="1"/>
    <col min="11010" max="11010" width="5.7109375" style="144" customWidth="1"/>
    <col min="11011" max="11011" width="75.140625" style="144" customWidth="1"/>
    <col min="11012" max="11012" width="12.7109375" style="144" customWidth="1"/>
    <col min="11013" max="11013" width="11.85546875" style="144" customWidth="1"/>
    <col min="11014" max="11014" width="13" style="144" customWidth="1"/>
    <col min="11015" max="11015" width="14.5703125" style="144" customWidth="1"/>
    <col min="11016" max="11019" width="0" style="144" hidden="1" customWidth="1"/>
    <col min="11020" max="11020" width="13.140625" style="144" customWidth="1"/>
    <col min="11021" max="11021" width="12.7109375" style="144" customWidth="1"/>
    <col min="11022" max="11264" width="9.140625" style="144"/>
    <col min="11265" max="11265" width="5" style="144" customWidth="1"/>
    <col min="11266" max="11266" width="5.7109375" style="144" customWidth="1"/>
    <col min="11267" max="11267" width="75.140625" style="144" customWidth="1"/>
    <col min="11268" max="11268" width="12.7109375" style="144" customWidth="1"/>
    <col min="11269" max="11269" width="11.85546875" style="144" customWidth="1"/>
    <col min="11270" max="11270" width="13" style="144" customWidth="1"/>
    <col min="11271" max="11271" width="14.5703125" style="144" customWidth="1"/>
    <col min="11272" max="11275" width="0" style="144" hidden="1" customWidth="1"/>
    <col min="11276" max="11276" width="13.140625" style="144" customWidth="1"/>
    <col min="11277" max="11277" width="12.7109375" style="144" customWidth="1"/>
    <col min="11278" max="11520" width="9.140625" style="144"/>
    <col min="11521" max="11521" width="5" style="144" customWidth="1"/>
    <col min="11522" max="11522" width="5.7109375" style="144" customWidth="1"/>
    <col min="11523" max="11523" width="75.140625" style="144" customWidth="1"/>
    <col min="11524" max="11524" width="12.7109375" style="144" customWidth="1"/>
    <col min="11525" max="11525" width="11.85546875" style="144" customWidth="1"/>
    <col min="11526" max="11526" width="13" style="144" customWidth="1"/>
    <col min="11527" max="11527" width="14.5703125" style="144" customWidth="1"/>
    <col min="11528" max="11531" width="0" style="144" hidden="1" customWidth="1"/>
    <col min="11532" max="11532" width="13.140625" style="144" customWidth="1"/>
    <col min="11533" max="11533" width="12.7109375" style="144" customWidth="1"/>
    <col min="11534" max="11776" width="9.140625" style="144"/>
    <col min="11777" max="11777" width="5" style="144" customWidth="1"/>
    <col min="11778" max="11778" width="5.7109375" style="144" customWidth="1"/>
    <col min="11779" max="11779" width="75.140625" style="144" customWidth="1"/>
    <col min="11780" max="11780" width="12.7109375" style="144" customWidth="1"/>
    <col min="11781" max="11781" width="11.85546875" style="144" customWidth="1"/>
    <col min="11782" max="11782" width="13" style="144" customWidth="1"/>
    <col min="11783" max="11783" width="14.5703125" style="144" customWidth="1"/>
    <col min="11784" max="11787" width="0" style="144" hidden="1" customWidth="1"/>
    <col min="11788" max="11788" width="13.140625" style="144" customWidth="1"/>
    <col min="11789" max="11789" width="12.7109375" style="144" customWidth="1"/>
    <col min="11790" max="12032" width="9.140625" style="144"/>
    <col min="12033" max="12033" width="5" style="144" customWidth="1"/>
    <col min="12034" max="12034" width="5.7109375" style="144" customWidth="1"/>
    <col min="12035" max="12035" width="75.140625" style="144" customWidth="1"/>
    <col min="12036" max="12036" width="12.7109375" style="144" customWidth="1"/>
    <col min="12037" max="12037" width="11.85546875" style="144" customWidth="1"/>
    <col min="12038" max="12038" width="13" style="144" customWidth="1"/>
    <col min="12039" max="12039" width="14.5703125" style="144" customWidth="1"/>
    <col min="12040" max="12043" width="0" style="144" hidden="1" customWidth="1"/>
    <col min="12044" max="12044" width="13.140625" style="144" customWidth="1"/>
    <col min="12045" max="12045" width="12.7109375" style="144" customWidth="1"/>
    <col min="12046" max="12288" width="9.140625" style="144"/>
    <col min="12289" max="12289" width="5" style="144" customWidth="1"/>
    <col min="12290" max="12290" width="5.7109375" style="144" customWidth="1"/>
    <col min="12291" max="12291" width="75.140625" style="144" customWidth="1"/>
    <col min="12292" max="12292" width="12.7109375" style="144" customWidth="1"/>
    <col min="12293" max="12293" width="11.85546875" style="144" customWidth="1"/>
    <col min="12294" max="12294" width="13" style="144" customWidth="1"/>
    <col min="12295" max="12295" width="14.5703125" style="144" customWidth="1"/>
    <col min="12296" max="12299" width="0" style="144" hidden="1" customWidth="1"/>
    <col min="12300" max="12300" width="13.140625" style="144" customWidth="1"/>
    <col min="12301" max="12301" width="12.7109375" style="144" customWidth="1"/>
    <col min="12302" max="12544" width="9.140625" style="144"/>
    <col min="12545" max="12545" width="5" style="144" customWidth="1"/>
    <col min="12546" max="12546" width="5.7109375" style="144" customWidth="1"/>
    <col min="12547" max="12547" width="75.140625" style="144" customWidth="1"/>
    <col min="12548" max="12548" width="12.7109375" style="144" customWidth="1"/>
    <col min="12549" max="12549" width="11.85546875" style="144" customWidth="1"/>
    <col min="12550" max="12550" width="13" style="144" customWidth="1"/>
    <col min="12551" max="12551" width="14.5703125" style="144" customWidth="1"/>
    <col min="12552" max="12555" width="0" style="144" hidden="1" customWidth="1"/>
    <col min="12556" max="12556" width="13.140625" style="144" customWidth="1"/>
    <col min="12557" max="12557" width="12.7109375" style="144" customWidth="1"/>
    <col min="12558" max="12800" width="9.140625" style="144"/>
    <col min="12801" max="12801" width="5" style="144" customWidth="1"/>
    <col min="12802" max="12802" width="5.7109375" style="144" customWidth="1"/>
    <col min="12803" max="12803" width="75.140625" style="144" customWidth="1"/>
    <col min="12804" max="12804" width="12.7109375" style="144" customWidth="1"/>
    <col min="12805" max="12805" width="11.85546875" style="144" customWidth="1"/>
    <col min="12806" max="12806" width="13" style="144" customWidth="1"/>
    <col min="12807" max="12807" width="14.5703125" style="144" customWidth="1"/>
    <col min="12808" max="12811" width="0" style="144" hidden="1" customWidth="1"/>
    <col min="12812" max="12812" width="13.140625" style="144" customWidth="1"/>
    <col min="12813" max="12813" width="12.7109375" style="144" customWidth="1"/>
    <col min="12814" max="13056" width="9.140625" style="144"/>
    <col min="13057" max="13057" width="5" style="144" customWidth="1"/>
    <col min="13058" max="13058" width="5.7109375" style="144" customWidth="1"/>
    <col min="13059" max="13059" width="75.140625" style="144" customWidth="1"/>
    <col min="13060" max="13060" width="12.7109375" style="144" customWidth="1"/>
    <col min="13061" max="13061" width="11.85546875" style="144" customWidth="1"/>
    <col min="13062" max="13062" width="13" style="144" customWidth="1"/>
    <col min="13063" max="13063" width="14.5703125" style="144" customWidth="1"/>
    <col min="13064" max="13067" width="0" style="144" hidden="1" customWidth="1"/>
    <col min="13068" max="13068" width="13.140625" style="144" customWidth="1"/>
    <col min="13069" max="13069" width="12.7109375" style="144" customWidth="1"/>
    <col min="13070" max="13312" width="9.140625" style="144"/>
    <col min="13313" max="13313" width="5" style="144" customWidth="1"/>
    <col min="13314" max="13314" width="5.7109375" style="144" customWidth="1"/>
    <col min="13315" max="13315" width="75.140625" style="144" customWidth="1"/>
    <col min="13316" max="13316" width="12.7109375" style="144" customWidth="1"/>
    <col min="13317" max="13317" width="11.85546875" style="144" customWidth="1"/>
    <col min="13318" max="13318" width="13" style="144" customWidth="1"/>
    <col min="13319" max="13319" width="14.5703125" style="144" customWidth="1"/>
    <col min="13320" max="13323" width="0" style="144" hidden="1" customWidth="1"/>
    <col min="13324" max="13324" width="13.140625" style="144" customWidth="1"/>
    <col min="13325" max="13325" width="12.7109375" style="144" customWidth="1"/>
    <col min="13326" max="13568" width="9.140625" style="144"/>
    <col min="13569" max="13569" width="5" style="144" customWidth="1"/>
    <col min="13570" max="13570" width="5.7109375" style="144" customWidth="1"/>
    <col min="13571" max="13571" width="75.140625" style="144" customWidth="1"/>
    <col min="13572" max="13572" width="12.7109375" style="144" customWidth="1"/>
    <col min="13573" max="13573" width="11.85546875" style="144" customWidth="1"/>
    <col min="13574" max="13574" width="13" style="144" customWidth="1"/>
    <col min="13575" max="13575" width="14.5703125" style="144" customWidth="1"/>
    <col min="13576" max="13579" width="0" style="144" hidden="1" customWidth="1"/>
    <col min="13580" max="13580" width="13.140625" style="144" customWidth="1"/>
    <col min="13581" max="13581" width="12.7109375" style="144" customWidth="1"/>
    <col min="13582" max="13824" width="9.140625" style="144"/>
    <col min="13825" max="13825" width="5" style="144" customWidth="1"/>
    <col min="13826" max="13826" width="5.7109375" style="144" customWidth="1"/>
    <col min="13827" max="13827" width="75.140625" style="144" customWidth="1"/>
    <col min="13828" max="13828" width="12.7109375" style="144" customWidth="1"/>
    <col min="13829" max="13829" width="11.85546875" style="144" customWidth="1"/>
    <col min="13830" max="13830" width="13" style="144" customWidth="1"/>
    <col min="13831" max="13831" width="14.5703125" style="144" customWidth="1"/>
    <col min="13832" max="13835" width="0" style="144" hidden="1" customWidth="1"/>
    <col min="13836" max="13836" width="13.140625" style="144" customWidth="1"/>
    <col min="13837" max="13837" width="12.7109375" style="144" customWidth="1"/>
    <col min="13838" max="14080" width="9.140625" style="144"/>
    <col min="14081" max="14081" width="5" style="144" customWidth="1"/>
    <col min="14082" max="14082" width="5.7109375" style="144" customWidth="1"/>
    <col min="14083" max="14083" width="75.140625" style="144" customWidth="1"/>
    <col min="14084" max="14084" width="12.7109375" style="144" customWidth="1"/>
    <col min="14085" max="14085" width="11.85546875" style="144" customWidth="1"/>
    <col min="14086" max="14086" width="13" style="144" customWidth="1"/>
    <col min="14087" max="14087" width="14.5703125" style="144" customWidth="1"/>
    <col min="14088" max="14091" width="0" style="144" hidden="1" customWidth="1"/>
    <col min="14092" max="14092" width="13.140625" style="144" customWidth="1"/>
    <col min="14093" max="14093" width="12.7109375" style="144" customWidth="1"/>
    <col min="14094" max="14336" width="9.140625" style="144"/>
    <col min="14337" max="14337" width="5" style="144" customWidth="1"/>
    <col min="14338" max="14338" width="5.7109375" style="144" customWidth="1"/>
    <col min="14339" max="14339" width="75.140625" style="144" customWidth="1"/>
    <col min="14340" max="14340" width="12.7109375" style="144" customWidth="1"/>
    <col min="14341" max="14341" width="11.85546875" style="144" customWidth="1"/>
    <col min="14342" max="14342" width="13" style="144" customWidth="1"/>
    <col min="14343" max="14343" width="14.5703125" style="144" customWidth="1"/>
    <col min="14344" max="14347" width="0" style="144" hidden="1" customWidth="1"/>
    <col min="14348" max="14348" width="13.140625" style="144" customWidth="1"/>
    <col min="14349" max="14349" width="12.7109375" style="144" customWidth="1"/>
    <col min="14350" max="14592" width="9.140625" style="144"/>
    <col min="14593" max="14593" width="5" style="144" customWidth="1"/>
    <col min="14594" max="14594" width="5.7109375" style="144" customWidth="1"/>
    <col min="14595" max="14595" width="75.140625" style="144" customWidth="1"/>
    <col min="14596" max="14596" width="12.7109375" style="144" customWidth="1"/>
    <col min="14597" max="14597" width="11.85546875" style="144" customWidth="1"/>
    <col min="14598" max="14598" width="13" style="144" customWidth="1"/>
    <col min="14599" max="14599" width="14.5703125" style="144" customWidth="1"/>
    <col min="14600" max="14603" width="0" style="144" hidden="1" customWidth="1"/>
    <col min="14604" max="14604" width="13.140625" style="144" customWidth="1"/>
    <col min="14605" max="14605" width="12.7109375" style="144" customWidth="1"/>
    <col min="14606" max="14848" width="9.140625" style="144"/>
    <col min="14849" max="14849" width="5" style="144" customWidth="1"/>
    <col min="14850" max="14850" width="5.7109375" style="144" customWidth="1"/>
    <col min="14851" max="14851" width="75.140625" style="144" customWidth="1"/>
    <col min="14852" max="14852" width="12.7109375" style="144" customWidth="1"/>
    <col min="14853" max="14853" width="11.85546875" style="144" customWidth="1"/>
    <col min="14854" max="14854" width="13" style="144" customWidth="1"/>
    <col min="14855" max="14855" width="14.5703125" style="144" customWidth="1"/>
    <col min="14856" max="14859" width="0" style="144" hidden="1" customWidth="1"/>
    <col min="14860" max="14860" width="13.140625" style="144" customWidth="1"/>
    <col min="14861" max="14861" width="12.7109375" style="144" customWidth="1"/>
    <col min="14862" max="15104" width="9.140625" style="144"/>
    <col min="15105" max="15105" width="5" style="144" customWidth="1"/>
    <col min="15106" max="15106" width="5.7109375" style="144" customWidth="1"/>
    <col min="15107" max="15107" width="75.140625" style="144" customWidth="1"/>
    <col min="15108" max="15108" width="12.7109375" style="144" customWidth="1"/>
    <col min="15109" max="15109" width="11.85546875" style="144" customWidth="1"/>
    <col min="15110" max="15110" width="13" style="144" customWidth="1"/>
    <col min="15111" max="15111" width="14.5703125" style="144" customWidth="1"/>
    <col min="15112" max="15115" width="0" style="144" hidden="1" customWidth="1"/>
    <col min="15116" max="15116" width="13.140625" style="144" customWidth="1"/>
    <col min="15117" max="15117" width="12.7109375" style="144" customWidth="1"/>
    <col min="15118" max="15360" width="9.140625" style="144"/>
    <col min="15361" max="15361" width="5" style="144" customWidth="1"/>
    <col min="15362" max="15362" width="5.7109375" style="144" customWidth="1"/>
    <col min="15363" max="15363" width="75.140625" style="144" customWidth="1"/>
    <col min="15364" max="15364" width="12.7109375" style="144" customWidth="1"/>
    <col min="15365" max="15365" width="11.85546875" style="144" customWidth="1"/>
    <col min="15366" max="15366" width="13" style="144" customWidth="1"/>
    <col min="15367" max="15367" width="14.5703125" style="144" customWidth="1"/>
    <col min="15368" max="15371" width="0" style="144" hidden="1" customWidth="1"/>
    <col min="15372" max="15372" width="13.140625" style="144" customWidth="1"/>
    <col min="15373" max="15373" width="12.7109375" style="144" customWidth="1"/>
    <col min="15374" max="15616" width="9.140625" style="144"/>
    <col min="15617" max="15617" width="5" style="144" customWidth="1"/>
    <col min="15618" max="15618" width="5.7109375" style="144" customWidth="1"/>
    <col min="15619" max="15619" width="75.140625" style="144" customWidth="1"/>
    <col min="15620" max="15620" width="12.7109375" style="144" customWidth="1"/>
    <col min="15621" max="15621" width="11.85546875" style="144" customWidth="1"/>
    <col min="15622" max="15622" width="13" style="144" customWidth="1"/>
    <col min="15623" max="15623" width="14.5703125" style="144" customWidth="1"/>
    <col min="15624" max="15627" width="0" style="144" hidden="1" customWidth="1"/>
    <col min="15628" max="15628" width="13.140625" style="144" customWidth="1"/>
    <col min="15629" max="15629" width="12.7109375" style="144" customWidth="1"/>
    <col min="15630" max="15872" width="9.140625" style="144"/>
    <col min="15873" max="15873" width="5" style="144" customWidth="1"/>
    <col min="15874" max="15874" width="5.7109375" style="144" customWidth="1"/>
    <col min="15875" max="15875" width="75.140625" style="144" customWidth="1"/>
    <col min="15876" max="15876" width="12.7109375" style="144" customWidth="1"/>
    <col min="15877" max="15877" width="11.85546875" style="144" customWidth="1"/>
    <col min="15878" max="15878" width="13" style="144" customWidth="1"/>
    <col min="15879" max="15879" width="14.5703125" style="144" customWidth="1"/>
    <col min="15880" max="15883" width="0" style="144" hidden="1" customWidth="1"/>
    <col min="15884" max="15884" width="13.140625" style="144" customWidth="1"/>
    <col min="15885" max="15885" width="12.7109375" style="144" customWidth="1"/>
    <col min="15886" max="16128" width="9.140625" style="144"/>
    <col min="16129" max="16129" width="5" style="144" customWidth="1"/>
    <col min="16130" max="16130" width="5.7109375" style="144" customWidth="1"/>
    <col min="16131" max="16131" width="75.140625" style="144" customWidth="1"/>
    <col min="16132" max="16132" width="12.7109375" style="144" customWidth="1"/>
    <col min="16133" max="16133" width="11.85546875" style="144" customWidth="1"/>
    <col min="16134" max="16134" width="13" style="144" customWidth="1"/>
    <col min="16135" max="16135" width="14.5703125" style="144" customWidth="1"/>
    <col min="16136" max="16139" width="0" style="144" hidden="1" customWidth="1"/>
    <col min="16140" max="16140" width="13.140625" style="144" customWidth="1"/>
    <col min="16141" max="16141" width="12.7109375" style="144" customWidth="1"/>
    <col min="16142" max="16384" width="9.140625" style="144"/>
  </cols>
  <sheetData>
    <row r="1" spans="1:13">
      <c r="A1" s="144" t="s">
        <v>0</v>
      </c>
      <c r="E1" s="478" t="s">
        <v>371</v>
      </c>
      <c r="F1" s="478"/>
      <c r="G1" s="478"/>
      <c r="H1" s="478"/>
      <c r="I1" s="478"/>
      <c r="J1" s="478"/>
      <c r="K1" s="478"/>
      <c r="L1" s="478"/>
      <c r="M1" s="478"/>
    </row>
    <row r="2" spans="1:13">
      <c r="A2" s="144" t="s">
        <v>2</v>
      </c>
      <c r="E2" s="478" t="s">
        <v>3</v>
      </c>
      <c r="F2" s="478"/>
      <c r="G2" s="478"/>
      <c r="H2" s="478"/>
      <c r="I2" s="478"/>
      <c r="J2" s="478"/>
      <c r="K2" s="478"/>
      <c r="L2" s="478"/>
      <c r="M2" s="478"/>
    </row>
    <row r="3" spans="1:13">
      <c r="A3" s="144" t="s">
        <v>120</v>
      </c>
      <c r="E3" s="478" t="s">
        <v>5</v>
      </c>
      <c r="F3" s="478"/>
      <c r="G3" s="478"/>
      <c r="H3" s="478"/>
      <c r="I3" s="478"/>
      <c r="J3" s="478"/>
      <c r="K3" s="478"/>
      <c r="L3" s="478"/>
      <c r="M3" s="478"/>
    </row>
    <row r="4" spans="1:13">
      <c r="A4" s="144" t="s">
        <v>6</v>
      </c>
    </row>
    <row r="5" spans="1:13">
      <c r="A5" s="479" t="s">
        <v>372</v>
      </c>
      <c r="B5" s="479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</row>
    <row r="6" spans="1:13" ht="15" customHeight="1">
      <c r="A6" s="477" t="s">
        <v>373</v>
      </c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</row>
    <row r="7" spans="1:13" ht="15" customHeight="1">
      <c r="A7" s="477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</row>
    <row r="8" spans="1:13">
      <c r="A8" s="468" t="s">
        <v>9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</row>
    <row r="9" spans="1:13" s="309" customFormat="1">
      <c r="A9" s="469"/>
      <c r="B9" s="469"/>
      <c r="C9" s="469" t="s">
        <v>10</v>
      </c>
      <c r="D9" s="469" t="s">
        <v>374</v>
      </c>
      <c r="E9" s="469" t="s">
        <v>375</v>
      </c>
      <c r="F9" s="469"/>
      <c r="G9" s="469" t="s">
        <v>376</v>
      </c>
      <c r="H9" s="469"/>
      <c r="I9" s="469"/>
      <c r="J9" s="469"/>
      <c r="K9" s="469"/>
      <c r="L9" s="469"/>
      <c r="M9" s="469"/>
    </row>
    <row r="10" spans="1:13" s="309" customFormat="1" ht="33" customHeight="1">
      <c r="A10" s="469"/>
      <c r="B10" s="469"/>
      <c r="C10" s="469"/>
      <c r="D10" s="469"/>
      <c r="E10" s="469" t="s">
        <v>128</v>
      </c>
      <c r="F10" s="469" t="s">
        <v>377</v>
      </c>
      <c r="G10" s="470" t="s">
        <v>378</v>
      </c>
      <c r="H10" s="470" t="s">
        <v>379</v>
      </c>
      <c r="I10" s="472"/>
      <c r="J10" s="472"/>
      <c r="K10" s="473"/>
      <c r="L10" s="308" t="s">
        <v>380</v>
      </c>
      <c r="M10" s="308" t="s">
        <v>381</v>
      </c>
    </row>
    <row r="11" spans="1:13" s="309" customFormat="1" ht="20.25" customHeight="1">
      <c r="A11" s="469"/>
      <c r="B11" s="469"/>
      <c r="C11" s="469"/>
      <c r="D11" s="469"/>
      <c r="E11" s="469"/>
      <c r="F11" s="469"/>
      <c r="G11" s="471"/>
      <c r="H11" s="471"/>
      <c r="I11" s="474"/>
      <c r="J11" s="474"/>
      <c r="K11" s="475"/>
      <c r="L11" s="308" t="s">
        <v>382</v>
      </c>
      <c r="M11" s="308" t="s">
        <v>383</v>
      </c>
    </row>
    <row r="12" spans="1:13">
      <c r="A12" s="310">
        <v>0</v>
      </c>
      <c r="B12" s="310">
        <v>1</v>
      </c>
      <c r="C12" s="310">
        <v>2</v>
      </c>
      <c r="D12" s="310">
        <v>3</v>
      </c>
      <c r="E12" s="310">
        <v>4</v>
      </c>
      <c r="F12" s="310">
        <v>5</v>
      </c>
      <c r="G12" s="310">
        <v>6</v>
      </c>
      <c r="H12" s="310" t="s">
        <v>18</v>
      </c>
      <c r="I12" s="310" t="s">
        <v>19</v>
      </c>
      <c r="J12" s="310" t="s">
        <v>20</v>
      </c>
      <c r="K12" s="310" t="s">
        <v>384</v>
      </c>
      <c r="L12" s="310">
        <v>7</v>
      </c>
      <c r="M12" s="310">
        <v>8</v>
      </c>
    </row>
    <row r="13" spans="1:13" s="315" customFormat="1">
      <c r="A13" s="311" t="s">
        <v>28</v>
      </c>
      <c r="B13" s="312"/>
      <c r="C13" s="313" t="s">
        <v>96</v>
      </c>
      <c r="D13" s="313"/>
      <c r="E13" s="314">
        <f>E14+E18+E19+E22</f>
        <v>508.20000000000005</v>
      </c>
      <c r="F13" s="314">
        <f>F14+F22</f>
        <v>2.77</v>
      </c>
      <c r="G13" s="314">
        <f>G14+G18+G19+G22</f>
        <v>233.85300000000001</v>
      </c>
      <c r="H13" s="314">
        <f>H14+H22+H18+H19+H22</f>
        <v>0</v>
      </c>
      <c r="I13" s="314">
        <f>I14+I22+I18+I19+I22</f>
        <v>0</v>
      </c>
      <c r="J13" s="314">
        <f>J14+J22+J18+J19+J22</f>
        <v>0</v>
      </c>
      <c r="K13" s="314">
        <f>K14+K22+K18+K19+K22</f>
        <v>0</v>
      </c>
      <c r="L13" s="314">
        <f>L14+L18+L19+L22</f>
        <v>180</v>
      </c>
      <c r="M13" s="314">
        <f>M14+M18+M19+M22</f>
        <v>180</v>
      </c>
    </row>
    <row r="14" spans="1:13" ht="30" customHeight="1">
      <c r="A14" s="310"/>
      <c r="B14" s="294">
        <v>1</v>
      </c>
      <c r="C14" s="316" t="s">
        <v>385</v>
      </c>
      <c r="D14" s="316"/>
      <c r="E14" s="317">
        <f t="shared" ref="E14:M14" si="0">E15+E16+E17</f>
        <v>299.40000000000003</v>
      </c>
      <c r="F14" s="317">
        <f t="shared" si="0"/>
        <v>2.77</v>
      </c>
      <c r="G14" s="317">
        <f t="shared" si="0"/>
        <v>11.85</v>
      </c>
      <c r="H14" s="317">
        <f t="shared" si="0"/>
        <v>0</v>
      </c>
      <c r="I14" s="317">
        <f t="shared" si="0"/>
        <v>0</v>
      </c>
      <c r="J14" s="317">
        <f t="shared" si="0"/>
        <v>0</v>
      </c>
      <c r="K14" s="317">
        <f t="shared" si="0"/>
        <v>0</v>
      </c>
      <c r="L14" s="317">
        <f t="shared" si="0"/>
        <v>50</v>
      </c>
      <c r="M14" s="317">
        <f t="shared" si="0"/>
        <v>50</v>
      </c>
    </row>
    <row r="15" spans="1:13" ht="27" customHeight="1">
      <c r="A15" s="310"/>
      <c r="B15" s="294"/>
      <c r="C15" s="318" t="s">
        <v>386</v>
      </c>
      <c r="D15" s="318"/>
      <c r="E15" s="319">
        <v>0</v>
      </c>
      <c r="F15" s="319">
        <v>0</v>
      </c>
      <c r="G15" s="319">
        <v>0</v>
      </c>
      <c r="H15" s="319">
        <v>0</v>
      </c>
      <c r="I15" s="319">
        <v>0</v>
      </c>
      <c r="J15" s="319">
        <v>0</v>
      </c>
      <c r="K15" s="319">
        <v>0</v>
      </c>
      <c r="L15" s="319">
        <v>0</v>
      </c>
      <c r="M15" s="319">
        <v>0</v>
      </c>
    </row>
    <row r="16" spans="1:13" ht="26.25" customHeight="1">
      <c r="A16" s="310"/>
      <c r="B16" s="294"/>
      <c r="C16" s="318" t="s">
        <v>387</v>
      </c>
      <c r="D16" s="318"/>
      <c r="E16" s="319">
        <v>40.11</v>
      </c>
      <c r="F16" s="319">
        <v>0</v>
      </c>
      <c r="G16" s="319">
        <v>0</v>
      </c>
      <c r="H16" s="319">
        <v>0</v>
      </c>
      <c r="I16" s="319">
        <v>0</v>
      </c>
      <c r="J16" s="319">
        <v>0</v>
      </c>
      <c r="K16" s="319">
        <v>0</v>
      </c>
      <c r="L16" s="319">
        <v>50</v>
      </c>
      <c r="M16" s="319">
        <v>50</v>
      </c>
    </row>
    <row r="17" spans="1:16" ht="26.25" customHeight="1">
      <c r="A17" s="310"/>
      <c r="B17" s="294"/>
      <c r="C17" s="318" t="s">
        <v>388</v>
      </c>
      <c r="D17" s="318"/>
      <c r="E17" s="319">
        <v>259.29000000000002</v>
      </c>
      <c r="F17" s="319">
        <v>2.77</v>
      </c>
      <c r="G17" s="319">
        <v>11.85</v>
      </c>
      <c r="H17" s="319">
        <v>0</v>
      </c>
      <c r="I17" s="319">
        <v>0</v>
      </c>
      <c r="J17" s="319">
        <v>0</v>
      </c>
      <c r="K17" s="319">
        <v>0</v>
      </c>
      <c r="L17" s="319">
        <v>0</v>
      </c>
      <c r="M17" s="319">
        <v>0</v>
      </c>
    </row>
    <row r="18" spans="1:16" s="323" customFormat="1" ht="53.25" customHeight="1">
      <c r="A18" s="320"/>
      <c r="B18" s="320">
        <v>2</v>
      </c>
      <c r="C18" s="321" t="s">
        <v>389</v>
      </c>
      <c r="D18" s="321"/>
      <c r="E18" s="322">
        <v>0</v>
      </c>
      <c r="F18" s="322">
        <v>0</v>
      </c>
      <c r="G18" s="322">
        <v>22.003</v>
      </c>
      <c r="H18" s="322">
        <v>0</v>
      </c>
      <c r="I18" s="322">
        <v>0</v>
      </c>
      <c r="J18" s="322">
        <v>0</v>
      </c>
      <c r="K18" s="322">
        <v>0</v>
      </c>
      <c r="L18" s="322">
        <v>0</v>
      </c>
      <c r="M18" s="322">
        <v>0</v>
      </c>
      <c r="P18" s="324"/>
    </row>
    <row r="19" spans="1:16" s="325" customFormat="1">
      <c r="A19" s="294"/>
      <c r="B19" s="294">
        <v>3</v>
      </c>
      <c r="C19" s="316" t="s">
        <v>390</v>
      </c>
      <c r="D19" s="316"/>
      <c r="E19" s="317">
        <v>0</v>
      </c>
      <c r="F19" s="317">
        <v>0</v>
      </c>
      <c r="G19" s="317">
        <v>0</v>
      </c>
      <c r="H19" s="317">
        <v>0</v>
      </c>
      <c r="I19" s="317">
        <v>0</v>
      </c>
      <c r="J19" s="317">
        <v>0</v>
      </c>
      <c r="K19" s="317">
        <v>0</v>
      </c>
      <c r="L19" s="317">
        <v>0</v>
      </c>
      <c r="M19" s="317">
        <f>SUM(M20:M21)</f>
        <v>0</v>
      </c>
    </row>
    <row r="20" spans="1:16">
      <c r="A20" s="310"/>
      <c r="B20" s="310"/>
      <c r="C20" s="318" t="s">
        <v>391</v>
      </c>
      <c r="D20" s="318"/>
      <c r="E20" s="319">
        <v>0</v>
      </c>
      <c r="F20" s="319">
        <v>0</v>
      </c>
      <c r="G20" s="319">
        <v>0</v>
      </c>
      <c r="H20" s="319">
        <v>0</v>
      </c>
      <c r="I20" s="319">
        <v>0</v>
      </c>
      <c r="J20" s="319">
        <v>0</v>
      </c>
      <c r="K20" s="319">
        <v>0</v>
      </c>
      <c r="L20" s="319">
        <v>0</v>
      </c>
      <c r="M20" s="319">
        <v>0</v>
      </c>
    </row>
    <row r="21" spans="1:16">
      <c r="A21" s="310"/>
      <c r="B21" s="310"/>
      <c r="C21" s="318" t="s">
        <v>392</v>
      </c>
      <c r="D21" s="318"/>
      <c r="E21" s="319">
        <v>0</v>
      </c>
      <c r="F21" s="319">
        <v>0</v>
      </c>
      <c r="G21" s="319">
        <v>0</v>
      </c>
      <c r="H21" s="319">
        <v>0</v>
      </c>
      <c r="I21" s="319">
        <v>0</v>
      </c>
      <c r="J21" s="319">
        <v>0</v>
      </c>
      <c r="K21" s="319">
        <v>0</v>
      </c>
      <c r="L21" s="319">
        <v>0</v>
      </c>
      <c r="M21" s="319">
        <v>0</v>
      </c>
    </row>
    <row r="22" spans="1:16" s="325" customFormat="1">
      <c r="A22" s="294"/>
      <c r="B22" s="294">
        <v>4</v>
      </c>
      <c r="C22" s="316" t="s">
        <v>393</v>
      </c>
      <c r="D22" s="316"/>
      <c r="E22" s="317">
        <f>SUM(E23:E24)</f>
        <v>208.8</v>
      </c>
      <c r="F22" s="317">
        <f>F23+F24</f>
        <v>0</v>
      </c>
      <c r="G22" s="317">
        <f t="shared" ref="G22:M22" si="1">SUM(G23:G24)</f>
        <v>200</v>
      </c>
      <c r="H22" s="317">
        <f t="shared" si="1"/>
        <v>0</v>
      </c>
      <c r="I22" s="317">
        <f t="shared" si="1"/>
        <v>0</v>
      </c>
      <c r="J22" s="317">
        <f t="shared" si="1"/>
        <v>0</v>
      </c>
      <c r="K22" s="317">
        <f t="shared" si="1"/>
        <v>0</v>
      </c>
      <c r="L22" s="317">
        <f t="shared" si="1"/>
        <v>130</v>
      </c>
      <c r="M22" s="317">
        <f t="shared" si="1"/>
        <v>130</v>
      </c>
    </row>
    <row r="23" spans="1:16">
      <c r="A23" s="310"/>
      <c r="B23" s="310"/>
      <c r="C23" s="318" t="s">
        <v>394</v>
      </c>
      <c r="D23" s="318"/>
      <c r="E23" s="319">
        <v>0</v>
      </c>
      <c r="F23" s="319">
        <v>0</v>
      </c>
      <c r="G23" s="319">
        <v>0</v>
      </c>
      <c r="H23" s="319">
        <v>0</v>
      </c>
      <c r="I23" s="319">
        <v>0</v>
      </c>
      <c r="J23" s="319">
        <v>0</v>
      </c>
      <c r="K23" s="319">
        <v>0</v>
      </c>
      <c r="L23" s="319">
        <v>0</v>
      </c>
      <c r="M23" s="319">
        <v>0</v>
      </c>
    </row>
    <row r="24" spans="1:16">
      <c r="A24" s="310"/>
      <c r="B24" s="310"/>
      <c r="C24" s="318" t="s">
        <v>395</v>
      </c>
      <c r="D24" s="318"/>
      <c r="E24" s="319">
        <v>208.8</v>
      </c>
      <c r="F24" s="319">
        <v>0</v>
      </c>
      <c r="G24" s="319">
        <v>200</v>
      </c>
      <c r="H24" s="319">
        <v>0</v>
      </c>
      <c r="I24" s="319">
        <v>0</v>
      </c>
      <c r="J24" s="319">
        <v>0</v>
      </c>
      <c r="K24" s="319">
        <v>0</v>
      </c>
      <c r="L24" s="319">
        <v>130</v>
      </c>
      <c r="M24" s="319">
        <v>130</v>
      </c>
    </row>
    <row r="25" spans="1:16" s="315" customFormat="1">
      <c r="A25" s="312" t="s">
        <v>36</v>
      </c>
      <c r="B25" s="312"/>
      <c r="C25" s="313" t="s">
        <v>396</v>
      </c>
      <c r="D25" s="313">
        <f t="shared" ref="D25:M25" si="2">D26+D38+D62+D76+D77</f>
        <v>0</v>
      </c>
      <c r="E25" s="314">
        <f t="shared" si="2"/>
        <v>508.20000000000005</v>
      </c>
      <c r="F25" s="314">
        <f t="shared" si="2"/>
        <v>2.77</v>
      </c>
      <c r="G25" s="314">
        <f t="shared" si="2"/>
        <v>233.852</v>
      </c>
      <c r="H25" s="314">
        <f t="shared" si="2"/>
        <v>0</v>
      </c>
      <c r="I25" s="314">
        <f t="shared" si="2"/>
        <v>0</v>
      </c>
      <c r="J25" s="314">
        <f t="shared" si="2"/>
        <v>0</v>
      </c>
      <c r="K25" s="314">
        <f t="shared" si="2"/>
        <v>0</v>
      </c>
      <c r="L25" s="314">
        <f t="shared" si="2"/>
        <v>235</v>
      </c>
      <c r="M25" s="314">
        <f t="shared" si="2"/>
        <v>180</v>
      </c>
    </row>
    <row r="26" spans="1:16" s="329" customFormat="1" ht="25.5" customHeight="1">
      <c r="A26" s="326"/>
      <c r="B26" s="326">
        <v>1</v>
      </c>
      <c r="C26" s="327" t="s">
        <v>397</v>
      </c>
      <c r="D26" s="327">
        <f>D27+D29+D31+D34</f>
        <v>0</v>
      </c>
      <c r="E26" s="328">
        <f>E27+E29+E31+E34</f>
        <v>0</v>
      </c>
      <c r="F26" s="328">
        <v>0</v>
      </c>
      <c r="G26" s="328">
        <f t="shared" ref="G26:M26" si="3">G27+G29+G31+G34</f>
        <v>0</v>
      </c>
      <c r="H26" s="314">
        <f t="shared" si="3"/>
        <v>0</v>
      </c>
      <c r="I26" s="314">
        <f t="shared" si="3"/>
        <v>0</v>
      </c>
      <c r="J26" s="328">
        <f t="shared" si="3"/>
        <v>0</v>
      </c>
      <c r="K26" s="328">
        <f t="shared" si="3"/>
        <v>0</v>
      </c>
      <c r="L26" s="328">
        <f t="shared" si="3"/>
        <v>50</v>
      </c>
      <c r="M26" s="328">
        <f t="shared" si="3"/>
        <v>50</v>
      </c>
    </row>
    <row r="27" spans="1:16" s="325" customFormat="1" ht="32.25" customHeight="1">
      <c r="A27" s="294"/>
      <c r="B27" s="294"/>
      <c r="C27" s="316" t="s">
        <v>398</v>
      </c>
      <c r="D27" s="316"/>
      <c r="E27" s="317">
        <f>SUM(E28:E28)</f>
        <v>0</v>
      </c>
      <c r="F27" s="317">
        <v>0</v>
      </c>
      <c r="G27" s="317">
        <f t="shared" ref="G27:M27" si="4">SUM(G28:G28)</f>
        <v>0</v>
      </c>
      <c r="H27" s="317">
        <f t="shared" si="4"/>
        <v>0</v>
      </c>
      <c r="I27" s="317">
        <f t="shared" si="4"/>
        <v>0</v>
      </c>
      <c r="J27" s="317">
        <f t="shared" si="4"/>
        <v>0</v>
      </c>
      <c r="K27" s="317">
        <f t="shared" si="4"/>
        <v>0</v>
      </c>
      <c r="L27" s="317">
        <f t="shared" si="4"/>
        <v>50</v>
      </c>
      <c r="M27" s="317">
        <f t="shared" si="4"/>
        <v>50</v>
      </c>
    </row>
    <row r="28" spans="1:16">
      <c r="A28" s="310"/>
      <c r="B28" s="310"/>
      <c r="C28" s="316" t="s">
        <v>399</v>
      </c>
      <c r="D28" s="318"/>
      <c r="E28" s="319">
        <v>0</v>
      </c>
      <c r="F28" s="319">
        <v>0</v>
      </c>
      <c r="G28" s="319">
        <v>0</v>
      </c>
      <c r="H28" s="319">
        <v>0</v>
      </c>
      <c r="I28" s="319">
        <v>0</v>
      </c>
      <c r="J28" s="319">
        <v>0</v>
      </c>
      <c r="K28" s="319">
        <v>0</v>
      </c>
      <c r="L28" s="319">
        <v>50</v>
      </c>
      <c r="M28" s="319">
        <v>50</v>
      </c>
    </row>
    <row r="29" spans="1:16" ht="36">
      <c r="A29" s="310"/>
      <c r="B29" s="310"/>
      <c r="C29" s="318" t="s">
        <v>400</v>
      </c>
      <c r="D29" s="318"/>
      <c r="E29" s="319">
        <v>0</v>
      </c>
      <c r="F29" s="319">
        <v>0</v>
      </c>
      <c r="G29" s="319">
        <v>0</v>
      </c>
      <c r="H29" s="319">
        <v>0</v>
      </c>
      <c r="I29" s="319">
        <v>0</v>
      </c>
      <c r="J29" s="319">
        <v>0</v>
      </c>
      <c r="K29" s="319">
        <v>0</v>
      </c>
      <c r="L29" s="319">
        <f>L30</f>
        <v>0</v>
      </c>
      <c r="M29" s="319">
        <f>M30</f>
        <v>0</v>
      </c>
    </row>
    <row r="30" spans="1:16">
      <c r="A30" s="310"/>
      <c r="B30" s="310"/>
      <c r="C30" s="318" t="s">
        <v>401</v>
      </c>
      <c r="D30" s="318"/>
      <c r="E30" s="319">
        <v>0</v>
      </c>
      <c r="F30" s="319">
        <v>0</v>
      </c>
      <c r="G30" s="319">
        <v>0</v>
      </c>
      <c r="H30" s="319">
        <v>0</v>
      </c>
      <c r="I30" s="319">
        <v>0</v>
      </c>
      <c r="J30" s="319">
        <v>0</v>
      </c>
      <c r="K30" s="319">
        <v>0</v>
      </c>
      <c r="L30" s="319">
        <v>0</v>
      </c>
      <c r="M30" s="319">
        <v>0</v>
      </c>
    </row>
    <row r="31" spans="1:16" ht="36">
      <c r="A31" s="310"/>
      <c r="B31" s="310"/>
      <c r="C31" s="318" t="s">
        <v>402</v>
      </c>
      <c r="D31" s="316"/>
      <c r="E31" s="319">
        <f>SUM(E32:E33)</f>
        <v>0</v>
      </c>
      <c r="F31" s="319">
        <v>0</v>
      </c>
      <c r="G31" s="319">
        <f t="shared" ref="G31:M31" si="5">SUM(G32:G33)</f>
        <v>0</v>
      </c>
      <c r="H31" s="319">
        <f t="shared" si="5"/>
        <v>0</v>
      </c>
      <c r="I31" s="319">
        <f t="shared" si="5"/>
        <v>0</v>
      </c>
      <c r="J31" s="319">
        <f t="shared" si="5"/>
        <v>0</v>
      </c>
      <c r="K31" s="319">
        <f t="shared" si="5"/>
        <v>0</v>
      </c>
      <c r="L31" s="319">
        <f t="shared" si="5"/>
        <v>0</v>
      </c>
      <c r="M31" s="319">
        <f t="shared" si="5"/>
        <v>0</v>
      </c>
    </row>
    <row r="32" spans="1:16">
      <c r="A32" s="310"/>
      <c r="B32" s="310"/>
      <c r="C32" s="318" t="s">
        <v>401</v>
      </c>
      <c r="D32" s="318"/>
      <c r="E32" s="319">
        <v>0</v>
      </c>
      <c r="F32" s="319">
        <v>0</v>
      </c>
      <c r="G32" s="319">
        <v>0</v>
      </c>
      <c r="H32" s="319">
        <v>0</v>
      </c>
      <c r="I32" s="319">
        <v>0</v>
      </c>
      <c r="J32" s="319">
        <v>0</v>
      </c>
      <c r="K32" s="319">
        <v>0</v>
      </c>
      <c r="L32" s="319">
        <v>0</v>
      </c>
      <c r="M32" s="319">
        <v>0</v>
      </c>
    </row>
    <row r="33" spans="1:17">
      <c r="A33" s="310"/>
      <c r="B33" s="310"/>
      <c r="C33" s="318" t="s">
        <v>401</v>
      </c>
      <c r="D33" s="318"/>
      <c r="E33" s="319">
        <v>0</v>
      </c>
      <c r="F33" s="319">
        <v>0</v>
      </c>
      <c r="G33" s="319">
        <v>0</v>
      </c>
      <c r="H33" s="319">
        <v>0</v>
      </c>
      <c r="I33" s="319">
        <v>0</v>
      </c>
      <c r="J33" s="319">
        <v>0</v>
      </c>
      <c r="K33" s="319">
        <v>0</v>
      </c>
      <c r="L33" s="319">
        <v>0</v>
      </c>
      <c r="M33" s="319">
        <v>0</v>
      </c>
    </row>
    <row r="34" spans="1:17" ht="54">
      <c r="A34" s="310"/>
      <c r="B34" s="310"/>
      <c r="C34" s="318" t="s">
        <v>403</v>
      </c>
      <c r="D34" s="318"/>
      <c r="E34" s="319">
        <f>SUM(E35:E37)</f>
        <v>0</v>
      </c>
      <c r="F34" s="319">
        <v>0</v>
      </c>
      <c r="G34" s="319">
        <f>SUM(G35:G37)</f>
        <v>0</v>
      </c>
      <c r="H34" s="319">
        <v>0</v>
      </c>
      <c r="I34" s="319">
        <v>0</v>
      </c>
      <c r="J34" s="319">
        <v>0</v>
      </c>
      <c r="K34" s="319">
        <v>0</v>
      </c>
      <c r="L34" s="319">
        <v>0</v>
      </c>
      <c r="M34" s="319">
        <f>SUM(M35:M37)</f>
        <v>0</v>
      </c>
    </row>
    <row r="35" spans="1:17">
      <c r="A35" s="310"/>
      <c r="B35" s="310"/>
      <c r="C35" s="318" t="s">
        <v>401</v>
      </c>
      <c r="D35" s="318"/>
      <c r="E35" s="319"/>
      <c r="F35" s="319"/>
      <c r="G35" s="319"/>
      <c r="H35" s="319"/>
      <c r="I35" s="319"/>
      <c r="J35" s="319"/>
      <c r="K35" s="319"/>
      <c r="L35" s="319"/>
      <c r="M35" s="319"/>
    </row>
    <row r="36" spans="1:17">
      <c r="A36" s="310"/>
      <c r="B36" s="310"/>
      <c r="C36" s="318"/>
      <c r="D36" s="318"/>
      <c r="E36" s="319"/>
      <c r="F36" s="319"/>
      <c r="G36" s="319"/>
      <c r="H36" s="319"/>
      <c r="I36" s="319"/>
      <c r="J36" s="319"/>
      <c r="K36" s="319"/>
      <c r="L36" s="319"/>
      <c r="M36" s="319"/>
    </row>
    <row r="37" spans="1:17">
      <c r="A37" s="310"/>
      <c r="B37" s="310"/>
      <c r="C37" s="318" t="s">
        <v>401</v>
      </c>
      <c r="D37" s="318"/>
      <c r="E37" s="319"/>
      <c r="F37" s="319"/>
      <c r="G37" s="319"/>
      <c r="H37" s="319"/>
      <c r="I37" s="319"/>
      <c r="J37" s="319"/>
      <c r="K37" s="319"/>
      <c r="L37" s="319"/>
      <c r="M37" s="319"/>
    </row>
    <row r="38" spans="1:17" s="330" customFormat="1">
      <c r="A38" s="326"/>
      <c r="B38" s="326">
        <v>2</v>
      </c>
      <c r="C38" s="327" t="s">
        <v>404</v>
      </c>
      <c r="D38" s="327">
        <v>0</v>
      </c>
      <c r="E38" s="328">
        <f t="shared" ref="E38:M38" si="6">E39+E52+E56+E59</f>
        <v>245.20000000000002</v>
      </c>
      <c r="F38" s="328">
        <f t="shared" si="6"/>
        <v>2.77</v>
      </c>
      <c r="G38" s="328">
        <f t="shared" si="6"/>
        <v>33.852000000000004</v>
      </c>
      <c r="H38" s="314">
        <f t="shared" si="6"/>
        <v>0</v>
      </c>
      <c r="I38" s="314">
        <f t="shared" si="6"/>
        <v>0</v>
      </c>
      <c r="J38" s="328">
        <f t="shared" si="6"/>
        <v>0</v>
      </c>
      <c r="K38" s="328">
        <f t="shared" si="6"/>
        <v>0</v>
      </c>
      <c r="L38" s="328">
        <f t="shared" si="6"/>
        <v>0</v>
      </c>
      <c r="M38" s="328">
        <f t="shared" si="6"/>
        <v>0</v>
      </c>
    </row>
    <row r="39" spans="1:17" ht="36">
      <c r="A39" s="310"/>
      <c r="B39" s="310"/>
      <c r="C39" s="316" t="s">
        <v>405</v>
      </c>
      <c r="D39" s="316"/>
      <c r="E39" s="317">
        <f>E40+E41</f>
        <v>245.20000000000002</v>
      </c>
      <c r="F39" s="317">
        <f>F40+F41+F42+F43+F44+F45+F47+F48+F49+F51</f>
        <v>2.77</v>
      </c>
      <c r="G39" s="317">
        <f>G40+G41</f>
        <v>33.852000000000004</v>
      </c>
      <c r="H39" s="317">
        <f t="shared" ref="H39:M39" si="7">H40+H41+H42+H43+H44+H45+H47+H48+H49+H51</f>
        <v>0</v>
      </c>
      <c r="I39" s="317">
        <f t="shared" si="7"/>
        <v>0</v>
      </c>
      <c r="J39" s="317">
        <f t="shared" si="7"/>
        <v>0</v>
      </c>
      <c r="K39" s="317">
        <f t="shared" si="7"/>
        <v>0</v>
      </c>
      <c r="L39" s="317">
        <f t="shared" si="7"/>
        <v>0</v>
      </c>
      <c r="M39" s="317">
        <f t="shared" si="7"/>
        <v>0</v>
      </c>
    </row>
    <row r="40" spans="1:17">
      <c r="A40" s="310"/>
      <c r="B40" s="310"/>
      <c r="C40" s="318" t="s">
        <v>406</v>
      </c>
      <c r="D40" s="318"/>
      <c r="E40" s="319">
        <v>2.8</v>
      </c>
      <c r="F40" s="319">
        <v>2.77</v>
      </c>
      <c r="G40" s="319">
        <v>0</v>
      </c>
      <c r="H40" s="319">
        <v>0</v>
      </c>
      <c r="I40" s="319">
        <v>0</v>
      </c>
      <c r="J40" s="319">
        <v>0</v>
      </c>
      <c r="K40" s="319"/>
      <c r="L40" s="319">
        <v>0</v>
      </c>
      <c r="M40" s="319">
        <v>0</v>
      </c>
    </row>
    <row r="41" spans="1:17" s="323" customFormat="1">
      <c r="A41" s="320"/>
      <c r="B41" s="320"/>
      <c r="C41" s="321" t="s">
        <v>407</v>
      </c>
      <c r="D41" s="321"/>
      <c r="E41" s="322">
        <f>SUM(E42:E50)</f>
        <v>242.4</v>
      </c>
      <c r="F41" s="322">
        <f>SUM(F42:F48)</f>
        <v>0</v>
      </c>
      <c r="G41" s="322">
        <f>SUM(G42:K50)</f>
        <v>33.852000000000004</v>
      </c>
      <c r="H41" s="322">
        <f t="shared" ref="H41:M41" si="8">SUM(H42:H48)</f>
        <v>0</v>
      </c>
      <c r="I41" s="322">
        <f t="shared" si="8"/>
        <v>0</v>
      </c>
      <c r="J41" s="322">
        <f t="shared" si="8"/>
        <v>0</v>
      </c>
      <c r="K41" s="322">
        <f t="shared" si="8"/>
        <v>0</v>
      </c>
      <c r="L41" s="322">
        <f t="shared" si="8"/>
        <v>0</v>
      </c>
      <c r="M41" s="322">
        <f t="shared" si="8"/>
        <v>0</v>
      </c>
      <c r="Q41" s="324"/>
    </row>
    <row r="42" spans="1:17">
      <c r="A42" s="310"/>
      <c r="B42" s="310"/>
      <c r="C42" s="318" t="s">
        <v>408</v>
      </c>
      <c r="D42" s="318"/>
      <c r="E42" s="319">
        <v>200</v>
      </c>
      <c r="F42" s="319">
        <v>0</v>
      </c>
      <c r="G42" s="319">
        <v>0</v>
      </c>
      <c r="H42" s="319">
        <v>0</v>
      </c>
      <c r="I42" s="319">
        <v>0</v>
      </c>
      <c r="J42" s="319">
        <v>0</v>
      </c>
      <c r="K42" s="319">
        <v>0</v>
      </c>
      <c r="L42" s="319">
        <v>0</v>
      </c>
      <c r="M42" s="319">
        <v>0</v>
      </c>
      <c r="Q42" s="331"/>
    </row>
    <row r="43" spans="1:17">
      <c r="A43" s="310"/>
      <c r="B43" s="310"/>
      <c r="C43" s="318" t="s">
        <v>409</v>
      </c>
      <c r="D43" s="318"/>
      <c r="E43" s="319">
        <v>20</v>
      </c>
      <c r="F43" s="319">
        <v>0</v>
      </c>
      <c r="G43" s="319">
        <v>0</v>
      </c>
      <c r="H43" s="319">
        <v>0</v>
      </c>
      <c r="I43" s="319">
        <v>0</v>
      </c>
      <c r="J43" s="319">
        <v>0</v>
      </c>
      <c r="K43" s="319">
        <v>0</v>
      </c>
      <c r="L43" s="319">
        <v>0</v>
      </c>
      <c r="M43" s="319">
        <v>0</v>
      </c>
    </row>
    <row r="44" spans="1:17" s="335" customFormat="1">
      <c r="A44" s="332"/>
      <c r="B44" s="332"/>
      <c r="C44" s="333" t="s">
        <v>410</v>
      </c>
      <c r="D44" s="333"/>
      <c r="E44" s="334">
        <v>2.6</v>
      </c>
      <c r="F44" s="334">
        <v>0</v>
      </c>
      <c r="G44" s="334">
        <v>9.2430000000000003</v>
      </c>
      <c r="H44" s="334">
        <v>0</v>
      </c>
      <c r="I44" s="334">
        <v>0</v>
      </c>
      <c r="J44" s="334">
        <v>0</v>
      </c>
      <c r="K44" s="334">
        <v>0</v>
      </c>
      <c r="L44" s="334">
        <v>0</v>
      </c>
      <c r="M44" s="334">
        <v>0</v>
      </c>
    </row>
    <row r="45" spans="1:17">
      <c r="A45" s="310"/>
      <c r="B45" s="310"/>
      <c r="C45" s="336" t="s">
        <v>411</v>
      </c>
      <c r="D45" s="318"/>
      <c r="E45" s="319">
        <v>2.6</v>
      </c>
      <c r="F45" s="319">
        <v>0</v>
      </c>
      <c r="G45" s="319">
        <v>0</v>
      </c>
      <c r="H45" s="319">
        <v>0</v>
      </c>
      <c r="I45" s="319">
        <v>0</v>
      </c>
      <c r="J45" s="319">
        <v>0</v>
      </c>
      <c r="K45" s="319">
        <v>0</v>
      </c>
      <c r="L45" s="319">
        <v>0</v>
      </c>
      <c r="M45" s="319">
        <v>0</v>
      </c>
    </row>
    <row r="46" spans="1:17">
      <c r="A46" s="310"/>
      <c r="B46" s="310"/>
      <c r="C46" s="336" t="s">
        <v>412</v>
      </c>
      <c r="D46" s="318"/>
      <c r="E46" s="319">
        <v>7.5</v>
      </c>
      <c r="F46" s="319">
        <v>0</v>
      </c>
      <c r="G46" s="319">
        <v>0</v>
      </c>
      <c r="H46" s="319">
        <v>0</v>
      </c>
      <c r="I46" s="319">
        <v>0</v>
      </c>
      <c r="J46" s="319">
        <v>0</v>
      </c>
      <c r="K46" s="319">
        <v>0</v>
      </c>
      <c r="L46" s="319">
        <v>0</v>
      </c>
      <c r="M46" s="319">
        <v>0</v>
      </c>
    </row>
    <row r="47" spans="1:17">
      <c r="A47" s="310"/>
      <c r="B47" s="310"/>
      <c r="C47" s="336" t="s">
        <v>413</v>
      </c>
      <c r="D47" s="318"/>
      <c r="E47" s="319">
        <v>6.3</v>
      </c>
      <c r="F47" s="319">
        <v>0</v>
      </c>
      <c r="G47" s="319">
        <v>0</v>
      </c>
      <c r="H47" s="319">
        <v>0</v>
      </c>
      <c r="I47" s="319">
        <v>0</v>
      </c>
      <c r="J47" s="319">
        <v>0</v>
      </c>
      <c r="K47" s="319">
        <v>0</v>
      </c>
      <c r="L47" s="319">
        <v>0</v>
      </c>
      <c r="M47" s="319">
        <v>0</v>
      </c>
    </row>
    <row r="48" spans="1:17">
      <c r="A48" s="310"/>
      <c r="B48" s="310"/>
      <c r="C48" s="336" t="s">
        <v>414</v>
      </c>
      <c r="D48" s="318"/>
      <c r="E48" s="319">
        <v>3.4</v>
      </c>
      <c r="F48" s="319">
        <v>0</v>
      </c>
      <c r="G48" s="319">
        <v>0</v>
      </c>
      <c r="H48" s="319">
        <v>0</v>
      </c>
      <c r="I48" s="319">
        <v>0</v>
      </c>
      <c r="J48" s="319">
        <v>0</v>
      </c>
      <c r="K48" s="319">
        <v>0</v>
      </c>
      <c r="L48" s="319">
        <v>0</v>
      </c>
      <c r="M48" s="319">
        <v>0</v>
      </c>
    </row>
    <row r="49" spans="1:13" s="335" customFormat="1" ht="36">
      <c r="A49" s="332"/>
      <c r="B49" s="332"/>
      <c r="C49" s="337" t="s">
        <v>415</v>
      </c>
      <c r="D49" s="333"/>
      <c r="E49" s="334">
        <v>0</v>
      </c>
      <c r="F49" s="334">
        <v>0</v>
      </c>
      <c r="G49" s="334">
        <v>10.5</v>
      </c>
      <c r="H49" s="334">
        <v>0</v>
      </c>
      <c r="I49" s="334">
        <v>0</v>
      </c>
      <c r="J49" s="334">
        <v>0</v>
      </c>
      <c r="K49" s="334">
        <v>0</v>
      </c>
      <c r="L49" s="334">
        <v>0</v>
      </c>
      <c r="M49" s="334">
        <v>0</v>
      </c>
    </row>
    <row r="50" spans="1:13" s="335" customFormat="1" ht="36">
      <c r="A50" s="332"/>
      <c r="B50" s="332"/>
      <c r="C50" s="337" t="s">
        <v>416</v>
      </c>
      <c r="D50" s="333"/>
      <c r="E50" s="334"/>
      <c r="F50" s="334"/>
      <c r="G50" s="334">
        <v>14.109</v>
      </c>
      <c r="H50" s="334"/>
      <c r="I50" s="334"/>
      <c r="J50" s="334"/>
      <c r="K50" s="334"/>
      <c r="L50" s="334"/>
      <c r="M50" s="334"/>
    </row>
    <row r="51" spans="1:13">
      <c r="A51" s="310"/>
      <c r="B51" s="310"/>
      <c r="C51" s="336"/>
      <c r="D51" s="318"/>
      <c r="E51" s="319">
        <v>0</v>
      </c>
      <c r="F51" s="319">
        <v>0</v>
      </c>
      <c r="G51" s="319">
        <v>0</v>
      </c>
      <c r="H51" s="319">
        <v>0</v>
      </c>
      <c r="I51" s="319">
        <v>0</v>
      </c>
      <c r="J51" s="319">
        <v>0</v>
      </c>
      <c r="K51" s="319">
        <v>0</v>
      </c>
      <c r="L51" s="319">
        <v>0</v>
      </c>
      <c r="M51" s="319">
        <v>0</v>
      </c>
    </row>
    <row r="52" spans="1:13" ht="36">
      <c r="A52" s="311"/>
      <c r="B52" s="311"/>
      <c r="C52" s="313" t="s">
        <v>400</v>
      </c>
      <c r="D52" s="313"/>
      <c r="E52" s="314">
        <f t="shared" ref="E52:M52" si="9">E53+E54+E55</f>
        <v>0</v>
      </c>
      <c r="F52" s="314">
        <f t="shared" si="9"/>
        <v>0</v>
      </c>
      <c r="G52" s="314">
        <f t="shared" si="9"/>
        <v>0</v>
      </c>
      <c r="H52" s="314">
        <f t="shared" si="9"/>
        <v>0</v>
      </c>
      <c r="I52" s="314">
        <f t="shared" si="9"/>
        <v>0</v>
      </c>
      <c r="J52" s="314">
        <f t="shared" si="9"/>
        <v>0</v>
      </c>
      <c r="K52" s="314">
        <f t="shared" si="9"/>
        <v>0</v>
      </c>
      <c r="L52" s="314">
        <f t="shared" si="9"/>
        <v>0</v>
      </c>
      <c r="M52" s="314">
        <f t="shared" si="9"/>
        <v>0</v>
      </c>
    </row>
    <row r="53" spans="1:13">
      <c r="A53" s="310"/>
      <c r="B53" s="310"/>
      <c r="C53" s="318" t="s">
        <v>417</v>
      </c>
      <c r="D53" s="318"/>
      <c r="E53" s="319">
        <v>0</v>
      </c>
      <c r="F53" s="319">
        <v>0</v>
      </c>
      <c r="G53" s="319">
        <v>0</v>
      </c>
      <c r="H53" s="319">
        <v>0</v>
      </c>
      <c r="I53" s="319">
        <v>0</v>
      </c>
      <c r="J53" s="319">
        <v>0</v>
      </c>
      <c r="K53" s="319"/>
      <c r="L53" s="319">
        <v>0</v>
      </c>
      <c r="M53" s="319"/>
    </row>
    <row r="54" spans="1:13" ht="36">
      <c r="A54" s="310"/>
      <c r="B54" s="310"/>
      <c r="C54" s="318" t="s">
        <v>418</v>
      </c>
      <c r="D54" s="318"/>
      <c r="E54" s="319">
        <v>0</v>
      </c>
      <c r="F54" s="319">
        <v>0</v>
      </c>
      <c r="G54" s="319">
        <v>0</v>
      </c>
      <c r="H54" s="319"/>
      <c r="I54" s="319"/>
      <c r="J54" s="319"/>
      <c r="K54" s="319"/>
      <c r="L54" s="319">
        <v>0</v>
      </c>
      <c r="M54" s="319"/>
    </row>
    <row r="55" spans="1:13">
      <c r="A55" s="310"/>
      <c r="B55" s="310"/>
      <c r="C55" s="318" t="s">
        <v>419</v>
      </c>
      <c r="D55" s="318"/>
      <c r="E55" s="319">
        <v>0</v>
      </c>
      <c r="F55" s="319">
        <v>0</v>
      </c>
      <c r="G55" s="319">
        <v>0</v>
      </c>
      <c r="H55" s="319">
        <v>0</v>
      </c>
      <c r="I55" s="319">
        <v>0</v>
      </c>
      <c r="J55" s="319">
        <v>0</v>
      </c>
      <c r="K55" s="319">
        <v>0</v>
      </c>
      <c r="L55" s="319">
        <v>0</v>
      </c>
      <c r="M55" s="319"/>
    </row>
    <row r="56" spans="1:13" ht="36">
      <c r="A56" s="294"/>
      <c r="B56" s="294"/>
      <c r="C56" s="316" t="s">
        <v>402</v>
      </c>
      <c r="D56" s="316"/>
      <c r="E56" s="317">
        <f>E57+E58</f>
        <v>0</v>
      </c>
      <c r="F56" s="317">
        <v>0</v>
      </c>
      <c r="G56" s="317">
        <f>G57+G58</f>
        <v>0</v>
      </c>
      <c r="H56" s="317">
        <f>H57</f>
        <v>0</v>
      </c>
      <c r="I56" s="317">
        <f>I57</f>
        <v>0</v>
      </c>
      <c r="J56" s="317">
        <f>J57</f>
        <v>0</v>
      </c>
      <c r="K56" s="317">
        <f>K57</f>
        <v>0</v>
      </c>
      <c r="L56" s="317">
        <v>0</v>
      </c>
      <c r="M56" s="317">
        <f>M57</f>
        <v>0</v>
      </c>
    </row>
    <row r="57" spans="1:13">
      <c r="A57" s="310"/>
      <c r="B57" s="310"/>
      <c r="C57" s="316" t="s">
        <v>420</v>
      </c>
      <c r="D57" s="318"/>
      <c r="E57" s="319">
        <v>0</v>
      </c>
      <c r="F57" s="319">
        <v>0</v>
      </c>
      <c r="G57" s="319">
        <v>0</v>
      </c>
      <c r="H57" s="319">
        <v>0</v>
      </c>
      <c r="I57" s="319">
        <v>0</v>
      </c>
      <c r="J57" s="319">
        <v>0</v>
      </c>
      <c r="K57" s="319">
        <v>0</v>
      </c>
      <c r="L57" s="319">
        <v>0</v>
      </c>
      <c r="M57" s="319">
        <v>0</v>
      </c>
    </row>
    <row r="58" spans="1:13">
      <c r="A58" s="310"/>
      <c r="B58" s="310"/>
      <c r="C58" s="318" t="s">
        <v>401</v>
      </c>
      <c r="D58" s="318"/>
      <c r="E58" s="319">
        <v>0</v>
      </c>
      <c r="F58" s="319">
        <v>0</v>
      </c>
      <c r="G58" s="319">
        <v>0</v>
      </c>
      <c r="H58" s="319">
        <v>0</v>
      </c>
      <c r="I58" s="319">
        <v>0</v>
      </c>
      <c r="J58" s="319">
        <v>0</v>
      </c>
      <c r="K58" s="319">
        <v>0</v>
      </c>
      <c r="L58" s="319">
        <v>0</v>
      </c>
      <c r="M58" s="319">
        <v>0</v>
      </c>
    </row>
    <row r="59" spans="1:13" ht="51.75" customHeight="1">
      <c r="A59" s="310"/>
      <c r="B59" s="310"/>
      <c r="C59" s="316" t="s">
        <v>421</v>
      </c>
      <c r="D59" s="316"/>
      <c r="E59" s="317">
        <f>E60</f>
        <v>0</v>
      </c>
      <c r="F59" s="317">
        <v>0</v>
      </c>
      <c r="G59" s="317">
        <f>G60</f>
        <v>0</v>
      </c>
      <c r="H59" s="317">
        <f>H60</f>
        <v>0</v>
      </c>
      <c r="I59" s="317">
        <f>I60</f>
        <v>0</v>
      </c>
      <c r="J59" s="317">
        <f>J60</f>
        <v>0</v>
      </c>
      <c r="K59" s="317">
        <f>K60</f>
        <v>0</v>
      </c>
      <c r="L59" s="317">
        <v>0</v>
      </c>
      <c r="M59" s="317">
        <f>M60</f>
        <v>0</v>
      </c>
    </row>
    <row r="60" spans="1:13">
      <c r="A60" s="310"/>
      <c r="B60" s="310"/>
      <c r="C60" s="318" t="s">
        <v>422</v>
      </c>
      <c r="D60" s="318"/>
      <c r="E60" s="319">
        <v>0</v>
      </c>
      <c r="F60" s="319">
        <v>0</v>
      </c>
      <c r="G60" s="319">
        <v>0</v>
      </c>
      <c r="H60" s="319">
        <v>0</v>
      </c>
      <c r="I60" s="319">
        <v>0</v>
      </c>
      <c r="J60" s="319">
        <v>0</v>
      </c>
      <c r="K60" s="319">
        <v>0</v>
      </c>
      <c r="L60" s="319">
        <v>0</v>
      </c>
      <c r="M60" s="319">
        <v>0</v>
      </c>
    </row>
    <row r="61" spans="1:13">
      <c r="A61" s="310"/>
      <c r="B61" s="310"/>
      <c r="C61" s="318"/>
      <c r="D61" s="318"/>
      <c r="E61" s="319"/>
      <c r="F61" s="319"/>
      <c r="G61" s="319"/>
      <c r="H61" s="319"/>
      <c r="I61" s="319"/>
      <c r="J61" s="319"/>
      <c r="K61" s="319"/>
      <c r="L61" s="319"/>
      <c r="M61" s="319"/>
    </row>
    <row r="62" spans="1:13" s="330" customFormat="1" ht="36">
      <c r="A62" s="326"/>
      <c r="B62" s="326">
        <v>3</v>
      </c>
      <c r="C62" s="327" t="s">
        <v>423</v>
      </c>
      <c r="D62" s="327"/>
      <c r="E62" s="328">
        <f>E63+E67+E70+E73+E77</f>
        <v>263</v>
      </c>
      <c r="F62" s="328">
        <v>0</v>
      </c>
      <c r="G62" s="328">
        <f t="shared" ref="G62:M62" si="10">G63+G67+G70+G73+G77</f>
        <v>200</v>
      </c>
      <c r="H62" s="314">
        <f t="shared" si="10"/>
        <v>0</v>
      </c>
      <c r="I62" s="314">
        <f t="shared" si="10"/>
        <v>0</v>
      </c>
      <c r="J62" s="328">
        <f t="shared" si="10"/>
        <v>0</v>
      </c>
      <c r="K62" s="328">
        <f t="shared" si="10"/>
        <v>0</v>
      </c>
      <c r="L62" s="328">
        <f t="shared" si="10"/>
        <v>185</v>
      </c>
      <c r="M62" s="328">
        <f t="shared" si="10"/>
        <v>130</v>
      </c>
    </row>
    <row r="63" spans="1:13" s="325" customFormat="1" ht="36">
      <c r="A63" s="294"/>
      <c r="B63" s="294"/>
      <c r="C63" s="316" t="s">
        <v>405</v>
      </c>
      <c r="D63" s="316"/>
      <c r="E63" s="317">
        <f>SUM(E64:E66)</f>
        <v>0</v>
      </c>
      <c r="F63" s="317">
        <v>0</v>
      </c>
      <c r="G63" s="317">
        <f>SUM(G64:G66)</f>
        <v>0</v>
      </c>
      <c r="H63" s="317">
        <f t="shared" ref="H63:M63" si="11">SUM(H64:H65)</f>
        <v>0</v>
      </c>
      <c r="I63" s="317">
        <f t="shared" si="11"/>
        <v>0</v>
      </c>
      <c r="J63" s="317">
        <f t="shared" si="11"/>
        <v>0</v>
      </c>
      <c r="K63" s="317">
        <f t="shared" si="11"/>
        <v>0</v>
      </c>
      <c r="L63" s="317">
        <f t="shared" si="11"/>
        <v>0</v>
      </c>
      <c r="M63" s="317">
        <f t="shared" si="11"/>
        <v>0</v>
      </c>
    </row>
    <row r="64" spans="1:13">
      <c r="A64" s="310"/>
      <c r="B64" s="310"/>
      <c r="C64" s="318" t="s">
        <v>401</v>
      </c>
      <c r="D64" s="318"/>
      <c r="E64" s="319">
        <v>0</v>
      </c>
      <c r="F64" s="319">
        <v>0</v>
      </c>
      <c r="G64" s="319">
        <v>0</v>
      </c>
      <c r="H64" s="319">
        <v>0</v>
      </c>
      <c r="I64" s="319">
        <v>0</v>
      </c>
      <c r="J64" s="319">
        <v>0</v>
      </c>
      <c r="K64" s="319">
        <v>0</v>
      </c>
      <c r="L64" s="319">
        <v>0</v>
      </c>
      <c r="M64" s="319">
        <f>SUM(M65:M67)</f>
        <v>0</v>
      </c>
    </row>
    <row r="65" spans="1:13">
      <c r="A65" s="310"/>
      <c r="B65" s="310"/>
      <c r="C65" s="318" t="s">
        <v>401</v>
      </c>
      <c r="D65" s="318"/>
      <c r="E65" s="319">
        <v>0</v>
      </c>
      <c r="F65" s="319">
        <v>0</v>
      </c>
      <c r="G65" s="319">
        <v>0</v>
      </c>
      <c r="H65" s="319">
        <v>0</v>
      </c>
      <c r="I65" s="319">
        <v>0</v>
      </c>
      <c r="J65" s="319">
        <v>0</v>
      </c>
      <c r="K65" s="319">
        <v>0</v>
      </c>
      <c r="L65" s="319">
        <v>0</v>
      </c>
      <c r="M65" s="319">
        <f>SUM(M67:M68)</f>
        <v>0</v>
      </c>
    </row>
    <row r="66" spans="1:13">
      <c r="A66" s="310"/>
      <c r="B66" s="310"/>
      <c r="C66" s="318"/>
      <c r="D66" s="318"/>
      <c r="E66" s="319"/>
      <c r="F66" s="319"/>
      <c r="G66" s="319"/>
      <c r="H66" s="319"/>
      <c r="I66" s="319"/>
      <c r="J66" s="319"/>
      <c r="K66" s="319"/>
      <c r="L66" s="319"/>
      <c r="M66" s="319"/>
    </row>
    <row r="67" spans="1:13" s="325" customFormat="1" ht="36">
      <c r="A67" s="294"/>
      <c r="B67" s="294"/>
      <c r="C67" s="316" t="s">
        <v>400</v>
      </c>
      <c r="D67" s="316"/>
      <c r="E67" s="317">
        <f t="shared" ref="E67:M67" si="12">E68+E69</f>
        <v>55</v>
      </c>
      <c r="F67" s="317">
        <f t="shared" si="12"/>
        <v>0</v>
      </c>
      <c r="G67" s="317">
        <f t="shared" si="12"/>
        <v>0</v>
      </c>
      <c r="H67" s="317">
        <f t="shared" si="12"/>
        <v>0</v>
      </c>
      <c r="I67" s="317">
        <f t="shared" si="12"/>
        <v>0</v>
      </c>
      <c r="J67" s="317">
        <f t="shared" si="12"/>
        <v>0</v>
      </c>
      <c r="K67" s="317">
        <f t="shared" si="12"/>
        <v>0</v>
      </c>
      <c r="L67" s="317">
        <f t="shared" si="12"/>
        <v>55</v>
      </c>
      <c r="M67" s="317">
        <f t="shared" si="12"/>
        <v>0</v>
      </c>
    </row>
    <row r="68" spans="1:13" s="335" customFormat="1">
      <c r="A68" s="332"/>
      <c r="B68" s="332"/>
      <c r="C68" s="333" t="s">
        <v>424</v>
      </c>
      <c r="D68" s="333"/>
      <c r="E68" s="334">
        <v>40</v>
      </c>
      <c r="F68" s="334">
        <v>0</v>
      </c>
      <c r="G68" s="334">
        <v>0</v>
      </c>
      <c r="H68" s="334">
        <v>0</v>
      </c>
      <c r="I68" s="334">
        <v>0</v>
      </c>
      <c r="J68" s="334">
        <v>0</v>
      </c>
      <c r="K68" s="334">
        <v>0</v>
      </c>
      <c r="L68" s="334">
        <v>40</v>
      </c>
      <c r="M68" s="334">
        <v>0</v>
      </c>
    </row>
    <row r="69" spans="1:13" s="335" customFormat="1">
      <c r="A69" s="332"/>
      <c r="B69" s="332"/>
      <c r="C69" s="333" t="s">
        <v>425</v>
      </c>
      <c r="D69" s="333"/>
      <c r="E69" s="334">
        <v>15</v>
      </c>
      <c r="F69" s="334">
        <v>0</v>
      </c>
      <c r="G69" s="334">
        <v>0</v>
      </c>
      <c r="H69" s="334">
        <v>0</v>
      </c>
      <c r="I69" s="334">
        <v>0</v>
      </c>
      <c r="J69" s="334">
        <v>0</v>
      </c>
      <c r="K69" s="334">
        <v>0</v>
      </c>
      <c r="L69" s="334">
        <v>15</v>
      </c>
      <c r="M69" s="334">
        <v>0</v>
      </c>
    </row>
    <row r="70" spans="1:13" ht="36">
      <c r="A70" s="310"/>
      <c r="B70" s="310"/>
      <c r="C70" s="316" t="s">
        <v>402</v>
      </c>
      <c r="D70" s="316"/>
      <c r="E70" s="317">
        <f t="shared" ref="E70:M70" si="13">E71+E72</f>
        <v>208</v>
      </c>
      <c r="F70" s="317">
        <f t="shared" si="13"/>
        <v>0</v>
      </c>
      <c r="G70" s="317">
        <f t="shared" si="13"/>
        <v>200</v>
      </c>
      <c r="H70" s="317">
        <f t="shared" si="13"/>
        <v>0</v>
      </c>
      <c r="I70" s="317">
        <f t="shared" si="13"/>
        <v>0</v>
      </c>
      <c r="J70" s="317">
        <f t="shared" si="13"/>
        <v>0</v>
      </c>
      <c r="K70" s="317">
        <f t="shared" si="13"/>
        <v>0</v>
      </c>
      <c r="L70" s="317">
        <f t="shared" si="13"/>
        <v>130</v>
      </c>
      <c r="M70" s="317">
        <f t="shared" si="13"/>
        <v>130</v>
      </c>
    </row>
    <row r="71" spans="1:13">
      <c r="A71" s="310"/>
      <c r="B71" s="310"/>
      <c r="C71" s="318" t="s">
        <v>426</v>
      </c>
      <c r="D71" s="318"/>
      <c r="E71" s="319">
        <v>0</v>
      </c>
      <c r="F71" s="319">
        <v>0</v>
      </c>
      <c r="G71" s="319">
        <v>0</v>
      </c>
      <c r="H71" s="319">
        <v>0</v>
      </c>
      <c r="I71" s="319">
        <v>0</v>
      </c>
      <c r="J71" s="319">
        <v>0</v>
      </c>
      <c r="K71" s="319">
        <v>0</v>
      </c>
      <c r="L71" s="319">
        <v>0</v>
      </c>
      <c r="M71" s="319">
        <v>0</v>
      </c>
    </row>
    <row r="72" spans="1:13" s="335" customFormat="1" ht="36">
      <c r="A72" s="332"/>
      <c r="B72" s="332"/>
      <c r="C72" s="333" t="s">
        <v>427</v>
      </c>
      <c r="D72" s="333"/>
      <c r="E72" s="334">
        <v>208</v>
      </c>
      <c r="F72" s="334">
        <v>0</v>
      </c>
      <c r="G72" s="334">
        <v>200</v>
      </c>
      <c r="H72" s="334">
        <v>0</v>
      </c>
      <c r="I72" s="334">
        <v>0</v>
      </c>
      <c r="J72" s="334">
        <v>0</v>
      </c>
      <c r="K72" s="334">
        <v>0</v>
      </c>
      <c r="L72" s="334">
        <v>130</v>
      </c>
      <c r="M72" s="334">
        <v>130</v>
      </c>
    </row>
    <row r="73" spans="1:13" s="325" customFormat="1" ht="51" customHeight="1">
      <c r="A73" s="294"/>
      <c r="B73" s="294"/>
      <c r="C73" s="316" t="s">
        <v>403</v>
      </c>
      <c r="D73" s="316"/>
      <c r="E73" s="317">
        <f>SUM(E74:E75)</f>
        <v>0</v>
      </c>
      <c r="F73" s="317">
        <v>0</v>
      </c>
      <c r="G73" s="317">
        <f t="shared" ref="G73:M79" si="14">SUM(G74:G75)</f>
        <v>0</v>
      </c>
      <c r="H73" s="317">
        <f t="shared" si="14"/>
        <v>0</v>
      </c>
      <c r="I73" s="317">
        <f t="shared" si="14"/>
        <v>0</v>
      </c>
      <c r="J73" s="317">
        <f t="shared" si="14"/>
        <v>0</v>
      </c>
      <c r="K73" s="317">
        <f t="shared" si="14"/>
        <v>0</v>
      </c>
      <c r="L73" s="317">
        <f t="shared" si="14"/>
        <v>0</v>
      </c>
      <c r="M73" s="317">
        <f t="shared" si="14"/>
        <v>0</v>
      </c>
    </row>
    <row r="74" spans="1:13">
      <c r="A74" s="310"/>
      <c r="B74" s="310"/>
      <c r="C74" s="318" t="s">
        <v>401</v>
      </c>
      <c r="D74" s="318"/>
      <c r="E74" s="319">
        <v>0</v>
      </c>
      <c r="F74" s="319">
        <v>0</v>
      </c>
      <c r="G74" s="319">
        <v>0</v>
      </c>
      <c r="H74" s="319">
        <v>0</v>
      </c>
      <c r="I74" s="319">
        <v>0</v>
      </c>
      <c r="J74" s="319">
        <v>0</v>
      </c>
      <c r="K74" s="319">
        <v>0</v>
      </c>
      <c r="L74" s="319">
        <v>0</v>
      </c>
      <c r="M74" s="319">
        <f t="shared" si="14"/>
        <v>0</v>
      </c>
    </row>
    <row r="75" spans="1:13">
      <c r="A75" s="310"/>
      <c r="B75" s="310"/>
      <c r="C75" s="318" t="s">
        <v>401</v>
      </c>
      <c r="D75" s="318"/>
      <c r="E75" s="319">
        <v>0</v>
      </c>
      <c r="F75" s="319">
        <v>0</v>
      </c>
      <c r="G75" s="319">
        <v>0</v>
      </c>
      <c r="H75" s="319">
        <v>0</v>
      </c>
      <c r="I75" s="319">
        <v>0</v>
      </c>
      <c r="J75" s="319">
        <v>0</v>
      </c>
      <c r="K75" s="319">
        <v>0</v>
      </c>
      <c r="L75" s="319">
        <v>0</v>
      </c>
      <c r="M75" s="319">
        <f t="shared" si="14"/>
        <v>0</v>
      </c>
    </row>
    <row r="76" spans="1:13" s="330" customFormat="1">
      <c r="A76" s="338"/>
      <c r="B76" s="326">
        <v>4</v>
      </c>
      <c r="C76" s="327" t="s">
        <v>428</v>
      </c>
      <c r="D76" s="327"/>
      <c r="E76" s="328">
        <v>0</v>
      </c>
      <c r="F76" s="328">
        <v>0</v>
      </c>
      <c r="G76" s="328">
        <v>0</v>
      </c>
      <c r="H76" s="317">
        <v>0</v>
      </c>
      <c r="I76" s="317">
        <v>0</v>
      </c>
      <c r="J76" s="328">
        <v>0</v>
      </c>
      <c r="K76" s="328">
        <v>0</v>
      </c>
      <c r="L76" s="328">
        <v>0</v>
      </c>
      <c r="M76" s="339">
        <f t="shared" si="14"/>
        <v>0</v>
      </c>
    </row>
    <row r="77" spans="1:13" s="330" customFormat="1" ht="20.25" customHeight="1">
      <c r="A77" s="338"/>
      <c r="B77" s="338">
        <v>5</v>
      </c>
      <c r="C77" s="340" t="s">
        <v>429</v>
      </c>
      <c r="D77" s="340"/>
      <c r="E77" s="339">
        <f>SUM(E78:E79)</f>
        <v>0</v>
      </c>
      <c r="F77" s="339">
        <v>0</v>
      </c>
      <c r="G77" s="339">
        <f t="shared" ref="G77:L77" si="15">SUM(G78:G79)</f>
        <v>0</v>
      </c>
      <c r="H77" s="319">
        <f t="shared" si="15"/>
        <v>0</v>
      </c>
      <c r="I77" s="319">
        <f t="shared" si="15"/>
        <v>0</v>
      </c>
      <c r="J77" s="339">
        <f t="shared" si="15"/>
        <v>0</v>
      </c>
      <c r="K77" s="339">
        <f t="shared" si="15"/>
        <v>0</v>
      </c>
      <c r="L77" s="339">
        <f t="shared" si="15"/>
        <v>0</v>
      </c>
      <c r="M77" s="339">
        <f t="shared" si="14"/>
        <v>0</v>
      </c>
    </row>
    <row r="78" spans="1:13">
      <c r="A78" s="310"/>
      <c r="B78" s="310"/>
      <c r="C78" s="318" t="s">
        <v>391</v>
      </c>
      <c r="D78" s="318"/>
      <c r="E78" s="319">
        <v>0</v>
      </c>
      <c r="F78" s="319">
        <v>0</v>
      </c>
      <c r="G78" s="319">
        <v>0</v>
      </c>
      <c r="H78" s="319">
        <v>0</v>
      </c>
      <c r="I78" s="319">
        <v>0</v>
      </c>
      <c r="J78" s="319">
        <v>0</v>
      </c>
      <c r="K78" s="319">
        <v>0</v>
      </c>
      <c r="L78" s="319">
        <v>0</v>
      </c>
      <c r="M78" s="319">
        <f t="shared" si="14"/>
        <v>0</v>
      </c>
    </row>
    <row r="79" spans="1:13">
      <c r="A79" s="310"/>
      <c r="B79" s="310"/>
      <c r="C79" s="318" t="s">
        <v>392</v>
      </c>
      <c r="D79" s="318"/>
      <c r="E79" s="319">
        <v>0</v>
      </c>
      <c r="F79" s="319">
        <v>0</v>
      </c>
      <c r="G79" s="319">
        <v>0</v>
      </c>
      <c r="H79" s="319">
        <v>0</v>
      </c>
      <c r="I79" s="319">
        <v>0</v>
      </c>
      <c r="J79" s="319">
        <v>0</v>
      </c>
      <c r="K79" s="319">
        <v>0</v>
      </c>
      <c r="L79" s="319">
        <v>0</v>
      </c>
      <c r="M79" s="319">
        <f t="shared" si="14"/>
        <v>0</v>
      </c>
    </row>
    <row r="80" spans="1:13">
      <c r="A80" s="341"/>
      <c r="B80" s="341"/>
    </row>
    <row r="81" spans="1:13" ht="15.75" customHeight="1">
      <c r="A81" s="476" t="s">
        <v>113</v>
      </c>
      <c r="B81" s="476"/>
      <c r="C81" s="476"/>
      <c r="D81" s="476" t="s">
        <v>368</v>
      </c>
      <c r="E81" s="476"/>
      <c r="F81" s="476"/>
      <c r="G81" s="476"/>
      <c r="H81" s="476"/>
      <c r="I81" s="476"/>
      <c r="J81" s="476"/>
      <c r="K81" s="476"/>
      <c r="L81" s="476"/>
      <c r="M81" s="476"/>
    </row>
    <row r="82" spans="1:13">
      <c r="A82" s="476" t="s">
        <v>115</v>
      </c>
      <c r="B82" s="476"/>
      <c r="C82" s="476"/>
      <c r="D82" s="344" t="s">
        <v>369</v>
      </c>
      <c r="E82" s="344"/>
      <c r="F82" s="344"/>
      <c r="G82" s="344"/>
      <c r="H82" s="344"/>
      <c r="I82" s="344"/>
      <c r="J82" s="344"/>
      <c r="K82" s="344"/>
      <c r="L82" s="344"/>
      <c r="M82" s="344"/>
    </row>
    <row r="83" spans="1:13">
      <c r="A83" s="344" t="s">
        <v>117</v>
      </c>
      <c r="B83" s="344"/>
      <c r="C83" s="344"/>
      <c r="D83" s="344" t="s">
        <v>430</v>
      </c>
      <c r="E83" s="344"/>
      <c r="F83" s="344"/>
      <c r="G83" s="344"/>
      <c r="H83" s="344"/>
      <c r="I83" s="344"/>
      <c r="J83" s="344"/>
      <c r="K83" s="344"/>
      <c r="L83" s="344"/>
      <c r="M83" s="344"/>
    </row>
  </sheetData>
  <mergeCells count="23">
    <mergeCell ref="D82:M82"/>
    <mergeCell ref="A7:M7"/>
    <mergeCell ref="E1:M1"/>
    <mergeCell ref="E2:M2"/>
    <mergeCell ref="E3:M3"/>
    <mergeCell ref="A5:M5"/>
    <mergeCell ref="A6:M6"/>
    <mergeCell ref="A83:C83"/>
    <mergeCell ref="D83:M83"/>
    <mergeCell ref="A8:M8"/>
    <mergeCell ref="A9:A11"/>
    <mergeCell ref="B9:B11"/>
    <mergeCell ref="C9:C11"/>
    <mergeCell ref="D9:D11"/>
    <mergeCell ref="E9:F9"/>
    <mergeCell ref="G9:M9"/>
    <mergeCell ref="E10:E11"/>
    <mergeCell ref="F10:F11"/>
    <mergeCell ref="G10:G11"/>
    <mergeCell ref="H10:K11"/>
    <mergeCell ref="A81:C81"/>
    <mergeCell ref="D81:M81"/>
    <mergeCell ref="A82:C82"/>
  </mergeCells>
  <printOptions horizontalCentered="1" verticalCentered="1"/>
  <pageMargins left="0" right="0" top="0" bottom="0" header="0" footer="0"/>
  <pageSetup paperSize="9" scale="69" orientation="landscape" r:id="rId1"/>
  <rowBreaks count="2" manualBreakCount="2">
    <brk id="37" max="13" man="1"/>
    <brk id="66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27"/>
  <sheetViews>
    <sheetView tabSelected="1" view="pageBreakPreview" zoomScaleSheetLayoutView="100" workbookViewId="0">
      <selection activeCell="H64" sqref="H64"/>
    </sheetView>
  </sheetViews>
  <sheetFormatPr defaultRowHeight="18"/>
  <cols>
    <col min="1" max="1" width="9.140625" style="342"/>
    <col min="2" max="2" width="43.42578125" style="342" customWidth="1"/>
    <col min="3" max="3" width="12" style="342" customWidth="1"/>
    <col min="4" max="4" width="11.28515625" style="342" customWidth="1"/>
    <col min="5" max="5" width="11.85546875" style="342" customWidth="1"/>
    <col min="6" max="6" width="11.5703125" style="342" customWidth="1"/>
    <col min="7" max="7" width="11" style="342" customWidth="1"/>
    <col min="8" max="8" width="11.42578125" style="342" customWidth="1"/>
    <col min="9" max="9" width="11.140625" style="342" customWidth="1"/>
    <col min="10" max="10" width="11" style="342" customWidth="1"/>
    <col min="11" max="11" width="12.28515625" style="342" customWidth="1"/>
    <col min="12" max="257" width="9.140625" style="342"/>
    <col min="258" max="258" width="43.42578125" style="342" customWidth="1"/>
    <col min="259" max="259" width="12" style="342" customWidth="1"/>
    <col min="260" max="260" width="11.28515625" style="342" customWidth="1"/>
    <col min="261" max="261" width="11.85546875" style="342" customWidth="1"/>
    <col min="262" max="262" width="11.5703125" style="342" customWidth="1"/>
    <col min="263" max="263" width="11" style="342" customWidth="1"/>
    <col min="264" max="264" width="11.42578125" style="342" customWidth="1"/>
    <col min="265" max="265" width="11.140625" style="342" customWidth="1"/>
    <col min="266" max="266" width="11" style="342" customWidth="1"/>
    <col min="267" max="267" width="12.28515625" style="342" customWidth="1"/>
    <col min="268" max="513" width="9.140625" style="342"/>
    <col min="514" max="514" width="43.42578125" style="342" customWidth="1"/>
    <col min="515" max="515" width="12" style="342" customWidth="1"/>
    <col min="516" max="516" width="11.28515625" style="342" customWidth="1"/>
    <col min="517" max="517" width="11.85546875" style="342" customWidth="1"/>
    <col min="518" max="518" width="11.5703125" style="342" customWidth="1"/>
    <col min="519" max="519" width="11" style="342" customWidth="1"/>
    <col min="520" max="520" width="11.42578125" style="342" customWidth="1"/>
    <col min="521" max="521" width="11.140625" style="342" customWidth="1"/>
    <col min="522" max="522" width="11" style="342" customWidth="1"/>
    <col min="523" max="523" width="12.28515625" style="342" customWidth="1"/>
    <col min="524" max="769" width="9.140625" style="342"/>
    <col min="770" max="770" width="43.42578125" style="342" customWidth="1"/>
    <col min="771" max="771" width="12" style="342" customWidth="1"/>
    <col min="772" max="772" width="11.28515625" style="342" customWidth="1"/>
    <col min="773" max="773" width="11.85546875" style="342" customWidth="1"/>
    <col min="774" max="774" width="11.5703125" style="342" customWidth="1"/>
    <col min="775" max="775" width="11" style="342" customWidth="1"/>
    <col min="776" max="776" width="11.42578125" style="342" customWidth="1"/>
    <col min="777" max="777" width="11.140625" style="342" customWidth="1"/>
    <col min="778" max="778" width="11" style="342" customWidth="1"/>
    <col min="779" max="779" width="12.28515625" style="342" customWidth="1"/>
    <col min="780" max="1025" width="9.140625" style="342"/>
    <col min="1026" max="1026" width="43.42578125" style="342" customWidth="1"/>
    <col min="1027" max="1027" width="12" style="342" customWidth="1"/>
    <col min="1028" max="1028" width="11.28515625" style="342" customWidth="1"/>
    <col min="1029" max="1029" width="11.85546875" style="342" customWidth="1"/>
    <col min="1030" max="1030" width="11.5703125" style="342" customWidth="1"/>
    <col min="1031" max="1031" width="11" style="342" customWidth="1"/>
    <col min="1032" max="1032" width="11.42578125" style="342" customWidth="1"/>
    <col min="1033" max="1033" width="11.140625" style="342" customWidth="1"/>
    <col min="1034" max="1034" width="11" style="342" customWidth="1"/>
    <col min="1035" max="1035" width="12.28515625" style="342" customWidth="1"/>
    <col min="1036" max="1281" width="9.140625" style="342"/>
    <col min="1282" max="1282" width="43.42578125" style="342" customWidth="1"/>
    <col min="1283" max="1283" width="12" style="342" customWidth="1"/>
    <col min="1284" max="1284" width="11.28515625" style="342" customWidth="1"/>
    <col min="1285" max="1285" width="11.85546875" style="342" customWidth="1"/>
    <col min="1286" max="1286" width="11.5703125" style="342" customWidth="1"/>
    <col min="1287" max="1287" width="11" style="342" customWidth="1"/>
    <col min="1288" max="1288" width="11.42578125" style="342" customWidth="1"/>
    <col min="1289" max="1289" width="11.140625" style="342" customWidth="1"/>
    <col min="1290" max="1290" width="11" style="342" customWidth="1"/>
    <col min="1291" max="1291" width="12.28515625" style="342" customWidth="1"/>
    <col min="1292" max="1537" width="9.140625" style="342"/>
    <col min="1538" max="1538" width="43.42578125" style="342" customWidth="1"/>
    <col min="1539" max="1539" width="12" style="342" customWidth="1"/>
    <col min="1540" max="1540" width="11.28515625" style="342" customWidth="1"/>
    <col min="1541" max="1541" width="11.85546875" style="342" customWidth="1"/>
    <col min="1542" max="1542" width="11.5703125" style="342" customWidth="1"/>
    <col min="1543" max="1543" width="11" style="342" customWidth="1"/>
    <col min="1544" max="1544" width="11.42578125" style="342" customWidth="1"/>
    <col min="1545" max="1545" width="11.140625" style="342" customWidth="1"/>
    <col min="1546" max="1546" width="11" style="342" customWidth="1"/>
    <col min="1547" max="1547" width="12.28515625" style="342" customWidth="1"/>
    <col min="1548" max="1793" width="9.140625" style="342"/>
    <col min="1794" max="1794" width="43.42578125" style="342" customWidth="1"/>
    <col min="1795" max="1795" width="12" style="342" customWidth="1"/>
    <col min="1796" max="1796" width="11.28515625" style="342" customWidth="1"/>
    <col min="1797" max="1797" width="11.85546875" style="342" customWidth="1"/>
    <col min="1798" max="1798" width="11.5703125" style="342" customWidth="1"/>
    <col min="1799" max="1799" width="11" style="342" customWidth="1"/>
    <col min="1800" max="1800" width="11.42578125" style="342" customWidth="1"/>
    <col min="1801" max="1801" width="11.140625" style="342" customWidth="1"/>
    <col min="1802" max="1802" width="11" style="342" customWidth="1"/>
    <col min="1803" max="1803" width="12.28515625" style="342" customWidth="1"/>
    <col min="1804" max="2049" width="9.140625" style="342"/>
    <col min="2050" max="2050" width="43.42578125" style="342" customWidth="1"/>
    <col min="2051" max="2051" width="12" style="342" customWidth="1"/>
    <col min="2052" max="2052" width="11.28515625" style="342" customWidth="1"/>
    <col min="2053" max="2053" width="11.85546875" style="342" customWidth="1"/>
    <col min="2054" max="2054" width="11.5703125" style="342" customWidth="1"/>
    <col min="2055" max="2055" width="11" style="342" customWidth="1"/>
    <col min="2056" max="2056" width="11.42578125" style="342" customWidth="1"/>
    <col min="2057" max="2057" width="11.140625" style="342" customWidth="1"/>
    <col min="2058" max="2058" width="11" style="342" customWidth="1"/>
    <col min="2059" max="2059" width="12.28515625" style="342" customWidth="1"/>
    <col min="2060" max="2305" width="9.140625" style="342"/>
    <col min="2306" max="2306" width="43.42578125" style="342" customWidth="1"/>
    <col min="2307" max="2307" width="12" style="342" customWidth="1"/>
    <col min="2308" max="2308" width="11.28515625" style="342" customWidth="1"/>
    <col min="2309" max="2309" width="11.85546875" style="342" customWidth="1"/>
    <col min="2310" max="2310" width="11.5703125" style="342" customWidth="1"/>
    <col min="2311" max="2311" width="11" style="342" customWidth="1"/>
    <col min="2312" max="2312" width="11.42578125" style="342" customWidth="1"/>
    <col min="2313" max="2313" width="11.140625" style="342" customWidth="1"/>
    <col min="2314" max="2314" width="11" style="342" customWidth="1"/>
    <col min="2315" max="2315" width="12.28515625" style="342" customWidth="1"/>
    <col min="2316" max="2561" width="9.140625" style="342"/>
    <col min="2562" max="2562" width="43.42578125" style="342" customWidth="1"/>
    <col min="2563" max="2563" width="12" style="342" customWidth="1"/>
    <col min="2564" max="2564" width="11.28515625" style="342" customWidth="1"/>
    <col min="2565" max="2565" width="11.85546875" style="342" customWidth="1"/>
    <col min="2566" max="2566" width="11.5703125" style="342" customWidth="1"/>
    <col min="2567" max="2567" width="11" style="342" customWidth="1"/>
    <col min="2568" max="2568" width="11.42578125" style="342" customWidth="1"/>
    <col min="2569" max="2569" width="11.140625" style="342" customWidth="1"/>
    <col min="2570" max="2570" width="11" style="342" customWidth="1"/>
    <col min="2571" max="2571" width="12.28515625" style="342" customWidth="1"/>
    <col min="2572" max="2817" width="9.140625" style="342"/>
    <col min="2818" max="2818" width="43.42578125" style="342" customWidth="1"/>
    <col min="2819" max="2819" width="12" style="342" customWidth="1"/>
    <col min="2820" max="2820" width="11.28515625" style="342" customWidth="1"/>
    <col min="2821" max="2821" width="11.85546875" style="342" customWidth="1"/>
    <col min="2822" max="2822" width="11.5703125" style="342" customWidth="1"/>
    <col min="2823" max="2823" width="11" style="342" customWidth="1"/>
    <col min="2824" max="2824" width="11.42578125" style="342" customWidth="1"/>
    <col min="2825" max="2825" width="11.140625" style="342" customWidth="1"/>
    <col min="2826" max="2826" width="11" style="342" customWidth="1"/>
    <col min="2827" max="2827" width="12.28515625" style="342" customWidth="1"/>
    <col min="2828" max="3073" width="9.140625" style="342"/>
    <col min="3074" max="3074" width="43.42578125" style="342" customWidth="1"/>
    <col min="3075" max="3075" width="12" style="342" customWidth="1"/>
    <col min="3076" max="3076" width="11.28515625" style="342" customWidth="1"/>
    <col min="3077" max="3077" width="11.85546875" style="342" customWidth="1"/>
    <col min="3078" max="3078" width="11.5703125" style="342" customWidth="1"/>
    <col min="3079" max="3079" width="11" style="342" customWidth="1"/>
    <col min="3080" max="3080" width="11.42578125" style="342" customWidth="1"/>
    <col min="3081" max="3081" width="11.140625" style="342" customWidth="1"/>
    <col min="3082" max="3082" width="11" style="342" customWidth="1"/>
    <col min="3083" max="3083" width="12.28515625" style="342" customWidth="1"/>
    <col min="3084" max="3329" width="9.140625" style="342"/>
    <col min="3330" max="3330" width="43.42578125" style="342" customWidth="1"/>
    <col min="3331" max="3331" width="12" style="342" customWidth="1"/>
    <col min="3332" max="3332" width="11.28515625" style="342" customWidth="1"/>
    <col min="3333" max="3333" width="11.85546875" style="342" customWidth="1"/>
    <col min="3334" max="3334" width="11.5703125" style="342" customWidth="1"/>
    <col min="3335" max="3335" width="11" style="342" customWidth="1"/>
    <col min="3336" max="3336" width="11.42578125" style="342" customWidth="1"/>
    <col min="3337" max="3337" width="11.140625" style="342" customWidth="1"/>
    <col min="3338" max="3338" width="11" style="342" customWidth="1"/>
    <col min="3339" max="3339" width="12.28515625" style="342" customWidth="1"/>
    <col min="3340" max="3585" width="9.140625" style="342"/>
    <col min="3586" max="3586" width="43.42578125" style="342" customWidth="1"/>
    <col min="3587" max="3587" width="12" style="342" customWidth="1"/>
    <col min="3588" max="3588" width="11.28515625" style="342" customWidth="1"/>
    <col min="3589" max="3589" width="11.85546875" style="342" customWidth="1"/>
    <col min="3590" max="3590" width="11.5703125" style="342" customWidth="1"/>
    <col min="3591" max="3591" width="11" style="342" customWidth="1"/>
    <col min="3592" max="3592" width="11.42578125" style="342" customWidth="1"/>
    <col min="3593" max="3593" width="11.140625" style="342" customWidth="1"/>
    <col min="3594" max="3594" width="11" style="342" customWidth="1"/>
    <col min="3595" max="3595" width="12.28515625" style="342" customWidth="1"/>
    <col min="3596" max="3841" width="9.140625" style="342"/>
    <col min="3842" max="3842" width="43.42578125" style="342" customWidth="1"/>
    <col min="3843" max="3843" width="12" style="342" customWidth="1"/>
    <col min="3844" max="3844" width="11.28515625" style="342" customWidth="1"/>
    <col min="3845" max="3845" width="11.85546875" style="342" customWidth="1"/>
    <col min="3846" max="3846" width="11.5703125" style="342" customWidth="1"/>
    <col min="3847" max="3847" width="11" style="342" customWidth="1"/>
    <col min="3848" max="3848" width="11.42578125" style="342" customWidth="1"/>
    <col min="3849" max="3849" width="11.140625" style="342" customWidth="1"/>
    <col min="3850" max="3850" width="11" style="342" customWidth="1"/>
    <col min="3851" max="3851" width="12.28515625" style="342" customWidth="1"/>
    <col min="3852" max="4097" width="9.140625" style="342"/>
    <col min="4098" max="4098" width="43.42578125" style="342" customWidth="1"/>
    <col min="4099" max="4099" width="12" style="342" customWidth="1"/>
    <col min="4100" max="4100" width="11.28515625" style="342" customWidth="1"/>
    <col min="4101" max="4101" width="11.85546875" style="342" customWidth="1"/>
    <col min="4102" max="4102" width="11.5703125" style="342" customWidth="1"/>
    <col min="4103" max="4103" width="11" style="342" customWidth="1"/>
    <col min="4104" max="4104" width="11.42578125" style="342" customWidth="1"/>
    <col min="4105" max="4105" width="11.140625" style="342" customWidth="1"/>
    <col min="4106" max="4106" width="11" style="342" customWidth="1"/>
    <col min="4107" max="4107" width="12.28515625" style="342" customWidth="1"/>
    <col min="4108" max="4353" width="9.140625" style="342"/>
    <col min="4354" max="4354" width="43.42578125" style="342" customWidth="1"/>
    <col min="4355" max="4355" width="12" style="342" customWidth="1"/>
    <col min="4356" max="4356" width="11.28515625" style="342" customWidth="1"/>
    <col min="4357" max="4357" width="11.85546875" style="342" customWidth="1"/>
    <col min="4358" max="4358" width="11.5703125" style="342" customWidth="1"/>
    <col min="4359" max="4359" width="11" style="342" customWidth="1"/>
    <col min="4360" max="4360" width="11.42578125" style="342" customWidth="1"/>
    <col min="4361" max="4361" width="11.140625" style="342" customWidth="1"/>
    <col min="4362" max="4362" width="11" style="342" customWidth="1"/>
    <col min="4363" max="4363" width="12.28515625" style="342" customWidth="1"/>
    <col min="4364" max="4609" width="9.140625" style="342"/>
    <col min="4610" max="4610" width="43.42578125" style="342" customWidth="1"/>
    <col min="4611" max="4611" width="12" style="342" customWidth="1"/>
    <col min="4612" max="4612" width="11.28515625" style="342" customWidth="1"/>
    <col min="4613" max="4613" width="11.85546875" style="342" customWidth="1"/>
    <col min="4614" max="4614" width="11.5703125" style="342" customWidth="1"/>
    <col min="4615" max="4615" width="11" style="342" customWidth="1"/>
    <col min="4616" max="4616" width="11.42578125" style="342" customWidth="1"/>
    <col min="4617" max="4617" width="11.140625" style="342" customWidth="1"/>
    <col min="4618" max="4618" width="11" style="342" customWidth="1"/>
    <col min="4619" max="4619" width="12.28515625" style="342" customWidth="1"/>
    <col min="4620" max="4865" width="9.140625" style="342"/>
    <col min="4866" max="4866" width="43.42578125" style="342" customWidth="1"/>
    <col min="4867" max="4867" width="12" style="342" customWidth="1"/>
    <col min="4868" max="4868" width="11.28515625" style="342" customWidth="1"/>
    <col min="4869" max="4869" width="11.85546875" style="342" customWidth="1"/>
    <col min="4870" max="4870" width="11.5703125" style="342" customWidth="1"/>
    <col min="4871" max="4871" width="11" style="342" customWidth="1"/>
    <col min="4872" max="4872" width="11.42578125" style="342" customWidth="1"/>
    <col min="4873" max="4873" width="11.140625" style="342" customWidth="1"/>
    <col min="4874" max="4874" width="11" style="342" customWidth="1"/>
    <col min="4875" max="4875" width="12.28515625" style="342" customWidth="1"/>
    <col min="4876" max="5121" width="9.140625" style="342"/>
    <col min="5122" max="5122" width="43.42578125" style="342" customWidth="1"/>
    <col min="5123" max="5123" width="12" style="342" customWidth="1"/>
    <col min="5124" max="5124" width="11.28515625" style="342" customWidth="1"/>
    <col min="5125" max="5125" width="11.85546875" style="342" customWidth="1"/>
    <col min="5126" max="5126" width="11.5703125" style="342" customWidth="1"/>
    <col min="5127" max="5127" width="11" style="342" customWidth="1"/>
    <col min="5128" max="5128" width="11.42578125" style="342" customWidth="1"/>
    <col min="5129" max="5129" width="11.140625" style="342" customWidth="1"/>
    <col min="5130" max="5130" width="11" style="342" customWidth="1"/>
    <col min="5131" max="5131" width="12.28515625" style="342" customWidth="1"/>
    <col min="5132" max="5377" width="9.140625" style="342"/>
    <col min="5378" max="5378" width="43.42578125" style="342" customWidth="1"/>
    <col min="5379" max="5379" width="12" style="342" customWidth="1"/>
    <col min="5380" max="5380" width="11.28515625" style="342" customWidth="1"/>
    <col min="5381" max="5381" width="11.85546875" style="342" customWidth="1"/>
    <col min="5382" max="5382" width="11.5703125" style="342" customWidth="1"/>
    <col min="5383" max="5383" width="11" style="342" customWidth="1"/>
    <col min="5384" max="5384" width="11.42578125" style="342" customWidth="1"/>
    <col min="5385" max="5385" width="11.140625" style="342" customWidth="1"/>
    <col min="5386" max="5386" width="11" style="342" customWidth="1"/>
    <col min="5387" max="5387" width="12.28515625" style="342" customWidth="1"/>
    <col min="5388" max="5633" width="9.140625" style="342"/>
    <col min="5634" max="5634" width="43.42578125" style="342" customWidth="1"/>
    <col min="5635" max="5635" width="12" style="342" customWidth="1"/>
    <col min="5636" max="5636" width="11.28515625" style="342" customWidth="1"/>
    <col min="5637" max="5637" width="11.85546875" style="342" customWidth="1"/>
    <col min="5638" max="5638" width="11.5703125" style="342" customWidth="1"/>
    <col min="5639" max="5639" width="11" style="342" customWidth="1"/>
    <col min="5640" max="5640" width="11.42578125" style="342" customWidth="1"/>
    <col min="5641" max="5641" width="11.140625" style="342" customWidth="1"/>
    <col min="5642" max="5642" width="11" style="342" customWidth="1"/>
    <col min="5643" max="5643" width="12.28515625" style="342" customWidth="1"/>
    <col min="5644" max="5889" width="9.140625" style="342"/>
    <col min="5890" max="5890" width="43.42578125" style="342" customWidth="1"/>
    <col min="5891" max="5891" width="12" style="342" customWidth="1"/>
    <col min="5892" max="5892" width="11.28515625" style="342" customWidth="1"/>
    <col min="5893" max="5893" width="11.85546875" style="342" customWidth="1"/>
    <col min="5894" max="5894" width="11.5703125" style="342" customWidth="1"/>
    <col min="5895" max="5895" width="11" style="342" customWidth="1"/>
    <col min="5896" max="5896" width="11.42578125" style="342" customWidth="1"/>
    <col min="5897" max="5897" width="11.140625" style="342" customWidth="1"/>
    <col min="5898" max="5898" width="11" style="342" customWidth="1"/>
    <col min="5899" max="5899" width="12.28515625" style="342" customWidth="1"/>
    <col min="5900" max="6145" width="9.140625" style="342"/>
    <col min="6146" max="6146" width="43.42578125" style="342" customWidth="1"/>
    <col min="6147" max="6147" width="12" style="342" customWidth="1"/>
    <col min="6148" max="6148" width="11.28515625" style="342" customWidth="1"/>
    <col min="6149" max="6149" width="11.85546875" style="342" customWidth="1"/>
    <col min="6150" max="6150" width="11.5703125" style="342" customWidth="1"/>
    <col min="6151" max="6151" width="11" style="342" customWidth="1"/>
    <col min="6152" max="6152" width="11.42578125" style="342" customWidth="1"/>
    <col min="6153" max="6153" width="11.140625" style="342" customWidth="1"/>
    <col min="6154" max="6154" width="11" style="342" customWidth="1"/>
    <col min="6155" max="6155" width="12.28515625" style="342" customWidth="1"/>
    <col min="6156" max="6401" width="9.140625" style="342"/>
    <col min="6402" max="6402" width="43.42578125" style="342" customWidth="1"/>
    <col min="6403" max="6403" width="12" style="342" customWidth="1"/>
    <col min="6404" max="6404" width="11.28515625" style="342" customWidth="1"/>
    <col min="6405" max="6405" width="11.85546875" style="342" customWidth="1"/>
    <col min="6406" max="6406" width="11.5703125" style="342" customWidth="1"/>
    <col min="6407" max="6407" width="11" style="342" customWidth="1"/>
    <col min="6408" max="6408" width="11.42578125" style="342" customWidth="1"/>
    <col min="6409" max="6409" width="11.140625" style="342" customWidth="1"/>
    <col min="6410" max="6410" width="11" style="342" customWidth="1"/>
    <col min="6411" max="6411" width="12.28515625" style="342" customWidth="1"/>
    <col min="6412" max="6657" width="9.140625" style="342"/>
    <col min="6658" max="6658" width="43.42578125" style="342" customWidth="1"/>
    <col min="6659" max="6659" width="12" style="342" customWidth="1"/>
    <col min="6660" max="6660" width="11.28515625" style="342" customWidth="1"/>
    <col min="6661" max="6661" width="11.85546875" style="342" customWidth="1"/>
    <col min="6662" max="6662" width="11.5703125" style="342" customWidth="1"/>
    <col min="6663" max="6663" width="11" style="342" customWidth="1"/>
    <col min="6664" max="6664" width="11.42578125" style="342" customWidth="1"/>
    <col min="6665" max="6665" width="11.140625" style="342" customWidth="1"/>
    <col min="6666" max="6666" width="11" style="342" customWidth="1"/>
    <col min="6667" max="6667" width="12.28515625" style="342" customWidth="1"/>
    <col min="6668" max="6913" width="9.140625" style="342"/>
    <col min="6914" max="6914" width="43.42578125" style="342" customWidth="1"/>
    <col min="6915" max="6915" width="12" style="342" customWidth="1"/>
    <col min="6916" max="6916" width="11.28515625" style="342" customWidth="1"/>
    <col min="6917" max="6917" width="11.85546875" style="342" customWidth="1"/>
    <col min="6918" max="6918" width="11.5703125" style="342" customWidth="1"/>
    <col min="6919" max="6919" width="11" style="342" customWidth="1"/>
    <col min="6920" max="6920" width="11.42578125" style="342" customWidth="1"/>
    <col min="6921" max="6921" width="11.140625" style="342" customWidth="1"/>
    <col min="6922" max="6922" width="11" style="342" customWidth="1"/>
    <col min="6923" max="6923" width="12.28515625" style="342" customWidth="1"/>
    <col min="6924" max="7169" width="9.140625" style="342"/>
    <col min="7170" max="7170" width="43.42578125" style="342" customWidth="1"/>
    <col min="7171" max="7171" width="12" style="342" customWidth="1"/>
    <col min="7172" max="7172" width="11.28515625" style="342" customWidth="1"/>
    <col min="7173" max="7173" width="11.85546875" style="342" customWidth="1"/>
    <col min="7174" max="7174" width="11.5703125" style="342" customWidth="1"/>
    <col min="7175" max="7175" width="11" style="342" customWidth="1"/>
    <col min="7176" max="7176" width="11.42578125" style="342" customWidth="1"/>
    <col min="7177" max="7177" width="11.140625" style="342" customWidth="1"/>
    <col min="7178" max="7178" width="11" style="342" customWidth="1"/>
    <col min="7179" max="7179" width="12.28515625" style="342" customWidth="1"/>
    <col min="7180" max="7425" width="9.140625" style="342"/>
    <col min="7426" max="7426" width="43.42578125" style="342" customWidth="1"/>
    <col min="7427" max="7427" width="12" style="342" customWidth="1"/>
    <col min="7428" max="7428" width="11.28515625" style="342" customWidth="1"/>
    <col min="7429" max="7429" width="11.85546875" style="342" customWidth="1"/>
    <col min="7430" max="7430" width="11.5703125" style="342" customWidth="1"/>
    <col min="7431" max="7431" width="11" style="342" customWidth="1"/>
    <col min="7432" max="7432" width="11.42578125" style="342" customWidth="1"/>
    <col min="7433" max="7433" width="11.140625" style="342" customWidth="1"/>
    <col min="7434" max="7434" width="11" style="342" customWidth="1"/>
    <col min="7435" max="7435" width="12.28515625" style="342" customWidth="1"/>
    <col min="7436" max="7681" width="9.140625" style="342"/>
    <col min="7682" max="7682" width="43.42578125" style="342" customWidth="1"/>
    <col min="7683" max="7683" width="12" style="342" customWidth="1"/>
    <col min="7684" max="7684" width="11.28515625" style="342" customWidth="1"/>
    <col min="7685" max="7685" width="11.85546875" style="342" customWidth="1"/>
    <col min="7686" max="7686" width="11.5703125" style="342" customWidth="1"/>
    <col min="7687" max="7687" width="11" style="342" customWidth="1"/>
    <col min="7688" max="7688" width="11.42578125" style="342" customWidth="1"/>
    <col min="7689" max="7689" width="11.140625" style="342" customWidth="1"/>
    <col min="7690" max="7690" width="11" style="342" customWidth="1"/>
    <col min="7691" max="7691" width="12.28515625" style="342" customWidth="1"/>
    <col min="7692" max="7937" width="9.140625" style="342"/>
    <col min="7938" max="7938" width="43.42578125" style="342" customWidth="1"/>
    <col min="7939" max="7939" width="12" style="342" customWidth="1"/>
    <col min="7940" max="7940" width="11.28515625" style="342" customWidth="1"/>
    <col min="7941" max="7941" width="11.85546875" style="342" customWidth="1"/>
    <col min="7942" max="7942" width="11.5703125" style="342" customWidth="1"/>
    <col min="7943" max="7943" width="11" style="342" customWidth="1"/>
    <col min="7944" max="7944" width="11.42578125" style="342" customWidth="1"/>
    <col min="7945" max="7945" width="11.140625" style="342" customWidth="1"/>
    <col min="7946" max="7946" width="11" style="342" customWidth="1"/>
    <col min="7947" max="7947" width="12.28515625" style="342" customWidth="1"/>
    <col min="7948" max="8193" width="9.140625" style="342"/>
    <col min="8194" max="8194" width="43.42578125" style="342" customWidth="1"/>
    <col min="8195" max="8195" width="12" style="342" customWidth="1"/>
    <col min="8196" max="8196" width="11.28515625" style="342" customWidth="1"/>
    <col min="8197" max="8197" width="11.85546875" style="342" customWidth="1"/>
    <col min="8198" max="8198" width="11.5703125" style="342" customWidth="1"/>
    <col min="8199" max="8199" width="11" style="342" customWidth="1"/>
    <col min="8200" max="8200" width="11.42578125" style="342" customWidth="1"/>
    <col min="8201" max="8201" width="11.140625" style="342" customWidth="1"/>
    <col min="8202" max="8202" width="11" style="342" customWidth="1"/>
    <col min="8203" max="8203" width="12.28515625" style="342" customWidth="1"/>
    <col min="8204" max="8449" width="9.140625" style="342"/>
    <col min="8450" max="8450" width="43.42578125" style="342" customWidth="1"/>
    <col min="8451" max="8451" width="12" style="342" customWidth="1"/>
    <col min="8452" max="8452" width="11.28515625" style="342" customWidth="1"/>
    <col min="8453" max="8453" width="11.85546875" style="342" customWidth="1"/>
    <col min="8454" max="8454" width="11.5703125" style="342" customWidth="1"/>
    <col min="8455" max="8455" width="11" style="342" customWidth="1"/>
    <col min="8456" max="8456" width="11.42578125" style="342" customWidth="1"/>
    <col min="8457" max="8457" width="11.140625" style="342" customWidth="1"/>
    <col min="8458" max="8458" width="11" style="342" customWidth="1"/>
    <col min="8459" max="8459" width="12.28515625" style="342" customWidth="1"/>
    <col min="8460" max="8705" width="9.140625" style="342"/>
    <col min="8706" max="8706" width="43.42578125" style="342" customWidth="1"/>
    <col min="8707" max="8707" width="12" style="342" customWidth="1"/>
    <col min="8708" max="8708" width="11.28515625" style="342" customWidth="1"/>
    <col min="8709" max="8709" width="11.85546875" style="342" customWidth="1"/>
    <col min="8710" max="8710" width="11.5703125" style="342" customWidth="1"/>
    <col min="8711" max="8711" width="11" style="342" customWidth="1"/>
    <col min="8712" max="8712" width="11.42578125" style="342" customWidth="1"/>
    <col min="8713" max="8713" width="11.140625" style="342" customWidth="1"/>
    <col min="8714" max="8714" width="11" style="342" customWidth="1"/>
    <col min="8715" max="8715" width="12.28515625" style="342" customWidth="1"/>
    <col min="8716" max="8961" width="9.140625" style="342"/>
    <col min="8962" max="8962" width="43.42578125" style="342" customWidth="1"/>
    <col min="8963" max="8963" width="12" style="342" customWidth="1"/>
    <col min="8964" max="8964" width="11.28515625" style="342" customWidth="1"/>
    <col min="8965" max="8965" width="11.85546875" style="342" customWidth="1"/>
    <col min="8966" max="8966" width="11.5703125" style="342" customWidth="1"/>
    <col min="8967" max="8967" width="11" style="342" customWidth="1"/>
    <col min="8968" max="8968" width="11.42578125" style="342" customWidth="1"/>
    <col min="8969" max="8969" width="11.140625" style="342" customWidth="1"/>
    <col min="8970" max="8970" width="11" style="342" customWidth="1"/>
    <col min="8971" max="8971" width="12.28515625" style="342" customWidth="1"/>
    <col min="8972" max="9217" width="9.140625" style="342"/>
    <col min="9218" max="9218" width="43.42578125" style="342" customWidth="1"/>
    <col min="9219" max="9219" width="12" style="342" customWidth="1"/>
    <col min="9220" max="9220" width="11.28515625" style="342" customWidth="1"/>
    <col min="9221" max="9221" width="11.85546875" style="342" customWidth="1"/>
    <col min="9222" max="9222" width="11.5703125" style="342" customWidth="1"/>
    <col min="9223" max="9223" width="11" style="342" customWidth="1"/>
    <col min="9224" max="9224" width="11.42578125" style="342" customWidth="1"/>
    <col min="9225" max="9225" width="11.140625" style="342" customWidth="1"/>
    <col min="9226" max="9226" width="11" style="342" customWidth="1"/>
    <col min="9227" max="9227" width="12.28515625" style="342" customWidth="1"/>
    <col min="9228" max="9473" width="9.140625" style="342"/>
    <col min="9474" max="9474" width="43.42578125" style="342" customWidth="1"/>
    <col min="9475" max="9475" width="12" style="342" customWidth="1"/>
    <col min="9476" max="9476" width="11.28515625" style="342" customWidth="1"/>
    <col min="9477" max="9477" width="11.85546875" style="342" customWidth="1"/>
    <col min="9478" max="9478" width="11.5703125" style="342" customWidth="1"/>
    <col min="9479" max="9479" width="11" style="342" customWidth="1"/>
    <col min="9480" max="9480" width="11.42578125" style="342" customWidth="1"/>
    <col min="9481" max="9481" width="11.140625" style="342" customWidth="1"/>
    <col min="9482" max="9482" width="11" style="342" customWidth="1"/>
    <col min="9483" max="9483" width="12.28515625" style="342" customWidth="1"/>
    <col min="9484" max="9729" width="9.140625" style="342"/>
    <col min="9730" max="9730" width="43.42578125" style="342" customWidth="1"/>
    <col min="9731" max="9731" width="12" style="342" customWidth="1"/>
    <col min="9732" max="9732" width="11.28515625" style="342" customWidth="1"/>
    <col min="9733" max="9733" width="11.85546875" style="342" customWidth="1"/>
    <col min="9734" max="9734" width="11.5703125" style="342" customWidth="1"/>
    <col min="9735" max="9735" width="11" style="342" customWidth="1"/>
    <col min="9736" max="9736" width="11.42578125" style="342" customWidth="1"/>
    <col min="9737" max="9737" width="11.140625" style="342" customWidth="1"/>
    <col min="9738" max="9738" width="11" style="342" customWidth="1"/>
    <col min="9739" max="9739" width="12.28515625" style="342" customWidth="1"/>
    <col min="9740" max="9985" width="9.140625" style="342"/>
    <col min="9986" max="9986" width="43.42578125" style="342" customWidth="1"/>
    <col min="9987" max="9987" width="12" style="342" customWidth="1"/>
    <col min="9988" max="9988" width="11.28515625" style="342" customWidth="1"/>
    <col min="9989" max="9989" width="11.85546875" style="342" customWidth="1"/>
    <col min="9990" max="9990" width="11.5703125" style="342" customWidth="1"/>
    <col min="9991" max="9991" width="11" style="342" customWidth="1"/>
    <col min="9992" max="9992" width="11.42578125" style="342" customWidth="1"/>
    <col min="9993" max="9993" width="11.140625" style="342" customWidth="1"/>
    <col min="9994" max="9994" width="11" style="342" customWidth="1"/>
    <col min="9995" max="9995" width="12.28515625" style="342" customWidth="1"/>
    <col min="9996" max="10241" width="9.140625" style="342"/>
    <col min="10242" max="10242" width="43.42578125" style="342" customWidth="1"/>
    <col min="10243" max="10243" width="12" style="342" customWidth="1"/>
    <col min="10244" max="10244" width="11.28515625" style="342" customWidth="1"/>
    <col min="10245" max="10245" width="11.85546875" style="342" customWidth="1"/>
    <col min="10246" max="10246" width="11.5703125" style="342" customWidth="1"/>
    <col min="10247" max="10247" width="11" style="342" customWidth="1"/>
    <col min="10248" max="10248" width="11.42578125" style="342" customWidth="1"/>
    <col min="10249" max="10249" width="11.140625" style="342" customWidth="1"/>
    <col min="10250" max="10250" width="11" style="342" customWidth="1"/>
    <col min="10251" max="10251" width="12.28515625" style="342" customWidth="1"/>
    <col min="10252" max="10497" width="9.140625" style="342"/>
    <col min="10498" max="10498" width="43.42578125" style="342" customWidth="1"/>
    <col min="10499" max="10499" width="12" style="342" customWidth="1"/>
    <col min="10500" max="10500" width="11.28515625" style="342" customWidth="1"/>
    <col min="10501" max="10501" width="11.85546875" style="342" customWidth="1"/>
    <col min="10502" max="10502" width="11.5703125" style="342" customWidth="1"/>
    <col min="10503" max="10503" width="11" style="342" customWidth="1"/>
    <col min="10504" max="10504" width="11.42578125" style="342" customWidth="1"/>
    <col min="10505" max="10505" width="11.140625" style="342" customWidth="1"/>
    <col min="10506" max="10506" width="11" style="342" customWidth="1"/>
    <col min="10507" max="10507" width="12.28515625" style="342" customWidth="1"/>
    <col min="10508" max="10753" width="9.140625" style="342"/>
    <col min="10754" max="10754" width="43.42578125" style="342" customWidth="1"/>
    <col min="10755" max="10755" width="12" style="342" customWidth="1"/>
    <col min="10756" max="10756" width="11.28515625" style="342" customWidth="1"/>
    <col min="10757" max="10757" width="11.85546875" style="342" customWidth="1"/>
    <col min="10758" max="10758" width="11.5703125" style="342" customWidth="1"/>
    <col min="10759" max="10759" width="11" style="342" customWidth="1"/>
    <col min="10760" max="10760" width="11.42578125" style="342" customWidth="1"/>
    <col min="10761" max="10761" width="11.140625" style="342" customWidth="1"/>
    <col min="10762" max="10762" width="11" style="342" customWidth="1"/>
    <col min="10763" max="10763" width="12.28515625" style="342" customWidth="1"/>
    <col min="10764" max="11009" width="9.140625" style="342"/>
    <col min="11010" max="11010" width="43.42578125" style="342" customWidth="1"/>
    <col min="11011" max="11011" width="12" style="342" customWidth="1"/>
    <col min="11012" max="11012" width="11.28515625" style="342" customWidth="1"/>
    <col min="11013" max="11013" width="11.85546875" style="342" customWidth="1"/>
    <col min="11014" max="11014" width="11.5703125" style="342" customWidth="1"/>
    <col min="11015" max="11015" width="11" style="342" customWidth="1"/>
    <col min="11016" max="11016" width="11.42578125" style="342" customWidth="1"/>
    <col min="11017" max="11017" width="11.140625" style="342" customWidth="1"/>
    <col min="11018" max="11018" width="11" style="342" customWidth="1"/>
    <col min="11019" max="11019" width="12.28515625" style="342" customWidth="1"/>
    <col min="11020" max="11265" width="9.140625" style="342"/>
    <col min="11266" max="11266" width="43.42578125" style="342" customWidth="1"/>
    <col min="11267" max="11267" width="12" style="342" customWidth="1"/>
    <col min="11268" max="11268" width="11.28515625" style="342" customWidth="1"/>
    <col min="11269" max="11269" width="11.85546875" style="342" customWidth="1"/>
    <col min="11270" max="11270" width="11.5703125" style="342" customWidth="1"/>
    <col min="11271" max="11271" width="11" style="342" customWidth="1"/>
    <col min="11272" max="11272" width="11.42578125" style="342" customWidth="1"/>
    <col min="11273" max="11273" width="11.140625" style="342" customWidth="1"/>
    <col min="11274" max="11274" width="11" style="342" customWidth="1"/>
    <col min="11275" max="11275" width="12.28515625" style="342" customWidth="1"/>
    <col min="11276" max="11521" width="9.140625" style="342"/>
    <col min="11522" max="11522" width="43.42578125" style="342" customWidth="1"/>
    <col min="11523" max="11523" width="12" style="342" customWidth="1"/>
    <col min="11524" max="11524" width="11.28515625" style="342" customWidth="1"/>
    <col min="11525" max="11525" width="11.85546875" style="342" customWidth="1"/>
    <col min="11526" max="11526" width="11.5703125" style="342" customWidth="1"/>
    <col min="11527" max="11527" width="11" style="342" customWidth="1"/>
    <col min="11528" max="11528" width="11.42578125" style="342" customWidth="1"/>
    <col min="11529" max="11529" width="11.140625" style="342" customWidth="1"/>
    <col min="11530" max="11530" width="11" style="342" customWidth="1"/>
    <col min="11531" max="11531" width="12.28515625" style="342" customWidth="1"/>
    <col min="11532" max="11777" width="9.140625" style="342"/>
    <col min="11778" max="11778" width="43.42578125" style="342" customWidth="1"/>
    <col min="11779" max="11779" width="12" style="342" customWidth="1"/>
    <col min="11780" max="11780" width="11.28515625" style="342" customWidth="1"/>
    <col min="11781" max="11781" width="11.85546875" style="342" customWidth="1"/>
    <col min="11782" max="11782" width="11.5703125" style="342" customWidth="1"/>
    <col min="11783" max="11783" width="11" style="342" customWidth="1"/>
    <col min="11784" max="11784" width="11.42578125" style="342" customWidth="1"/>
    <col min="11785" max="11785" width="11.140625" style="342" customWidth="1"/>
    <col min="11786" max="11786" width="11" style="342" customWidth="1"/>
    <col min="11787" max="11787" width="12.28515625" style="342" customWidth="1"/>
    <col min="11788" max="12033" width="9.140625" style="342"/>
    <col min="12034" max="12034" width="43.42578125" style="342" customWidth="1"/>
    <col min="12035" max="12035" width="12" style="342" customWidth="1"/>
    <col min="12036" max="12036" width="11.28515625" style="342" customWidth="1"/>
    <col min="12037" max="12037" width="11.85546875" style="342" customWidth="1"/>
    <col min="12038" max="12038" width="11.5703125" style="342" customWidth="1"/>
    <col min="12039" max="12039" width="11" style="342" customWidth="1"/>
    <col min="12040" max="12040" width="11.42578125" style="342" customWidth="1"/>
    <col min="12041" max="12041" width="11.140625" style="342" customWidth="1"/>
    <col min="12042" max="12042" width="11" style="342" customWidth="1"/>
    <col min="12043" max="12043" width="12.28515625" style="342" customWidth="1"/>
    <col min="12044" max="12289" width="9.140625" style="342"/>
    <col min="12290" max="12290" width="43.42578125" style="342" customWidth="1"/>
    <col min="12291" max="12291" width="12" style="342" customWidth="1"/>
    <col min="12292" max="12292" width="11.28515625" style="342" customWidth="1"/>
    <col min="12293" max="12293" width="11.85546875" style="342" customWidth="1"/>
    <col min="12294" max="12294" width="11.5703125" style="342" customWidth="1"/>
    <col min="12295" max="12295" width="11" style="342" customWidth="1"/>
    <col min="12296" max="12296" width="11.42578125" style="342" customWidth="1"/>
    <col min="12297" max="12297" width="11.140625" style="342" customWidth="1"/>
    <col min="12298" max="12298" width="11" style="342" customWidth="1"/>
    <col min="12299" max="12299" width="12.28515625" style="342" customWidth="1"/>
    <col min="12300" max="12545" width="9.140625" style="342"/>
    <col min="12546" max="12546" width="43.42578125" style="342" customWidth="1"/>
    <col min="12547" max="12547" width="12" style="342" customWidth="1"/>
    <col min="12548" max="12548" width="11.28515625" style="342" customWidth="1"/>
    <col min="12549" max="12549" width="11.85546875" style="342" customWidth="1"/>
    <col min="12550" max="12550" width="11.5703125" style="342" customWidth="1"/>
    <col min="12551" max="12551" width="11" style="342" customWidth="1"/>
    <col min="12552" max="12552" width="11.42578125" style="342" customWidth="1"/>
    <col min="12553" max="12553" width="11.140625" style="342" customWidth="1"/>
    <col min="12554" max="12554" width="11" style="342" customWidth="1"/>
    <col min="12555" max="12555" width="12.28515625" style="342" customWidth="1"/>
    <col min="12556" max="12801" width="9.140625" style="342"/>
    <col min="12802" max="12802" width="43.42578125" style="342" customWidth="1"/>
    <col min="12803" max="12803" width="12" style="342" customWidth="1"/>
    <col min="12804" max="12804" width="11.28515625" style="342" customWidth="1"/>
    <col min="12805" max="12805" width="11.85546875" style="342" customWidth="1"/>
    <col min="12806" max="12806" width="11.5703125" style="342" customWidth="1"/>
    <col min="12807" max="12807" width="11" style="342" customWidth="1"/>
    <col min="12808" max="12808" width="11.42578125" style="342" customWidth="1"/>
    <col min="12809" max="12809" width="11.140625" style="342" customWidth="1"/>
    <col min="12810" max="12810" width="11" style="342" customWidth="1"/>
    <col min="12811" max="12811" width="12.28515625" style="342" customWidth="1"/>
    <col min="12812" max="13057" width="9.140625" style="342"/>
    <col min="13058" max="13058" width="43.42578125" style="342" customWidth="1"/>
    <col min="13059" max="13059" width="12" style="342" customWidth="1"/>
    <col min="13060" max="13060" width="11.28515625" style="342" customWidth="1"/>
    <col min="13061" max="13061" width="11.85546875" style="342" customWidth="1"/>
    <col min="13062" max="13062" width="11.5703125" style="342" customWidth="1"/>
    <col min="13063" max="13063" width="11" style="342" customWidth="1"/>
    <col min="13064" max="13064" width="11.42578125" style="342" customWidth="1"/>
    <col min="13065" max="13065" width="11.140625" style="342" customWidth="1"/>
    <col min="13066" max="13066" width="11" style="342" customWidth="1"/>
    <col min="13067" max="13067" width="12.28515625" style="342" customWidth="1"/>
    <col min="13068" max="13313" width="9.140625" style="342"/>
    <col min="13314" max="13314" width="43.42578125" style="342" customWidth="1"/>
    <col min="13315" max="13315" width="12" style="342" customWidth="1"/>
    <col min="13316" max="13316" width="11.28515625" style="342" customWidth="1"/>
    <col min="13317" max="13317" width="11.85546875" style="342" customWidth="1"/>
    <col min="13318" max="13318" width="11.5703125" style="342" customWidth="1"/>
    <col min="13319" max="13319" width="11" style="342" customWidth="1"/>
    <col min="13320" max="13320" width="11.42578125" style="342" customWidth="1"/>
    <col min="13321" max="13321" width="11.140625" style="342" customWidth="1"/>
    <col min="13322" max="13322" width="11" style="342" customWidth="1"/>
    <col min="13323" max="13323" width="12.28515625" style="342" customWidth="1"/>
    <col min="13324" max="13569" width="9.140625" style="342"/>
    <col min="13570" max="13570" width="43.42578125" style="342" customWidth="1"/>
    <col min="13571" max="13571" width="12" style="342" customWidth="1"/>
    <col min="13572" max="13572" width="11.28515625" style="342" customWidth="1"/>
    <col min="13573" max="13573" width="11.85546875" style="342" customWidth="1"/>
    <col min="13574" max="13574" width="11.5703125" style="342" customWidth="1"/>
    <col min="13575" max="13575" width="11" style="342" customWidth="1"/>
    <col min="13576" max="13576" width="11.42578125" style="342" customWidth="1"/>
    <col min="13577" max="13577" width="11.140625" style="342" customWidth="1"/>
    <col min="13578" max="13578" width="11" style="342" customWidth="1"/>
    <col min="13579" max="13579" width="12.28515625" style="342" customWidth="1"/>
    <col min="13580" max="13825" width="9.140625" style="342"/>
    <col min="13826" max="13826" width="43.42578125" style="342" customWidth="1"/>
    <col min="13827" max="13827" width="12" style="342" customWidth="1"/>
    <col min="13828" max="13828" width="11.28515625" style="342" customWidth="1"/>
    <col min="13829" max="13829" width="11.85546875" style="342" customWidth="1"/>
    <col min="13830" max="13830" width="11.5703125" style="342" customWidth="1"/>
    <col min="13831" max="13831" width="11" style="342" customWidth="1"/>
    <col min="13832" max="13832" width="11.42578125" style="342" customWidth="1"/>
    <col min="13833" max="13833" width="11.140625" style="342" customWidth="1"/>
    <col min="13834" max="13834" width="11" style="342" customWidth="1"/>
    <col min="13835" max="13835" width="12.28515625" style="342" customWidth="1"/>
    <col min="13836" max="14081" width="9.140625" style="342"/>
    <col min="14082" max="14082" width="43.42578125" style="342" customWidth="1"/>
    <col min="14083" max="14083" width="12" style="342" customWidth="1"/>
    <col min="14084" max="14084" width="11.28515625" style="342" customWidth="1"/>
    <col min="14085" max="14085" width="11.85546875" style="342" customWidth="1"/>
    <col min="14086" max="14086" width="11.5703125" style="342" customWidth="1"/>
    <col min="14087" max="14087" width="11" style="342" customWidth="1"/>
    <col min="14088" max="14088" width="11.42578125" style="342" customWidth="1"/>
    <col min="14089" max="14089" width="11.140625" style="342" customWidth="1"/>
    <col min="14090" max="14090" width="11" style="342" customWidth="1"/>
    <col min="14091" max="14091" width="12.28515625" style="342" customWidth="1"/>
    <col min="14092" max="14337" width="9.140625" style="342"/>
    <col min="14338" max="14338" width="43.42578125" style="342" customWidth="1"/>
    <col min="14339" max="14339" width="12" style="342" customWidth="1"/>
    <col min="14340" max="14340" width="11.28515625" style="342" customWidth="1"/>
    <col min="14341" max="14341" width="11.85546875" style="342" customWidth="1"/>
    <col min="14342" max="14342" width="11.5703125" style="342" customWidth="1"/>
    <col min="14343" max="14343" width="11" style="342" customWidth="1"/>
    <col min="14344" max="14344" width="11.42578125" style="342" customWidth="1"/>
    <col min="14345" max="14345" width="11.140625" style="342" customWidth="1"/>
    <col min="14346" max="14346" width="11" style="342" customWidth="1"/>
    <col min="14347" max="14347" width="12.28515625" style="342" customWidth="1"/>
    <col min="14348" max="14593" width="9.140625" style="342"/>
    <col min="14594" max="14594" width="43.42578125" style="342" customWidth="1"/>
    <col min="14595" max="14595" width="12" style="342" customWidth="1"/>
    <col min="14596" max="14596" width="11.28515625" style="342" customWidth="1"/>
    <col min="14597" max="14597" width="11.85546875" style="342" customWidth="1"/>
    <col min="14598" max="14598" width="11.5703125" style="342" customWidth="1"/>
    <col min="14599" max="14599" width="11" style="342" customWidth="1"/>
    <col min="14600" max="14600" width="11.42578125" style="342" customWidth="1"/>
    <col min="14601" max="14601" width="11.140625" style="342" customWidth="1"/>
    <col min="14602" max="14602" width="11" style="342" customWidth="1"/>
    <col min="14603" max="14603" width="12.28515625" style="342" customWidth="1"/>
    <col min="14604" max="14849" width="9.140625" style="342"/>
    <col min="14850" max="14850" width="43.42578125" style="342" customWidth="1"/>
    <col min="14851" max="14851" width="12" style="342" customWidth="1"/>
    <col min="14852" max="14852" width="11.28515625" style="342" customWidth="1"/>
    <col min="14853" max="14853" width="11.85546875" style="342" customWidth="1"/>
    <col min="14854" max="14854" width="11.5703125" style="342" customWidth="1"/>
    <col min="14855" max="14855" width="11" style="342" customWidth="1"/>
    <col min="14856" max="14856" width="11.42578125" style="342" customWidth="1"/>
    <col min="14857" max="14857" width="11.140625" style="342" customWidth="1"/>
    <col min="14858" max="14858" width="11" style="342" customWidth="1"/>
    <col min="14859" max="14859" width="12.28515625" style="342" customWidth="1"/>
    <col min="14860" max="15105" width="9.140625" style="342"/>
    <col min="15106" max="15106" width="43.42578125" style="342" customWidth="1"/>
    <col min="15107" max="15107" width="12" style="342" customWidth="1"/>
    <col min="15108" max="15108" width="11.28515625" style="342" customWidth="1"/>
    <col min="15109" max="15109" width="11.85546875" style="342" customWidth="1"/>
    <col min="15110" max="15110" width="11.5703125" style="342" customWidth="1"/>
    <col min="15111" max="15111" width="11" style="342" customWidth="1"/>
    <col min="15112" max="15112" width="11.42578125" style="342" customWidth="1"/>
    <col min="15113" max="15113" width="11.140625" style="342" customWidth="1"/>
    <col min="15114" max="15114" width="11" style="342" customWidth="1"/>
    <col min="15115" max="15115" width="12.28515625" style="342" customWidth="1"/>
    <col min="15116" max="15361" width="9.140625" style="342"/>
    <col min="15362" max="15362" width="43.42578125" style="342" customWidth="1"/>
    <col min="15363" max="15363" width="12" style="342" customWidth="1"/>
    <col min="15364" max="15364" width="11.28515625" style="342" customWidth="1"/>
    <col min="15365" max="15365" width="11.85546875" style="342" customWidth="1"/>
    <col min="15366" max="15366" width="11.5703125" style="342" customWidth="1"/>
    <col min="15367" max="15367" width="11" style="342" customWidth="1"/>
    <col min="15368" max="15368" width="11.42578125" style="342" customWidth="1"/>
    <col min="15369" max="15369" width="11.140625" style="342" customWidth="1"/>
    <col min="15370" max="15370" width="11" style="342" customWidth="1"/>
    <col min="15371" max="15371" width="12.28515625" style="342" customWidth="1"/>
    <col min="15372" max="15617" width="9.140625" style="342"/>
    <col min="15618" max="15618" width="43.42578125" style="342" customWidth="1"/>
    <col min="15619" max="15619" width="12" style="342" customWidth="1"/>
    <col min="15620" max="15620" width="11.28515625" style="342" customWidth="1"/>
    <col min="15621" max="15621" width="11.85546875" style="342" customWidth="1"/>
    <col min="15622" max="15622" width="11.5703125" style="342" customWidth="1"/>
    <col min="15623" max="15623" width="11" style="342" customWidth="1"/>
    <col min="15624" max="15624" width="11.42578125" style="342" customWidth="1"/>
    <col min="15625" max="15625" width="11.140625" style="342" customWidth="1"/>
    <col min="15626" max="15626" width="11" style="342" customWidth="1"/>
    <col min="15627" max="15627" width="12.28515625" style="342" customWidth="1"/>
    <col min="15628" max="15873" width="9.140625" style="342"/>
    <col min="15874" max="15874" width="43.42578125" style="342" customWidth="1"/>
    <col min="15875" max="15875" width="12" style="342" customWidth="1"/>
    <col min="15876" max="15876" width="11.28515625" style="342" customWidth="1"/>
    <col min="15877" max="15877" width="11.85546875" style="342" customWidth="1"/>
    <col min="15878" max="15878" width="11.5703125" style="342" customWidth="1"/>
    <col min="15879" max="15879" width="11" style="342" customWidth="1"/>
    <col min="15880" max="15880" width="11.42578125" style="342" customWidth="1"/>
    <col min="15881" max="15881" width="11.140625" style="342" customWidth="1"/>
    <col min="15882" max="15882" width="11" style="342" customWidth="1"/>
    <col min="15883" max="15883" width="12.28515625" style="342" customWidth="1"/>
    <col min="15884" max="16129" width="9.140625" style="342"/>
    <col min="16130" max="16130" width="43.42578125" style="342" customWidth="1"/>
    <col min="16131" max="16131" width="12" style="342" customWidth="1"/>
    <col min="16132" max="16132" width="11.28515625" style="342" customWidth="1"/>
    <col min="16133" max="16133" width="11.85546875" style="342" customWidth="1"/>
    <col min="16134" max="16134" width="11.5703125" style="342" customWidth="1"/>
    <col min="16135" max="16135" width="11" style="342" customWidth="1"/>
    <col min="16136" max="16136" width="11.42578125" style="342" customWidth="1"/>
    <col min="16137" max="16137" width="11.140625" style="342" customWidth="1"/>
    <col min="16138" max="16138" width="11" style="342" customWidth="1"/>
    <col min="16139" max="16139" width="12.28515625" style="342" customWidth="1"/>
    <col min="16140" max="16384" width="9.140625" style="342"/>
  </cols>
  <sheetData>
    <row r="1" spans="1:11">
      <c r="A1" s="144" t="s">
        <v>0</v>
      </c>
      <c r="B1" s="144"/>
      <c r="C1" s="144"/>
      <c r="D1" s="144"/>
      <c r="E1" s="144"/>
      <c r="F1" s="144"/>
      <c r="G1" s="144"/>
      <c r="H1" s="459" t="s">
        <v>431</v>
      </c>
      <c r="I1" s="459"/>
      <c r="J1" s="459"/>
      <c r="K1" s="459"/>
    </row>
    <row r="2" spans="1:11">
      <c r="A2" s="144" t="s">
        <v>2</v>
      </c>
      <c r="B2" s="144"/>
      <c r="C2" s="144"/>
      <c r="D2" s="144"/>
      <c r="E2" s="144"/>
      <c r="F2" s="144"/>
      <c r="G2" s="144"/>
      <c r="H2" s="144" t="s">
        <v>351</v>
      </c>
      <c r="I2" s="144"/>
      <c r="J2" s="144"/>
      <c r="K2" s="144"/>
    </row>
    <row r="3" spans="1:11">
      <c r="A3" s="144" t="s">
        <v>432</v>
      </c>
      <c r="B3" s="144"/>
      <c r="C3" s="144"/>
      <c r="D3" s="144"/>
      <c r="E3" s="144"/>
      <c r="F3" s="144"/>
      <c r="G3" s="144"/>
      <c r="H3" s="144" t="s">
        <v>5</v>
      </c>
      <c r="I3" s="144"/>
      <c r="J3" s="144"/>
      <c r="K3" s="144"/>
    </row>
    <row r="4" spans="1:11">
      <c r="A4" s="144" t="s">
        <v>6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1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1">
      <c r="A6" s="477" t="s">
        <v>433</v>
      </c>
      <c r="B6" s="477"/>
      <c r="C6" s="477"/>
      <c r="D6" s="477"/>
      <c r="E6" s="477"/>
      <c r="F6" s="477"/>
      <c r="G6" s="477"/>
      <c r="H6" s="477"/>
      <c r="I6" s="477"/>
      <c r="J6" s="477"/>
      <c r="K6" s="477"/>
    </row>
    <row r="7" spans="1:11">
      <c r="A7" s="343"/>
      <c r="B7" s="343"/>
      <c r="C7" s="343"/>
      <c r="D7" s="343"/>
      <c r="E7" s="343"/>
      <c r="F7" s="343"/>
      <c r="G7" s="343"/>
      <c r="H7" s="343"/>
      <c r="I7" s="343"/>
      <c r="J7" s="343"/>
      <c r="K7" s="343"/>
    </row>
    <row r="8" spans="1:11">
      <c r="A8" s="468" t="s">
        <v>9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</row>
    <row r="9" spans="1:11">
      <c r="A9" s="482" t="s">
        <v>434</v>
      </c>
      <c r="B9" s="482" t="s">
        <v>435</v>
      </c>
      <c r="C9" s="482" t="s">
        <v>436</v>
      </c>
      <c r="D9" s="482" t="s">
        <v>437</v>
      </c>
      <c r="E9" s="482"/>
      <c r="F9" s="482" t="s">
        <v>438</v>
      </c>
      <c r="G9" s="482"/>
      <c r="H9" s="482" t="s">
        <v>439</v>
      </c>
      <c r="I9" s="482"/>
      <c r="J9" s="482" t="s">
        <v>440</v>
      </c>
      <c r="K9" s="482"/>
    </row>
    <row r="10" spans="1:11">
      <c r="A10" s="482"/>
      <c r="B10" s="482"/>
      <c r="C10" s="482"/>
      <c r="D10" s="482" t="s">
        <v>441</v>
      </c>
      <c r="E10" s="482"/>
      <c r="F10" s="482" t="s">
        <v>442</v>
      </c>
      <c r="G10" s="482"/>
      <c r="H10" s="482" t="s">
        <v>442</v>
      </c>
      <c r="I10" s="482"/>
      <c r="J10" s="482" t="s">
        <v>442</v>
      </c>
      <c r="K10" s="482"/>
    </row>
    <row r="11" spans="1:11" ht="54">
      <c r="A11" s="482"/>
      <c r="B11" s="482"/>
      <c r="C11" s="482"/>
      <c r="D11" s="310" t="s">
        <v>443</v>
      </c>
      <c r="E11" s="310" t="s">
        <v>337</v>
      </c>
      <c r="F11" s="310" t="s">
        <v>444</v>
      </c>
      <c r="G11" s="310" t="s">
        <v>337</v>
      </c>
      <c r="H11" s="310" t="s">
        <v>444</v>
      </c>
      <c r="I11" s="310" t="s">
        <v>337</v>
      </c>
      <c r="J11" s="310" t="s">
        <v>444</v>
      </c>
      <c r="K11" s="310" t="s">
        <v>337</v>
      </c>
    </row>
    <row r="12" spans="1:11">
      <c r="A12" s="310">
        <v>0</v>
      </c>
      <c r="B12" s="310">
        <v>1</v>
      </c>
      <c r="C12" s="310">
        <v>2</v>
      </c>
      <c r="D12" s="310">
        <v>3</v>
      </c>
      <c r="E12" s="310">
        <v>4</v>
      </c>
      <c r="F12" s="310">
        <v>5</v>
      </c>
      <c r="G12" s="310">
        <v>6</v>
      </c>
      <c r="H12" s="310">
        <v>7</v>
      </c>
      <c r="I12" s="310">
        <v>8</v>
      </c>
      <c r="J12" s="310">
        <v>9</v>
      </c>
      <c r="K12" s="310">
        <v>10</v>
      </c>
    </row>
    <row r="13" spans="1:11" ht="54">
      <c r="A13" s="310" t="s">
        <v>445</v>
      </c>
      <c r="B13" s="318" t="s">
        <v>446</v>
      </c>
      <c r="C13" s="318"/>
      <c r="D13" s="310"/>
      <c r="E13" s="310"/>
      <c r="F13" s="318"/>
      <c r="G13" s="318"/>
      <c r="H13" s="318"/>
      <c r="I13" s="318"/>
      <c r="J13" s="318"/>
      <c r="K13" s="318"/>
    </row>
    <row r="14" spans="1:11">
      <c r="A14" s="310">
        <v>1</v>
      </c>
      <c r="B14" s="318" t="s">
        <v>447</v>
      </c>
      <c r="C14" s="318"/>
      <c r="D14" s="310" t="s">
        <v>101</v>
      </c>
      <c r="E14" s="310" t="s">
        <v>101</v>
      </c>
      <c r="F14" s="318"/>
      <c r="G14" s="318"/>
      <c r="H14" s="318"/>
      <c r="I14" s="318"/>
      <c r="J14" s="318"/>
      <c r="K14" s="318"/>
    </row>
    <row r="15" spans="1:11">
      <c r="A15" s="310">
        <v>2</v>
      </c>
      <c r="B15" s="318" t="s">
        <v>448</v>
      </c>
      <c r="C15" s="318"/>
      <c r="D15" s="310" t="s">
        <v>101</v>
      </c>
      <c r="E15" s="310" t="s">
        <v>101</v>
      </c>
      <c r="F15" s="318"/>
      <c r="G15" s="318"/>
      <c r="H15" s="318"/>
      <c r="I15" s="318"/>
      <c r="J15" s="318"/>
      <c r="K15" s="318"/>
    </row>
    <row r="16" spans="1:11" ht="29.25" customHeight="1">
      <c r="A16" s="310">
        <v>3</v>
      </c>
      <c r="B16" s="318" t="s">
        <v>449</v>
      </c>
      <c r="C16" s="318"/>
      <c r="D16" s="310" t="s">
        <v>101</v>
      </c>
      <c r="E16" s="310" t="s">
        <v>101</v>
      </c>
      <c r="F16" s="318"/>
      <c r="G16" s="318"/>
      <c r="H16" s="318"/>
      <c r="I16" s="318"/>
      <c r="J16" s="318"/>
      <c r="K16" s="318"/>
    </row>
    <row r="17" spans="1:11">
      <c r="A17" s="310">
        <v>4</v>
      </c>
      <c r="B17" s="310" t="s">
        <v>450</v>
      </c>
      <c r="C17" s="318"/>
      <c r="D17" s="310" t="s">
        <v>101</v>
      </c>
      <c r="E17" s="310" t="s">
        <v>101</v>
      </c>
      <c r="F17" s="318"/>
      <c r="G17" s="318"/>
      <c r="H17" s="318"/>
      <c r="I17" s="318"/>
      <c r="J17" s="318"/>
      <c r="K17" s="318"/>
    </row>
    <row r="18" spans="1:11" ht="36" customHeight="1">
      <c r="A18" s="310" t="s">
        <v>451</v>
      </c>
      <c r="B18" s="318" t="s">
        <v>452</v>
      </c>
      <c r="C18" s="318"/>
      <c r="D18" s="310"/>
      <c r="E18" s="310"/>
      <c r="F18" s="318"/>
      <c r="G18" s="318"/>
      <c r="H18" s="318"/>
      <c r="I18" s="318"/>
      <c r="J18" s="318"/>
      <c r="K18" s="318"/>
    </row>
    <row r="19" spans="1:11" ht="36">
      <c r="A19" s="310">
        <v>1</v>
      </c>
      <c r="B19" s="318" t="s">
        <v>453</v>
      </c>
      <c r="C19" s="318"/>
      <c r="D19" s="310" t="s">
        <v>101</v>
      </c>
      <c r="E19" s="310" t="s">
        <v>101</v>
      </c>
      <c r="F19" s="318"/>
      <c r="G19" s="318"/>
      <c r="H19" s="318"/>
      <c r="I19" s="318"/>
      <c r="J19" s="318"/>
      <c r="K19" s="318"/>
    </row>
    <row r="20" spans="1:11" ht="36">
      <c r="A20" s="310">
        <v>2</v>
      </c>
      <c r="B20" s="318" t="s">
        <v>454</v>
      </c>
      <c r="C20" s="318"/>
      <c r="D20" s="310" t="s">
        <v>101</v>
      </c>
      <c r="E20" s="310" t="s">
        <v>101</v>
      </c>
      <c r="F20" s="318"/>
      <c r="G20" s="318"/>
      <c r="H20" s="318"/>
      <c r="I20" s="318"/>
      <c r="J20" s="318"/>
      <c r="K20" s="318"/>
    </row>
    <row r="21" spans="1:11">
      <c r="A21" s="310">
        <v>3</v>
      </c>
      <c r="B21" s="318" t="s">
        <v>455</v>
      </c>
      <c r="C21" s="318"/>
      <c r="D21" s="310" t="s">
        <v>101</v>
      </c>
      <c r="E21" s="310" t="s">
        <v>101</v>
      </c>
      <c r="F21" s="318"/>
      <c r="G21" s="318"/>
      <c r="H21" s="318"/>
      <c r="I21" s="318"/>
      <c r="J21" s="318"/>
      <c r="K21" s="318"/>
    </row>
    <row r="22" spans="1:11">
      <c r="A22" s="310">
        <v>4</v>
      </c>
      <c r="B22" s="310" t="s">
        <v>456</v>
      </c>
      <c r="C22" s="318"/>
      <c r="D22" s="310" t="s">
        <v>101</v>
      </c>
      <c r="E22" s="310" t="s">
        <v>101</v>
      </c>
      <c r="F22" s="318"/>
      <c r="G22" s="318"/>
      <c r="H22" s="318"/>
      <c r="I22" s="318"/>
      <c r="J22" s="318"/>
      <c r="K22" s="318"/>
    </row>
    <row r="23" spans="1:11" ht="24.75" customHeight="1">
      <c r="A23" s="310" t="s">
        <v>457</v>
      </c>
      <c r="B23" s="310" t="s">
        <v>458</v>
      </c>
      <c r="C23" s="318"/>
      <c r="D23" s="310"/>
      <c r="E23" s="310"/>
      <c r="F23" s="318"/>
      <c r="G23" s="318"/>
      <c r="H23" s="318"/>
      <c r="I23" s="318"/>
      <c r="J23" s="318"/>
      <c r="K23" s="318"/>
    </row>
    <row r="24" spans="1:11">
      <c r="A24" s="343"/>
      <c r="B24" s="343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1">
      <c r="A25" s="480" t="s">
        <v>113</v>
      </c>
      <c r="B25" s="480"/>
      <c r="C25" s="144"/>
      <c r="D25" s="144"/>
      <c r="E25" s="144"/>
      <c r="F25" s="480" t="s">
        <v>368</v>
      </c>
      <c r="G25" s="480"/>
      <c r="H25" s="480"/>
      <c r="I25" s="480"/>
      <c r="J25" s="480"/>
      <c r="K25" s="480"/>
    </row>
    <row r="26" spans="1:11">
      <c r="A26" s="480" t="s">
        <v>115</v>
      </c>
      <c r="B26" s="480"/>
      <c r="C26" s="144"/>
      <c r="D26" s="144"/>
      <c r="E26" s="144"/>
      <c r="F26" s="480" t="s">
        <v>369</v>
      </c>
      <c r="G26" s="480"/>
      <c r="H26" s="480"/>
      <c r="I26" s="480"/>
      <c r="J26" s="480"/>
      <c r="K26" s="480"/>
    </row>
    <row r="27" spans="1:11">
      <c r="A27" s="481" t="s">
        <v>117</v>
      </c>
      <c r="B27" s="481"/>
      <c r="F27" s="481" t="s">
        <v>459</v>
      </c>
      <c r="G27" s="481"/>
      <c r="H27" s="481"/>
      <c r="I27" s="481"/>
      <c r="J27" s="481"/>
      <c r="K27" s="481"/>
    </row>
  </sheetData>
  <mergeCells count="20">
    <mergeCell ref="H1:K1"/>
    <mergeCell ref="A6:K6"/>
    <mergeCell ref="A8:K8"/>
    <mergeCell ref="A9:A11"/>
    <mergeCell ref="B9:B11"/>
    <mergeCell ref="C9:C11"/>
    <mergeCell ref="D9:E9"/>
    <mergeCell ref="F9:G9"/>
    <mergeCell ref="H9:I9"/>
    <mergeCell ref="J9:K9"/>
    <mergeCell ref="A26:B26"/>
    <mergeCell ref="F26:K26"/>
    <mergeCell ref="A27:B27"/>
    <mergeCell ref="F27:K27"/>
    <mergeCell ref="D10:E10"/>
    <mergeCell ref="F10:G10"/>
    <mergeCell ref="H10:I10"/>
    <mergeCell ref="J10:K10"/>
    <mergeCell ref="A25:B25"/>
    <mergeCell ref="F25:K25"/>
  </mergeCells>
  <printOptions horizontalCentered="1" verticalCentered="1"/>
  <pageMargins left="0" right="0" top="0" bottom="0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liv1</vt:lpstr>
      <vt:lpstr>liv2</vt:lpstr>
      <vt:lpstr>liv3</vt:lpstr>
      <vt:lpstr>liv4</vt:lpstr>
      <vt:lpstr>liv5</vt:lpstr>
      <vt:lpstr>'liv1'!Print_Area</vt:lpstr>
      <vt:lpstr>'liv2'!Print_Area</vt:lpstr>
      <vt:lpstr>'liv3'!Print_Area</vt:lpstr>
      <vt:lpstr>'liv4'!Print_Area</vt:lpstr>
      <vt:lpstr>'liv5'!Print_Area</vt:lpstr>
      <vt:lpstr>'liv1'!Print_Titles</vt:lpstr>
      <vt:lpstr>'liv2'!Print_Titles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2026-04-27T07:42:39Z</cp:lastPrinted>
  <dcterms:created xsi:type="dcterms:W3CDTF">2026-04-20T15:30:33Z</dcterms:created>
  <dcterms:modified xsi:type="dcterms:W3CDTF">2026-04-27T07:45:40Z</dcterms:modified>
</cp:coreProperties>
</file>