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secretariat\Desktop\"/>
    </mc:Choice>
  </mc:AlternateContent>
  <bookViews>
    <workbookView xWindow="0" yWindow="0" windowWidth="20490" windowHeight="7620" tabRatio="772"/>
  </bookViews>
  <sheets>
    <sheet name="Deviz Genral cu TVA" sheetId="15" r:id="rId1"/>
    <sheet name="Sheet1" sheetId="26" state="hidden" r:id="rId2"/>
    <sheet name="cap 1" sheetId="21" r:id="rId3"/>
    <sheet name="cap2" sheetId="19" r:id="rId4"/>
    <sheet name="cap3" sheetId="16" r:id="rId5"/>
    <sheet name="cap4 " sheetId="17" r:id="rId6"/>
    <sheet name="CAP4 TIP I" sheetId="24" r:id="rId7"/>
    <sheet name="CAP4 TIP II" sheetId="25" r:id="rId8"/>
    <sheet name="cap5" sheetId="18" r:id="rId9"/>
    <sheet name="Sheet2" sheetId="23" state="hidden" r:id="rId10"/>
  </sheets>
  <externalReferences>
    <externalReference r:id="rId11"/>
  </externalReferences>
  <definedNames>
    <definedName name="_Hlk527567994" localSheetId="0">'Deviz Genral cu TVA'!$C$3</definedName>
    <definedName name="data">'Deviz Genral cu TVA'!#REF!</definedName>
    <definedName name="euro">#REF!</definedName>
    <definedName name="inv">#REF!</definedName>
  </definedNames>
  <calcPr calcId="191029"/>
</workbook>
</file>

<file path=xl/calcChain.xml><?xml version="1.0" encoding="utf-8"?>
<calcChain xmlns="http://schemas.openxmlformats.org/spreadsheetml/2006/main">
  <c r="C16" i="24" l="1"/>
  <c r="C45" i="16"/>
  <c r="C24" i="24"/>
  <c r="K40" i="15"/>
  <c r="C40" i="15" s="1"/>
  <c r="E26" i="24"/>
  <c r="E30" i="24"/>
  <c r="F26" i="24"/>
  <c r="F30" i="24"/>
  <c r="C46" i="15"/>
  <c r="C21" i="24"/>
  <c r="E21" i="24"/>
  <c r="C17" i="24"/>
  <c r="F17" i="24"/>
  <c r="E17" i="24"/>
  <c r="E21" i="18"/>
  <c r="C25" i="16"/>
  <c r="E32" i="15"/>
  <c r="E33" i="15"/>
  <c r="C22" i="18"/>
  <c r="C23" i="18" s="1"/>
  <c r="C24" i="18"/>
  <c r="C25" i="18" s="1"/>
  <c r="C37" i="15"/>
  <c r="D37" i="15"/>
  <c r="C31" i="16"/>
  <c r="D31" i="16" s="1"/>
  <c r="C21" i="17"/>
  <c r="C15" i="26"/>
  <c r="A18" i="26"/>
  <c r="C10" i="26"/>
  <c r="B15" i="26"/>
  <c r="B10" i="26"/>
  <c r="F21" i="23"/>
  <c r="C13" i="17"/>
  <c r="E13" i="17"/>
  <c r="F13" i="17"/>
  <c r="F27" i="25"/>
  <c r="E23" i="25"/>
  <c r="E22" i="25"/>
  <c r="F22" i="25"/>
  <c r="E20" i="25"/>
  <c r="F20" i="25"/>
  <c r="C19" i="25"/>
  <c r="E18" i="25"/>
  <c r="E19" i="25"/>
  <c r="F18" i="25"/>
  <c r="F19" i="25"/>
  <c r="E14" i="25"/>
  <c r="F14" i="25"/>
  <c r="E13" i="25"/>
  <c r="F13" i="25"/>
  <c r="G7" i="25"/>
  <c r="G14" i="25"/>
  <c r="A5" i="25"/>
  <c r="B3" i="25"/>
  <c r="B2" i="25"/>
  <c r="B1" i="25"/>
  <c r="B20" i="24"/>
  <c r="B22" i="24"/>
  <c r="F33" i="24"/>
  <c r="E29" i="24"/>
  <c r="F29" i="24"/>
  <c r="E28" i="24"/>
  <c r="F28" i="24"/>
  <c r="E13" i="24"/>
  <c r="F13" i="24"/>
  <c r="G7" i="24"/>
  <c r="G17" i="24"/>
  <c r="D21" i="24"/>
  <c r="A5" i="24"/>
  <c r="B3" i="24"/>
  <c r="B2" i="24"/>
  <c r="B1" i="24"/>
  <c r="E10" i="23"/>
  <c r="F11" i="23"/>
  <c r="C28" i="16"/>
  <c r="D33" i="15"/>
  <c r="G33" i="15"/>
  <c r="C37" i="16"/>
  <c r="E37" i="16"/>
  <c r="F37" i="16" s="1"/>
  <c r="C12" i="16"/>
  <c r="C20" i="18"/>
  <c r="C54" i="16"/>
  <c r="E54" i="16"/>
  <c r="F54" i="16" s="1"/>
  <c r="C53" i="16"/>
  <c r="C3" i="16"/>
  <c r="C2" i="16"/>
  <c r="C2" i="25"/>
  <c r="C1" i="16"/>
  <c r="B3" i="19"/>
  <c r="B2" i="19"/>
  <c r="B1" i="19"/>
  <c r="B3" i="21"/>
  <c r="B2" i="21"/>
  <c r="B1" i="21"/>
  <c r="B3" i="18"/>
  <c r="B2" i="18"/>
  <c r="B1" i="18"/>
  <c r="E22" i="17"/>
  <c r="F22" i="17"/>
  <c r="E23" i="17"/>
  <c r="F23" i="17"/>
  <c r="B3" i="17"/>
  <c r="B2" i="17"/>
  <c r="B1" i="17"/>
  <c r="C44" i="16"/>
  <c r="E45" i="16"/>
  <c r="F45" i="16" s="1"/>
  <c r="E18" i="16"/>
  <c r="F18" i="16"/>
  <c r="E19" i="16"/>
  <c r="F19" i="16"/>
  <c r="E20" i="16"/>
  <c r="F20" i="16"/>
  <c r="E21" i="16"/>
  <c r="F21" i="16"/>
  <c r="E22" i="16"/>
  <c r="F22" i="16"/>
  <c r="E23" i="16"/>
  <c r="E24" i="16"/>
  <c r="F24" i="16"/>
  <c r="E17" i="16"/>
  <c r="C13" i="16"/>
  <c r="C14" i="16"/>
  <c r="B14" i="16"/>
  <c r="B13" i="16"/>
  <c r="C33" i="21"/>
  <c r="E34" i="21"/>
  <c r="E35" i="21"/>
  <c r="F35" i="21"/>
  <c r="E36" i="21"/>
  <c r="F36" i="21"/>
  <c r="E37" i="21"/>
  <c r="F37" i="21"/>
  <c r="E38" i="21"/>
  <c r="F38" i="21"/>
  <c r="C18" i="21"/>
  <c r="C11" i="21"/>
  <c r="C39" i="21"/>
  <c r="E21" i="21"/>
  <c r="F21" i="21"/>
  <c r="E22" i="21"/>
  <c r="F22" i="21"/>
  <c r="E23" i="21"/>
  <c r="F23" i="21"/>
  <c r="E24" i="21"/>
  <c r="F24" i="21"/>
  <c r="E25" i="21"/>
  <c r="F25" i="21"/>
  <c r="E26" i="21"/>
  <c r="F26" i="21"/>
  <c r="E27" i="21"/>
  <c r="F27" i="21"/>
  <c r="E28" i="21"/>
  <c r="F28" i="21"/>
  <c r="E29" i="21"/>
  <c r="F29" i="21"/>
  <c r="E30" i="21"/>
  <c r="F30" i="21"/>
  <c r="E31" i="21"/>
  <c r="F31" i="21"/>
  <c r="E32" i="21"/>
  <c r="F32" i="21"/>
  <c r="E20" i="21"/>
  <c r="F20" i="21"/>
  <c r="E42" i="21"/>
  <c r="E19" i="21"/>
  <c r="F19" i="21"/>
  <c r="E17" i="21"/>
  <c r="F17" i="21"/>
  <c r="E16" i="21"/>
  <c r="F16" i="21"/>
  <c r="E15" i="21"/>
  <c r="F15" i="21"/>
  <c r="E14" i="21"/>
  <c r="E13" i="21"/>
  <c r="F13" i="21"/>
  <c r="E12" i="21"/>
  <c r="F12" i="21"/>
  <c r="G7" i="21"/>
  <c r="G37" i="21" s="1"/>
  <c r="A6" i="21"/>
  <c r="A3" i="21"/>
  <c r="A2" i="21"/>
  <c r="A1" i="21"/>
  <c r="B3" i="16"/>
  <c r="B2" i="16"/>
  <c r="B1" i="16"/>
  <c r="A3" i="19"/>
  <c r="A2" i="19"/>
  <c r="A1" i="19"/>
  <c r="F68" i="15"/>
  <c r="D68" i="15"/>
  <c r="G68" i="15"/>
  <c r="F64" i="15"/>
  <c r="D64" i="15"/>
  <c r="G64" i="15" s="1"/>
  <c r="E48" i="15"/>
  <c r="F48" i="15" s="1"/>
  <c r="D48" i="15"/>
  <c r="G48" i="15" s="1"/>
  <c r="E47" i="15"/>
  <c r="D47" i="15"/>
  <c r="G47" i="15"/>
  <c r="E44" i="15"/>
  <c r="F44" i="15" s="1"/>
  <c r="D44" i="15"/>
  <c r="G44" i="15"/>
  <c r="D36" i="15"/>
  <c r="G36" i="15" s="1"/>
  <c r="E36" i="15"/>
  <c r="D38" i="15"/>
  <c r="G38" i="15"/>
  <c r="E38" i="15"/>
  <c r="F38" i="15" s="1"/>
  <c r="E35" i="15"/>
  <c r="F35" i="15" s="1"/>
  <c r="D35" i="15"/>
  <c r="C27" i="15"/>
  <c r="I32" i="15" s="1"/>
  <c r="D28" i="15"/>
  <c r="G28" i="15"/>
  <c r="E28" i="15"/>
  <c r="F28" i="15" s="1"/>
  <c r="D29" i="15"/>
  <c r="G29" i="15" s="1"/>
  <c r="E29" i="15"/>
  <c r="F29" i="15" s="1"/>
  <c r="D30" i="15"/>
  <c r="G30" i="15" s="1"/>
  <c r="E30" i="15"/>
  <c r="F30" i="15" s="1"/>
  <c r="C21" i="15"/>
  <c r="D20" i="15"/>
  <c r="G20" i="15" s="1"/>
  <c r="E20" i="15"/>
  <c r="F20" i="15" s="1"/>
  <c r="E35" i="16"/>
  <c r="E34" i="16"/>
  <c r="F34" i="16"/>
  <c r="E12" i="19"/>
  <c r="F12" i="19"/>
  <c r="E13" i="19"/>
  <c r="F13" i="19"/>
  <c r="E14" i="19"/>
  <c r="F14" i="19"/>
  <c r="E15" i="19"/>
  <c r="F15" i="19"/>
  <c r="E16" i="19"/>
  <c r="F16" i="19"/>
  <c r="E17" i="19"/>
  <c r="F17" i="19"/>
  <c r="E18" i="19"/>
  <c r="F18" i="19"/>
  <c r="E19" i="19"/>
  <c r="F19" i="19"/>
  <c r="E11" i="19"/>
  <c r="F11" i="19"/>
  <c r="E74" i="15"/>
  <c r="E73" i="15"/>
  <c r="F73" i="15" s="1"/>
  <c r="F75" i="15" s="1"/>
  <c r="E62" i="15"/>
  <c r="F62" i="15"/>
  <c r="E55" i="15"/>
  <c r="F55" i="15"/>
  <c r="E56" i="15"/>
  <c r="F56" i="15"/>
  <c r="E57" i="15"/>
  <c r="F57" i="15"/>
  <c r="E31" i="15"/>
  <c r="F31" i="15"/>
  <c r="E24" i="15"/>
  <c r="E25" i="15" s="1"/>
  <c r="F24" i="15"/>
  <c r="F25" i="15" s="1"/>
  <c r="F20" i="19" s="1"/>
  <c r="E18" i="15"/>
  <c r="F18" i="15"/>
  <c r="E19" i="15"/>
  <c r="E17" i="15"/>
  <c r="F16" i="18"/>
  <c r="C13" i="18"/>
  <c r="E13" i="18" s="1"/>
  <c r="F13" i="18" s="1"/>
  <c r="G13" i="18" s="1"/>
  <c r="D56" i="15"/>
  <c r="G56" i="15"/>
  <c r="A6" i="18"/>
  <c r="H7" i="18"/>
  <c r="G12" i="18" s="1"/>
  <c r="F29" i="18"/>
  <c r="A5" i="17"/>
  <c r="G7" i="17"/>
  <c r="F27" i="17"/>
  <c r="A6" i="16"/>
  <c r="G7" i="16"/>
  <c r="F23" i="16"/>
  <c r="F59" i="16"/>
  <c r="A6" i="19"/>
  <c r="G7" i="19"/>
  <c r="G12" i="19" s="1"/>
  <c r="E23" i="19"/>
  <c r="D17" i="15"/>
  <c r="G17" i="15" s="1"/>
  <c r="D18" i="15"/>
  <c r="G18" i="15" s="1"/>
  <c r="D19" i="15"/>
  <c r="G19" i="15" s="1"/>
  <c r="D24" i="15"/>
  <c r="G24" i="15" s="1"/>
  <c r="G25" i="15" s="1"/>
  <c r="G20" i="19" s="1"/>
  <c r="C25" i="15"/>
  <c r="C20" i="19" s="1"/>
  <c r="D31" i="15"/>
  <c r="G31" i="15" s="1"/>
  <c r="D55" i="15"/>
  <c r="G55" i="15" s="1"/>
  <c r="D57" i="15"/>
  <c r="G57" i="15" s="1"/>
  <c r="I57" i="15"/>
  <c r="J57" i="15" s="1"/>
  <c r="D73" i="15"/>
  <c r="D75" i="15" s="1"/>
  <c r="D74" i="15"/>
  <c r="G74" i="15" s="1"/>
  <c r="C75" i="15"/>
  <c r="D79" i="15"/>
  <c r="G79" i="15" s="1"/>
  <c r="E79" i="15"/>
  <c r="F79" i="15"/>
  <c r="D81" i="15"/>
  <c r="G81" i="15" s="1"/>
  <c r="E81" i="15"/>
  <c r="F81" i="15"/>
  <c r="I83" i="15"/>
  <c r="J83" i="15"/>
  <c r="D62" i="15"/>
  <c r="G62" i="15" s="1"/>
  <c r="E11" i="16"/>
  <c r="F11" i="16"/>
  <c r="E49" i="16"/>
  <c r="F49" i="16"/>
  <c r="E63" i="15"/>
  <c r="D41" i="15"/>
  <c r="G41" i="15" s="1"/>
  <c r="E41" i="15"/>
  <c r="F41" i="15" s="1"/>
  <c r="E20" i="19"/>
  <c r="D70" i="15"/>
  <c r="D24" i="18" s="1"/>
  <c r="D25" i="18" s="1"/>
  <c r="E70" i="15"/>
  <c r="E24" i="18" s="1"/>
  <c r="E25" i="18" s="1"/>
  <c r="F17" i="15"/>
  <c r="E43" i="16"/>
  <c r="F43" i="16"/>
  <c r="G43" i="16"/>
  <c r="D39" i="15"/>
  <c r="G39" i="15" s="1"/>
  <c r="F33" i="15"/>
  <c r="D69" i="15"/>
  <c r="G69" i="15" s="1"/>
  <c r="E69" i="15"/>
  <c r="F69" i="15"/>
  <c r="C29" i="16"/>
  <c r="D32" i="15"/>
  <c r="G32" i="15" s="1"/>
  <c r="E39" i="15"/>
  <c r="F39" i="15" s="1"/>
  <c r="C24" i="25"/>
  <c r="E21" i="25"/>
  <c r="F21" i="25"/>
  <c r="E27" i="24"/>
  <c r="F27" i="24"/>
  <c r="G27" i="24"/>
  <c r="F74" i="15"/>
  <c r="C15" i="16"/>
  <c r="F35" i="16"/>
  <c r="F14" i="21"/>
  <c r="G14" i="21"/>
  <c r="E16" i="25"/>
  <c r="F16" i="25"/>
  <c r="G16" i="25"/>
  <c r="E15" i="24"/>
  <c r="F15" i="24"/>
  <c r="G15" i="24"/>
  <c r="C3" i="25"/>
  <c r="C3" i="24"/>
  <c r="C3" i="17"/>
  <c r="C3" i="18" s="1"/>
  <c r="F36" i="15"/>
  <c r="E11" i="21"/>
  <c r="D14" i="19"/>
  <c r="D38" i="21"/>
  <c r="D25" i="21"/>
  <c r="D29" i="21"/>
  <c r="E28" i="16"/>
  <c r="F28" i="16"/>
  <c r="F29" i="16"/>
  <c r="E29" i="16"/>
  <c r="C38" i="16"/>
  <c r="E38" i="16"/>
  <c r="F38" i="16" s="1"/>
  <c r="G13" i="21"/>
  <c r="E14" i="24"/>
  <c r="F14" i="24"/>
  <c r="G14" i="24"/>
  <c r="E42" i="16"/>
  <c r="F42" i="16"/>
  <c r="E61" i="15"/>
  <c r="F61" i="15" s="1"/>
  <c r="D61" i="15"/>
  <c r="G61" i="15" s="1"/>
  <c r="C60" i="15"/>
  <c r="D60" i="15" s="1"/>
  <c r="G60" i="15" s="1"/>
  <c r="C12" i="18"/>
  <c r="C14" i="18" s="1"/>
  <c r="E18" i="24"/>
  <c r="F18" i="24"/>
  <c r="G18" i="24"/>
  <c r="E22" i="24"/>
  <c r="F22" i="24"/>
  <c r="G22" i="24"/>
  <c r="E15" i="25"/>
  <c r="D14" i="24"/>
  <c r="C14" i="17"/>
  <c r="E14" i="17"/>
  <c r="D13" i="19"/>
  <c r="D15" i="19"/>
  <c r="D12" i="19"/>
  <c r="J20" i="17"/>
  <c r="C30" i="24"/>
  <c r="G37" i="15"/>
  <c r="C12" i="25"/>
  <c r="C17" i="25"/>
  <c r="C25" i="25"/>
  <c r="C20" i="17"/>
  <c r="C15" i="17"/>
  <c r="J14" i="17"/>
  <c r="J15" i="17"/>
  <c r="E22" i="18"/>
  <c r="E23" i="18" s="1"/>
  <c r="E21" i="17"/>
  <c r="D18" i="24"/>
  <c r="F32" i="15"/>
  <c r="C20" i="23"/>
  <c r="C21" i="23" s="1"/>
  <c r="C9" i="23"/>
  <c r="C11" i="23"/>
  <c r="E11" i="23" s="1"/>
  <c r="I19" i="23" s="1"/>
  <c r="C19" i="23"/>
  <c r="E20" i="24"/>
  <c r="F20" i="24"/>
  <c r="G20" i="24"/>
  <c r="C19" i="24"/>
  <c r="E19" i="24"/>
  <c r="E20" i="17"/>
  <c r="F70" i="15"/>
  <c r="F24" i="18" s="1"/>
  <c r="F25" i="18" s="1"/>
  <c r="D11" i="19"/>
  <c r="D27" i="21"/>
  <c r="D18" i="19"/>
  <c r="G13" i="19"/>
  <c r="D13" i="24"/>
  <c r="G13" i="24"/>
  <c r="D29" i="24"/>
  <c r="D27" i="24"/>
  <c r="D20" i="24"/>
  <c r="D15" i="24"/>
  <c r="D28" i="24"/>
  <c r="G28" i="24"/>
  <c r="D17" i="24"/>
  <c r="D19" i="24"/>
  <c r="D19" i="19"/>
  <c r="D22" i="24"/>
  <c r="D17" i="19"/>
  <c r="D23" i="25"/>
  <c r="G18" i="25"/>
  <c r="G19" i="25" s="1"/>
  <c r="D46" i="15"/>
  <c r="G29" i="24"/>
  <c r="G21" i="25"/>
  <c r="G24" i="25" s="1"/>
  <c r="D22" i="25"/>
  <c r="D22" i="21"/>
  <c r="D21" i="25"/>
  <c r="G22" i="25"/>
  <c r="D20" i="25"/>
  <c r="D24" i="25" s="1"/>
  <c r="D15" i="25"/>
  <c r="G20" i="25"/>
  <c r="D14" i="25"/>
  <c r="D18" i="25"/>
  <c r="D19" i="25" s="1"/>
  <c r="D13" i="25"/>
  <c r="G25" i="21"/>
  <c r="D16" i="25"/>
  <c r="G17" i="19"/>
  <c r="D28" i="16"/>
  <c r="D29" i="16" s="1"/>
  <c r="D13" i="16"/>
  <c r="G29" i="21"/>
  <c r="D17" i="16"/>
  <c r="D20" i="16"/>
  <c r="G20" i="16" s="1"/>
  <c r="D42" i="16"/>
  <c r="D35" i="16"/>
  <c r="G35" i="16" s="1"/>
  <c r="D49" i="16"/>
  <c r="G49" i="16" s="1"/>
  <c r="G18" i="19"/>
  <c r="D16" i="19"/>
  <c r="J18" i="17"/>
  <c r="C18" i="17"/>
  <c r="C19" i="17"/>
  <c r="C53" i="15"/>
  <c r="D24" i="24"/>
  <c r="F14" i="17"/>
  <c r="E15" i="17"/>
  <c r="F15" i="17"/>
  <c r="F15" i="25"/>
  <c r="G15" i="25"/>
  <c r="F21" i="24"/>
  <c r="G21" i="24"/>
  <c r="J16" i="17"/>
  <c r="D16" i="24"/>
  <c r="C16" i="17"/>
  <c r="E16" i="24"/>
  <c r="E12" i="24"/>
  <c r="E23" i="24"/>
  <c r="C12" i="24"/>
  <c r="C23" i="24"/>
  <c r="F12" i="25"/>
  <c r="F17" i="25"/>
  <c r="C12" i="17"/>
  <c r="C52" i="15"/>
  <c r="F16" i="24"/>
  <c r="G16" i="24"/>
  <c r="D14" i="17"/>
  <c r="E24" i="25"/>
  <c r="F23" i="25"/>
  <c r="D36" i="16"/>
  <c r="L67" i="15"/>
  <c r="C67" i="15" s="1"/>
  <c r="G36" i="16"/>
  <c r="E39" i="21"/>
  <c r="F11" i="21"/>
  <c r="G15" i="21"/>
  <c r="F20" i="18"/>
  <c r="F12" i="24"/>
  <c r="F23" i="24"/>
  <c r="E37" i="15"/>
  <c r="E24" i="17"/>
  <c r="C24" i="17"/>
  <c r="C54" i="15"/>
  <c r="F22" i="18"/>
  <c r="F23" i="18" s="1"/>
  <c r="C2" i="24"/>
  <c r="E12" i="18"/>
  <c r="E14" i="18" s="1"/>
  <c r="F17" i="16"/>
  <c r="D44" i="16"/>
  <c r="E16" i="17"/>
  <c r="F16" i="17"/>
  <c r="G16" i="17"/>
  <c r="C17" i="17"/>
  <c r="C25" i="17"/>
  <c r="F20" i="17"/>
  <c r="E18" i="21"/>
  <c r="E12" i="25"/>
  <c r="E17" i="25"/>
  <c r="G26" i="24"/>
  <c r="F18" i="21"/>
  <c r="C2" i="17"/>
  <c r="C2" i="18" s="1"/>
  <c r="F34" i="21"/>
  <c r="E33" i="21"/>
  <c r="F12" i="18"/>
  <c r="E54" i="15"/>
  <c r="F19" i="24"/>
  <c r="G19" i="24"/>
  <c r="F21" i="17"/>
  <c r="C36" i="16"/>
  <c r="C25" i="24"/>
  <c r="C31" i="24"/>
  <c r="E24" i="24"/>
  <c r="D26" i="24"/>
  <c r="D30" i="24" s="1"/>
  <c r="D20" i="17"/>
  <c r="D54" i="15" s="1"/>
  <c r="F33" i="21"/>
  <c r="E25" i="25"/>
  <c r="F12" i="17"/>
  <c r="I26" i="17"/>
  <c r="F24" i="25"/>
  <c r="F25" i="25"/>
  <c r="G23" i="25"/>
  <c r="E25" i="24"/>
  <c r="E31" i="24"/>
  <c r="E18" i="17"/>
  <c r="F24" i="24"/>
  <c r="F24" i="17"/>
  <c r="F54" i="15"/>
  <c r="E12" i="17"/>
  <c r="F39" i="21"/>
  <c r="E19" i="17"/>
  <c r="E53" i="15"/>
  <c r="K26" i="17"/>
  <c r="E17" i="17"/>
  <c r="E52" i="15"/>
  <c r="F17" i="17"/>
  <c r="F52" i="15"/>
  <c r="F18" i="17"/>
  <c r="F25" i="24"/>
  <c r="F31" i="24"/>
  <c r="L26" i="17"/>
  <c r="G24" i="24"/>
  <c r="G25" i="24"/>
  <c r="F53" i="15"/>
  <c r="F19" i="17"/>
  <c r="F25" i="17"/>
  <c r="E58" i="15"/>
  <c r="E25" i="17"/>
  <c r="G45" i="16"/>
  <c r="D25" i="24"/>
  <c r="D18" i="17"/>
  <c r="G11" i="19"/>
  <c r="G16" i="19"/>
  <c r="G14" i="19"/>
  <c r="G27" i="21"/>
  <c r="G36" i="21"/>
  <c r="G19" i="19"/>
  <c r="G15" i="19"/>
  <c r="G16" i="21"/>
  <c r="G23" i="21"/>
  <c r="G13" i="25"/>
  <c r="D19" i="17"/>
  <c r="D53" i="15"/>
  <c r="I33" i="15" l="1"/>
  <c r="J32" i="15"/>
  <c r="G21" i="15"/>
  <c r="G14" i="18"/>
  <c r="E26" i="18"/>
  <c r="G26" i="21"/>
  <c r="G38" i="21"/>
  <c r="G30" i="21"/>
  <c r="F14" i="18"/>
  <c r="G70" i="15"/>
  <c r="G24" i="18" s="1"/>
  <c r="G25" i="18" s="1"/>
  <c r="D12" i="18"/>
  <c r="D34" i="21"/>
  <c r="D33" i="21" s="1"/>
  <c r="D13" i="21"/>
  <c r="D15" i="21"/>
  <c r="G19" i="21"/>
  <c r="D20" i="21"/>
  <c r="E27" i="15"/>
  <c r="G12" i="24"/>
  <c r="G23" i="24" s="1"/>
  <c r="D21" i="21"/>
  <c r="D12" i="21"/>
  <c r="D16" i="21"/>
  <c r="G35" i="21"/>
  <c r="E75" i="15"/>
  <c r="E71" i="15"/>
  <c r="G12" i="21"/>
  <c r="G28" i="21"/>
  <c r="G22" i="21"/>
  <c r="G32" i="21"/>
  <c r="F58" i="15"/>
  <c r="G34" i="21"/>
  <c r="G33" i="21" s="1"/>
  <c r="E60" i="15"/>
  <c r="D25" i="15"/>
  <c r="D20" i="19" s="1"/>
  <c r="D31" i="21"/>
  <c r="D37" i="21"/>
  <c r="D19" i="21"/>
  <c r="D28" i="21"/>
  <c r="G73" i="15"/>
  <c r="G21" i="21"/>
  <c r="F25" i="16"/>
  <c r="F26" i="16" s="1"/>
  <c r="G31" i="21"/>
  <c r="G24" i="21"/>
  <c r="G17" i="21"/>
  <c r="E77" i="15"/>
  <c r="F60" i="15"/>
  <c r="G20" i="21"/>
  <c r="D35" i="21"/>
  <c r="D30" i="21"/>
  <c r="D23" i="21"/>
  <c r="D14" i="21"/>
  <c r="D32" i="21"/>
  <c r="D26" i="21"/>
  <c r="D17" i="21"/>
  <c r="D24" i="21"/>
  <c r="D36" i="21"/>
  <c r="F27" i="15"/>
  <c r="C26" i="16"/>
  <c r="E25" i="16"/>
  <c r="E26" i="16" s="1"/>
  <c r="G31" i="16"/>
  <c r="G32" i="16" s="1"/>
  <c r="D32" i="16"/>
  <c r="C52" i="16"/>
  <c r="D53" i="16"/>
  <c r="E53" i="16"/>
  <c r="D12" i="16"/>
  <c r="E12" i="16"/>
  <c r="E15" i="16" s="1"/>
  <c r="G23" i="17"/>
  <c r="G15" i="17"/>
  <c r="G14" i="17"/>
  <c r="D22" i="17"/>
  <c r="G22" i="17"/>
  <c r="G21" i="17"/>
  <c r="D13" i="17"/>
  <c r="G13" i="17"/>
  <c r="G12" i="17" s="1"/>
  <c r="D15" i="17"/>
  <c r="D16" i="17"/>
  <c r="D23" i="17"/>
  <c r="D21" i="17"/>
  <c r="D24" i="17" s="1"/>
  <c r="G18" i="17"/>
  <c r="G27" i="15"/>
  <c r="E14" i="16"/>
  <c r="F14" i="16" s="1"/>
  <c r="G14" i="16" s="1"/>
  <c r="D14" i="16"/>
  <c r="G12" i="25"/>
  <c r="G17" i="25" s="1"/>
  <c r="G25" i="25" s="1"/>
  <c r="C77" i="15"/>
  <c r="L65" i="15"/>
  <c r="O55" i="15"/>
  <c r="L64" i="15"/>
  <c r="C65" i="15" s="1"/>
  <c r="C58" i="15"/>
  <c r="L63" i="15"/>
  <c r="C66" i="15" s="1"/>
  <c r="G17" i="16"/>
  <c r="D12" i="24"/>
  <c r="D23" i="24" s="1"/>
  <c r="D31" i="24" s="1"/>
  <c r="F37" i="15"/>
  <c r="F36" i="16" s="1"/>
  <c r="E36" i="16"/>
  <c r="C1" i="25"/>
  <c r="C1" i="24"/>
  <c r="C1" i="17"/>
  <c r="C1" i="18" s="1"/>
  <c r="C32" i="16"/>
  <c r="E31" i="16"/>
  <c r="E32" i="16" s="1"/>
  <c r="F31" i="16"/>
  <c r="F32" i="16" s="1"/>
  <c r="C39" i="16"/>
  <c r="E40" i="15"/>
  <c r="F40" i="15" s="1"/>
  <c r="D40" i="15"/>
  <c r="G40" i="15" s="1"/>
  <c r="C34" i="15"/>
  <c r="D67" i="15"/>
  <c r="G67" i="15" s="1"/>
  <c r="C19" i="18"/>
  <c r="F67" i="15"/>
  <c r="G35" i="15"/>
  <c r="D34" i="15"/>
  <c r="G22" i="18"/>
  <c r="G23" i="18" s="1"/>
  <c r="D12" i="25"/>
  <c r="D17" i="25" s="1"/>
  <c r="D25" i="25" s="1"/>
  <c r="E9" i="23"/>
  <c r="F10" i="23"/>
  <c r="G20" i="17"/>
  <c r="G30" i="24"/>
  <c r="G31" i="24" s="1"/>
  <c r="G75" i="15"/>
  <c r="D21" i="15"/>
  <c r="D22" i="16"/>
  <c r="G22" i="16" s="1"/>
  <c r="D54" i="16"/>
  <c r="G54" i="16" s="1"/>
  <c r="D11" i="16"/>
  <c r="G11" i="16"/>
  <c r="D37" i="16"/>
  <c r="G37" i="16" s="1"/>
  <c r="G42" i="16"/>
  <c r="D25" i="16"/>
  <c r="G25" i="16" s="1"/>
  <c r="D19" i="16"/>
  <c r="G19" i="16" s="1"/>
  <c r="D18" i="16"/>
  <c r="G18" i="16" s="1"/>
  <c r="D24" i="16"/>
  <c r="G24" i="16" s="1"/>
  <c r="D21" i="16"/>
  <c r="G21" i="16" s="1"/>
  <c r="D27" i="15"/>
  <c r="J33" i="15"/>
  <c r="I34" i="15"/>
  <c r="J34" i="15" s="1"/>
  <c r="F47" i="15"/>
  <c r="F46" i="15" s="1"/>
  <c r="E46" i="15"/>
  <c r="E34" i="15"/>
  <c r="C40" i="16"/>
  <c r="I41" i="15"/>
  <c r="J41" i="15" s="1"/>
  <c r="D34" i="16"/>
  <c r="D18" i="21"/>
  <c r="F19" i="15"/>
  <c r="F77" i="15" s="1"/>
  <c r="E21" i="15"/>
  <c r="E13" i="16"/>
  <c r="F13" i="16"/>
  <c r="G13" i="16" s="1"/>
  <c r="E44" i="16"/>
  <c r="E46" i="16" s="1"/>
  <c r="C46" i="16"/>
  <c r="G28" i="16"/>
  <c r="G29" i="16" s="1"/>
  <c r="D38" i="16"/>
  <c r="G38" i="16" s="1"/>
  <c r="D43" i="16"/>
  <c r="D23" i="16"/>
  <c r="G23" i="16" s="1"/>
  <c r="D45" i="16"/>
  <c r="G16" i="18"/>
  <c r="D22" i="18"/>
  <c r="D23" i="18" s="1"/>
  <c r="D20" i="18"/>
  <c r="G20" i="18" s="1"/>
  <c r="D16" i="18"/>
  <c r="D13" i="18"/>
  <c r="D14" i="18" s="1"/>
  <c r="G46" i="15"/>
  <c r="D11" i="21" l="1"/>
  <c r="D39" i="21" s="1"/>
  <c r="G18" i="21"/>
  <c r="J26" i="17"/>
  <c r="D46" i="16"/>
  <c r="G11" i="21"/>
  <c r="G54" i="15"/>
  <c r="G24" i="17"/>
  <c r="F66" i="15"/>
  <c r="C18" i="18"/>
  <c r="D66" i="15"/>
  <c r="G66" i="15" s="1"/>
  <c r="G53" i="15"/>
  <c r="G19" i="17"/>
  <c r="D52" i="16"/>
  <c r="G53" i="16"/>
  <c r="G52" i="16" s="1"/>
  <c r="G34" i="16"/>
  <c r="G40" i="16" s="1"/>
  <c r="G34" i="15"/>
  <c r="F19" i="18"/>
  <c r="G19" i="18" s="1"/>
  <c r="D19" i="18"/>
  <c r="F34" i="15"/>
  <c r="D26" i="16"/>
  <c r="O41" i="15"/>
  <c r="C43" i="15" s="1"/>
  <c r="O43" i="15"/>
  <c r="L54" i="15"/>
  <c r="L61" i="15"/>
  <c r="J77" i="15"/>
  <c r="C82" i="15"/>
  <c r="K49" i="15"/>
  <c r="C49" i="15" s="1"/>
  <c r="C83" i="15"/>
  <c r="G17" i="17"/>
  <c r="G52" i="15"/>
  <c r="F44" i="16"/>
  <c r="D15" i="16"/>
  <c r="G26" i="16"/>
  <c r="D65" i="15"/>
  <c r="C63" i="15"/>
  <c r="C71" i="15" s="1"/>
  <c r="F65" i="15"/>
  <c r="F63" i="15" s="1"/>
  <c r="F71" i="15" s="1"/>
  <c r="C17" i="18"/>
  <c r="D12" i="17"/>
  <c r="F21" i="15"/>
  <c r="F12" i="16"/>
  <c r="E39" i="16"/>
  <c r="E40" i="16" s="1"/>
  <c r="F39" i="16"/>
  <c r="F40" i="16" s="1"/>
  <c r="D39" i="16"/>
  <c r="G39" i="16" s="1"/>
  <c r="E52" i="16"/>
  <c r="F53" i="16"/>
  <c r="F52" i="16" s="1"/>
  <c r="G25" i="17" l="1"/>
  <c r="G39" i="21"/>
  <c r="D40" i="16"/>
  <c r="D63" i="15"/>
  <c r="D71" i="15" s="1"/>
  <c r="G65" i="15"/>
  <c r="G63" i="15" s="1"/>
  <c r="G71" i="15" s="1"/>
  <c r="G58" i="15"/>
  <c r="G77" i="15"/>
  <c r="D18" i="18"/>
  <c r="F18" i="18"/>
  <c r="G18" i="18" s="1"/>
  <c r="G12" i="16"/>
  <c r="G15" i="16" s="1"/>
  <c r="F15" i="16"/>
  <c r="G44" i="16"/>
  <c r="G46" i="16" s="1"/>
  <c r="F46" i="16"/>
  <c r="J76" i="15"/>
  <c r="J81" i="15" s="1"/>
  <c r="J75" i="15"/>
  <c r="J80" i="15" s="1"/>
  <c r="J82" i="15"/>
  <c r="C42" i="15"/>
  <c r="C48" i="16"/>
  <c r="E43" i="15"/>
  <c r="E42" i="15" s="1"/>
  <c r="E50" i="15" s="1"/>
  <c r="E76" i="15" s="1"/>
  <c r="D43" i="15"/>
  <c r="D42" i="15" s="1"/>
  <c r="D52" i="15"/>
  <c r="D17" i="17"/>
  <c r="D25" i="17" s="1"/>
  <c r="C55" i="16"/>
  <c r="D49" i="15"/>
  <c r="C45" i="15"/>
  <c r="O44" i="15" s="1"/>
  <c r="O45" i="15" s="1"/>
  <c r="E49" i="15"/>
  <c r="E45" i="15" s="1"/>
  <c r="D17" i="18"/>
  <c r="D21" i="18" s="1"/>
  <c r="D26" i="18" s="1"/>
  <c r="C21" i="18"/>
  <c r="F17" i="18"/>
  <c r="D82" i="15"/>
  <c r="G82" i="15" s="1"/>
  <c r="F82" i="15"/>
  <c r="E82" i="15"/>
  <c r="F83" i="15"/>
  <c r="E83" i="15"/>
  <c r="D83" i="15"/>
  <c r="G83" i="15" s="1"/>
  <c r="F49" i="15" l="1"/>
  <c r="F45" i="15" s="1"/>
  <c r="D58" i="15"/>
  <c r="D77" i="15"/>
  <c r="C50" i="16"/>
  <c r="C57" i="16" s="1"/>
  <c r="D48" i="16"/>
  <c r="E48" i="16"/>
  <c r="E50" i="16" s="1"/>
  <c r="F48" i="16"/>
  <c r="F50" i="16" s="1"/>
  <c r="C26" i="18"/>
  <c r="F92" i="15"/>
  <c r="D45" i="15"/>
  <c r="D50" i="15" s="1"/>
  <c r="D76" i="15" s="1"/>
  <c r="G49" i="15"/>
  <c r="G45" i="15" s="1"/>
  <c r="G43" i="15"/>
  <c r="G42" i="15" s="1"/>
  <c r="C50" i="15"/>
  <c r="C76" i="15" s="1"/>
  <c r="I77" i="15" s="1"/>
  <c r="G17" i="18"/>
  <c r="G21" i="18" s="1"/>
  <c r="G26" i="18" s="1"/>
  <c r="F21" i="18"/>
  <c r="F26" i="18" s="1"/>
  <c r="D55" i="16"/>
  <c r="E55" i="16"/>
  <c r="E56" i="16" s="1"/>
  <c r="C56" i="16"/>
  <c r="F43" i="15"/>
  <c r="F42" i="15" s="1"/>
  <c r="F50" i="15" s="1"/>
  <c r="F76" i="15" s="1"/>
  <c r="G55" i="16" l="1"/>
  <c r="G56" i="16" s="1"/>
  <c r="D56" i="16"/>
  <c r="I82" i="15"/>
  <c r="I75" i="15"/>
  <c r="I76" i="15"/>
  <c r="I81" i="15" s="1"/>
  <c r="F55" i="16"/>
  <c r="F56" i="16" s="1"/>
  <c r="F57" i="16" s="1"/>
  <c r="G48" i="16"/>
  <c r="G50" i="16" s="1"/>
  <c r="G57" i="16" s="1"/>
  <c r="D50" i="16"/>
  <c r="D57" i="16" s="1"/>
  <c r="G50" i="15"/>
  <c r="G76" i="15" s="1"/>
  <c r="F93" i="15"/>
  <c r="E57" i="16"/>
  <c r="I80" i="15" l="1"/>
  <c r="I56" i="15"/>
  <c r="J56" i="15" s="1"/>
</calcChain>
</file>

<file path=xl/sharedStrings.xml><?xml version="1.0" encoding="utf-8"?>
<sst xmlns="http://schemas.openxmlformats.org/spreadsheetml/2006/main" count="500" uniqueCount="351">
  <si>
    <t>Nr. crt.</t>
  </si>
  <si>
    <t>Denumirea capitolelor şi subcapitolelor de cheltuieli</t>
  </si>
  <si>
    <t>PARTEA I</t>
  </si>
  <si>
    <t>Obţinerea terenului</t>
  </si>
  <si>
    <t>Amenajarea terenului</t>
  </si>
  <si>
    <t>Capitolul 2</t>
  </si>
  <si>
    <t>Studii de teren</t>
  </si>
  <si>
    <t>Organizare de şantier</t>
  </si>
  <si>
    <t>Din care C+M</t>
  </si>
  <si>
    <t>PARTEA a II-a</t>
  </si>
  <si>
    <t>Valoarea rămasă actualizată a mijloacelor fixe existente incluse în cadrul obiectivului de investiţie</t>
  </si>
  <si>
    <t>PARTEA a III-a</t>
  </si>
  <si>
    <t>Fondul de rulment necesar pentru primul ciclu de producţie</t>
  </si>
  <si>
    <t>Total general</t>
  </si>
  <si>
    <t>Total cap. 2</t>
  </si>
  <si>
    <t>Total cap.3</t>
  </si>
  <si>
    <t>Capitolul 3 - Cheltuieli pentru proiectare şi asistenţă tehnică</t>
  </si>
  <si>
    <t>Capitolul 4 - Cheltuieli pentru investiţia de bază</t>
  </si>
  <si>
    <t>Total cap.4</t>
  </si>
  <si>
    <t>Capitolul 5 - Alte cheltuieli</t>
  </si>
  <si>
    <t>Total cap.5</t>
  </si>
  <si>
    <t>Total cap. 1</t>
  </si>
  <si>
    <t>Capitolul 1 - Cheltuieli pentru obţinerea şi amenajarea terenului</t>
  </si>
  <si>
    <t>Total cap. 6</t>
  </si>
  <si>
    <t>1.1</t>
  </si>
  <si>
    <t>1.2</t>
  </si>
  <si>
    <t>1.3</t>
  </si>
  <si>
    <t>3.1</t>
  </si>
  <si>
    <t>3.2</t>
  </si>
  <si>
    <t>3.3</t>
  </si>
  <si>
    <t>3.4</t>
  </si>
  <si>
    <t>3.5</t>
  </si>
  <si>
    <t>3.6</t>
  </si>
  <si>
    <t>5.1</t>
  </si>
  <si>
    <t>ron/euro</t>
  </si>
  <si>
    <t xml:space="preserve"> </t>
  </si>
  <si>
    <t>Constructii si instalatii</t>
  </si>
  <si>
    <t>Amenajării pentru protecţia mediului şi aducerea la starea iniţială</t>
  </si>
  <si>
    <t>Active necorporale</t>
  </si>
  <si>
    <t>Comisioane, cote, taxe, costul creditului</t>
  </si>
  <si>
    <t>Probe tehnologice şi teste</t>
  </si>
  <si>
    <t>TVA</t>
  </si>
  <si>
    <t>Valoare (inclusiv TVA)</t>
  </si>
  <si>
    <t>Dotări</t>
  </si>
  <si>
    <t>Cheltuieli conexe organizării şantierului</t>
  </si>
  <si>
    <t>Intocmit</t>
  </si>
  <si>
    <t xml:space="preserve">Devizul Financiar cap. 3 Cheltuieli pt. proiectare si asiatenta tehnica </t>
  </si>
  <si>
    <t>Nr. Crt</t>
  </si>
  <si>
    <t xml:space="preserve">Denumire </t>
  </si>
  <si>
    <t>Valoarea pe categorii de lucrări fără TVA</t>
  </si>
  <si>
    <t xml:space="preserve">Studii  geo, </t>
  </si>
  <si>
    <t>Total 3.1.</t>
  </si>
  <si>
    <t>3.2. Taxe pentru obtinere avize, acorduri si autorizatii</t>
  </si>
  <si>
    <t>Total 3.2.</t>
  </si>
  <si>
    <t>Total 3.3.</t>
  </si>
  <si>
    <t>Total 3.6</t>
  </si>
  <si>
    <t xml:space="preserve">Total cap.3 </t>
  </si>
  <si>
    <t>Nr.crt.</t>
  </si>
  <si>
    <t>Denumirea capitolelor si subcapitolelor de cheltuieli</t>
  </si>
  <si>
    <t>Valoare                               (fara TVA)</t>
  </si>
  <si>
    <t>Valoare                               (inclusiv TVA)</t>
  </si>
  <si>
    <t>Total (Total I + Total II + Total III)</t>
  </si>
  <si>
    <t>Cap. 5. Alte cheltuieli</t>
  </si>
  <si>
    <t xml:space="preserve">5.1. Organizare de santier  </t>
  </si>
  <si>
    <t>5.1.1 Lucrari de constructii si instalatii aferente organizarii de santier</t>
  </si>
  <si>
    <t xml:space="preserve"> 5.1.2. Cheltuieli conexe organizarii  de santier</t>
  </si>
  <si>
    <t>5.2. Comisioane, cote, taxe, costul creditului</t>
  </si>
  <si>
    <t>Total 5.2.</t>
  </si>
  <si>
    <t>5.3. Diverse si neprevazute</t>
  </si>
  <si>
    <t xml:space="preserve">Total 5.3. </t>
  </si>
  <si>
    <t>Devizul Financiar cap. 2 Cheltuieli pt. asigurarea utilitatilor necesare obiectivului</t>
  </si>
  <si>
    <t>2.1. Utilitati</t>
  </si>
  <si>
    <t>Alimentare cu apa</t>
  </si>
  <si>
    <t>Canalizare</t>
  </si>
  <si>
    <t>Alimentare cu gaze naturale</t>
  </si>
  <si>
    <t>Telecomunicatii</t>
  </si>
  <si>
    <t>Drumuri de acces</t>
  </si>
  <si>
    <t>Cai ferate industriale</t>
  </si>
  <si>
    <t>Total 2.1.</t>
  </si>
  <si>
    <t>TOTAL GENERAL</t>
  </si>
  <si>
    <t>Obtinerea/prelungirea valabilitatii certificatului de urbanism</t>
  </si>
  <si>
    <t>obtinerea/prelungirea valabilitatii autorizatiei de construire/desfiintare</t>
  </si>
  <si>
    <t>obtinerea certificatului de nomenclatura stradala si adresa</t>
  </si>
  <si>
    <t>intocmirea documentatiei , obtinerea numarului cadastral provizoriu si inregistrarea terenului in cartea funciara</t>
  </si>
  <si>
    <t>Studiu de prefezabilitate</t>
  </si>
  <si>
    <t>Studii Topo</t>
  </si>
  <si>
    <t>intocmit</t>
  </si>
  <si>
    <t>ALIMENTARE APA, CANALIZARE, ENERGIE ELECTRICA, ETC</t>
  </si>
  <si>
    <t xml:space="preserve"> DEVIZ GENERAL  </t>
  </si>
  <si>
    <t>Proiectant</t>
  </si>
  <si>
    <t>Adresa</t>
  </si>
  <si>
    <t>CUI</t>
  </si>
  <si>
    <t>conform HG 907 din 29 nov 2016</t>
  </si>
  <si>
    <t>LEI</t>
  </si>
  <si>
    <t>EURO</t>
  </si>
  <si>
    <t>1.4</t>
  </si>
  <si>
    <t>Cheltuieli pentru relocarea/protectia utilitatilor</t>
  </si>
  <si>
    <t>Capitolul 2 - Cheltuieli pentru asigurarea utilităţilor necesare obiectivului de investitii</t>
  </si>
  <si>
    <t xml:space="preserve">Studii </t>
  </si>
  <si>
    <t>Raport privind impactul asupra mediului</t>
  </si>
  <si>
    <t>Alte studii specifice</t>
  </si>
  <si>
    <t>Documentatii -suport si cheltuieli pentru obtinerea de avize, acorduri si autorizatii</t>
  </si>
  <si>
    <t>Expertizare tehnica</t>
  </si>
  <si>
    <t>Certificarea performantei energetice si auditul energetic al cladirilor</t>
  </si>
  <si>
    <t>Proiectare</t>
  </si>
  <si>
    <t>3,5,1</t>
  </si>
  <si>
    <t>3,5,2</t>
  </si>
  <si>
    <t>3,5,3</t>
  </si>
  <si>
    <t>3,5,4</t>
  </si>
  <si>
    <t>3,5,5</t>
  </si>
  <si>
    <t>3,5,6</t>
  </si>
  <si>
    <t>Tema de proiectare</t>
  </si>
  <si>
    <t>Verificarea tehnica de calitate a proiectului tehnic si a detaliilor de executie</t>
  </si>
  <si>
    <t>Proiect tehnic si detalii de executie</t>
  </si>
  <si>
    <t>Organizarea procedurilor de achizitie</t>
  </si>
  <si>
    <t>Consultanta</t>
  </si>
  <si>
    <t>3,7,1</t>
  </si>
  <si>
    <t>3,7,2</t>
  </si>
  <si>
    <t>Managementul de proiect pentru obiectivul de investitii</t>
  </si>
  <si>
    <t>Auditul financiar</t>
  </si>
  <si>
    <t>Asistenta tehnica</t>
  </si>
  <si>
    <t>3,8,1</t>
  </si>
  <si>
    <t>3,8,2</t>
  </si>
  <si>
    <t>Asistenta tehnica din partea proiectantului</t>
  </si>
  <si>
    <t>pe perioada de executie a lucrarilor</t>
  </si>
  <si>
    <t>pentru participarea proiectantului la fazele incluse in programul de control al lucrarilor de executie, avizat de catre Inspectoratul de Stat in Constructii</t>
  </si>
  <si>
    <t>Dirigintie de santier</t>
  </si>
  <si>
    <t>Montaj utilaje, echipamente tehnologice si functionale</t>
  </si>
  <si>
    <t>Utilaje, echipamente tehnologice şi funcţionale care necesita montaj</t>
  </si>
  <si>
    <t>Utilaje, echipamente tehnologice si functionale care nu necestita montaj si echipamente de transport</t>
  </si>
  <si>
    <t>Lucrării de construcţii si instalatii aferente organizarii de santier</t>
  </si>
  <si>
    <t>5,2,1</t>
  </si>
  <si>
    <t>5,2,2</t>
  </si>
  <si>
    <t>5,2,3</t>
  </si>
  <si>
    <t>5,2,4</t>
  </si>
  <si>
    <t>5,2,5</t>
  </si>
  <si>
    <t xml:space="preserve">Comisioanele şi dobânzile aferente creditului băncii finanţatoare            </t>
  </si>
  <si>
    <t xml:space="preserve">Cota aferentă ISC pentru controlul calităţii lucrărilor de construcţii       </t>
  </si>
  <si>
    <t xml:space="preserve">Cota aferentă ISC pentru controlul statului în amenajarea teritoriului,  urbanism şi pentru autorizarea lucrărilor de construcţii                                </t>
  </si>
  <si>
    <t xml:space="preserve">Cota aferentă Casei Sociale a      Constructorilor - CSC                     </t>
  </si>
  <si>
    <t xml:space="preserve">Taxe pentru acorduri, avize   conforme şi autorizaţia de construire/ desfiinţare   </t>
  </si>
  <si>
    <t>Cheltuieli pentru informare şi publicitate</t>
  </si>
  <si>
    <t>Capitolul 6 - Cheltuieli pentru probe tehnologice şi teste</t>
  </si>
  <si>
    <t xml:space="preserve">Din care C+M (1.2 + 1.3 +1.4 + 2 + 4.1 + 4.2 + 5.1.1) </t>
  </si>
  <si>
    <t>Beneficiar/Investitor</t>
  </si>
  <si>
    <t>lei</t>
  </si>
  <si>
    <t>euro</t>
  </si>
  <si>
    <t xml:space="preserve"> lei</t>
  </si>
  <si>
    <t xml:space="preserve"> euro</t>
  </si>
  <si>
    <t xml:space="preserve"> euro </t>
  </si>
  <si>
    <t>Devizul Financiar cap. 1 Cheltuieli pt.obtinerea si amenajarea terenului</t>
  </si>
  <si>
    <t>Obtinerea terenului</t>
  </si>
  <si>
    <t>cumpararea de terenuri</t>
  </si>
  <si>
    <t>plata concesiunii 9redeventei) pe durata realizarii lucrarilor</t>
  </si>
  <si>
    <t>exproprieri si despagubiri</t>
  </si>
  <si>
    <t>schimbarea regimului juridic al terenului</t>
  </si>
  <si>
    <t>scoaterea temporara sau definitiva din circuitul agricol</t>
  </si>
  <si>
    <t>cheltuieli de aceeasi natura, prevazute de lege</t>
  </si>
  <si>
    <t>a</t>
  </si>
  <si>
    <t>b</t>
  </si>
  <si>
    <t>e</t>
  </si>
  <si>
    <t>c</t>
  </si>
  <si>
    <t>d</t>
  </si>
  <si>
    <t>f</t>
  </si>
  <si>
    <t>demolari</t>
  </si>
  <si>
    <t>demontari</t>
  </si>
  <si>
    <t>dezafectari</t>
  </si>
  <si>
    <t>defrisari</t>
  </si>
  <si>
    <t>colectare, sortare si transport la depozitele autorizate al deseurilor rezultate</t>
  </si>
  <si>
    <t>sistematizare pe vericala</t>
  </si>
  <si>
    <t>accesuri/drumuri/alei/parcari / drenuri/ rigole/ canale de scurgere, ziduri de sprijin</t>
  </si>
  <si>
    <t>drenaje</t>
  </si>
  <si>
    <t>epuizmente (exclusiv cele aferente realizarii lucrarilor pentru investitia de baza)</t>
  </si>
  <si>
    <t>devieri cursuri de apa</t>
  </si>
  <si>
    <t>stramutari de localitati</t>
  </si>
  <si>
    <t>stramutari de monumente istorice</t>
  </si>
  <si>
    <t>descarcari de sarcina arheologica sau dupa caz protejare in timpul executiei obiectivului de investitii (in cazul executarii unor lucrari pe amplasamente ce fac parte din lista monumentelor istorice sau din repertoriul arheologic national)</t>
  </si>
  <si>
    <t>lucrari pentru pregatirea amplasamentului</t>
  </si>
  <si>
    <t>g</t>
  </si>
  <si>
    <t>h</t>
  </si>
  <si>
    <t>i</t>
  </si>
  <si>
    <t>j</t>
  </si>
  <si>
    <t>k</t>
  </si>
  <si>
    <t>l</t>
  </si>
  <si>
    <t>m</t>
  </si>
  <si>
    <t>n</t>
  </si>
  <si>
    <t>Amenajări pentru protecţia mediului şi aducerea terenului la starea iniţială</t>
  </si>
  <si>
    <t>plantare de copaci</t>
  </si>
  <si>
    <t>reamenajare spaţii verzi</t>
  </si>
  <si>
    <t>reintroducerea în circuitul agricol a suprafeţelor scoase temporar din uz</t>
  </si>
  <si>
    <t>lucrări/acţiuni pentru protecţia mediului</t>
  </si>
  <si>
    <t>Cheltuieli pentru relocarea/protecţia utilităţilor (devieri reţele de utilităţi din amplasament)</t>
  </si>
  <si>
    <t xml:space="preserve"> agent termic</t>
  </si>
  <si>
    <t xml:space="preserve"> energie electrica</t>
  </si>
  <si>
    <t>Alte utilitati</t>
  </si>
  <si>
    <t xml:space="preserve">3.1. Studii </t>
  </si>
  <si>
    <t>obţinerea avizelor şi acordurilor pentru racorduri şi branşamente la reţele publice de alimentare cu apă, canalizare, alimentare cu gaze, alimentare cu agent termic, energie electrică, telefonie;</t>
  </si>
  <si>
    <t>obţinerea actului administrativ al autorităţii competente pentru protecţia mediului</t>
  </si>
  <si>
    <t>obţinerea avizului de protecţie civilă</t>
  </si>
  <si>
    <t>avizul de specialitate în cazul obiectivelor de patrimoniu</t>
  </si>
  <si>
    <t>alte avize, acorduri şi autorizaţii</t>
  </si>
  <si>
    <t>3,3 Expertizare tehnică a construcţiilor existente, a structurilor şi/sau, după caz, a proiectelor tehnice, inclusiv întocmirea de către expertul tehnic a raportului de expertiză tehnică, în conformitate cu prevederile art. 14 alin. (2)</t>
  </si>
  <si>
    <t>Expertizare tehnică a construcţiilor existente, a structurilor şi/sau, după caz, a proiectelor tehnice, inclusiv întocmirea de către expertul tehnic a raportului de expertiză tehnică, în conformitate cu prevederile art. 14 alin. (2)</t>
  </si>
  <si>
    <t>3,4 Certificarea performanţei energetice şi auditul energetic al clădirilor</t>
  </si>
  <si>
    <t>Certificarea performanţei energetice şi auditul energetic al clădirilor</t>
  </si>
  <si>
    <t>3.5. Proiectare</t>
  </si>
  <si>
    <t>studiu de prefezabilitate</t>
  </si>
  <si>
    <t>studiu de fezabilitate/documentaţie de avizare a lucrărilor de intervenţii şi deviz general;</t>
  </si>
  <si>
    <t>documentaţiile tehnice necesare în vederea obţinerii avizelor/acordurilor/autorizaţiilor</t>
  </si>
  <si>
    <t>verificarea tehnică de calitate a proiectului tehnic şi a detaliilor de execuţie</t>
  </si>
  <si>
    <t>proiect tehnic şi detalii de execuţie</t>
  </si>
  <si>
    <t>3.6. Organizarea procedurilor de achizitie</t>
  </si>
  <si>
    <t>) cheltuieli cu onorariile, transportul, cazarea şi diurna membrilor desemnaţi în comisiile de evaluare</t>
  </si>
  <si>
    <t>anunţuri de intenţie, de participare şi de atribuire a contractelor, corespondenţă prin poştă, fax, poştă electronică în legătură cu procedurile de achiziţie publică</t>
  </si>
  <si>
    <t>cheltuieli aferente organizării şi derulării procedurilor de achiziţii publice</t>
  </si>
  <si>
    <t>Total 3.4.</t>
  </si>
  <si>
    <t>cheltuieli aferente întocmirii documentaţiei de atribuire şi multiplicării acesteia (exclusiv cele cumpărate de ofertanţi);</t>
  </si>
  <si>
    <t>3.7. Cosultanta</t>
  </si>
  <si>
    <t>managementul de proiect pentru obiectivul de investiţii</t>
  </si>
  <si>
    <t>. auditul financiar</t>
  </si>
  <si>
    <t>Total 3.7</t>
  </si>
  <si>
    <t>3.8 Asistenta tehnica</t>
  </si>
  <si>
    <t>asistenţă tehnică din partea proiectantului</t>
  </si>
  <si>
    <t>pe perioada de execuţie a lucrărilor</t>
  </si>
  <si>
    <t>pentru participarea proiectantului la fazele incluse în programul de control al lucrărilor de execuţie, avizat de către Inspectoratul de Stat în Construcţii</t>
  </si>
  <si>
    <t>dirigenţie de şantier, asigurată de personal tehnic de specialitate, autorizat</t>
  </si>
  <si>
    <t>Total 3.8</t>
  </si>
  <si>
    <t>Total 3.5.</t>
  </si>
  <si>
    <t>Nr</t>
  </si>
  <si>
    <t>Cap 4 - cheltuieli pentru investitia de baza</t>
  </si>
  <si>
    <t xml:space="preserve">Construcţii şi instalaţii                 </t>
  </si>
  <si>
    <t xml:space="preserve">Terasamente, sistematizare pe verticală   şi amenajări exterioare                   </t>
  </si>
  <si>
    <t>Rezistenţă</t>
  </si>
  <si>
    <t xml:space="preserve">Arhitectură </t>
  </si>
  <si>
    <t>Instalaţii</t>
  </si>
  <si>
    <t xml:space="preserve">TOTAL I - subcap. 4.1                            </t>
  </si>
  <si>
    <t>4,1,1</t>
  </si>
  <si>
    <t xml:space="preserve">Montaj utilaje, echipamente tehnologice   şi funcţionale                            </t>
  </si>
  <si>
    <t xml:space="preserve">Total II - subcap. 4.2                           </t>
  </si>
  <si>
    <t xml:space="preserve">Utilaje, echipamente tehnologice şi  funcţionale care necesită montaj          </t>
  </si>
  <si>
    <t xml:space="preserve">Utilaje, echipamente tehnologice şi  funcţionale care nu necesită montaj şi       echipamente de transport                  </t>
  </si>
  <si>
    <t xml:space="preserve">Active necorporale                        </t>
  </si>
  <si>
    <t xml:space="preserve">Total III - subcap. 4.3+4.4+4.5+4.6              </t>
  </si>
  <si>
    <t xml:space="preserve">   comisioanele şi dobânzile aferente creditului băncii finanţatoare</t>
  </si>
  <si>
    <t xml:space="preserve">   cota aferentă Inspectoratului de Stat în Construcţii, calculată potrivit prevederilor Legii nr. 10/1995 privind calitatea în construcţii, republicată (0,5%)</t>
  </si>
  <si>
    <t xml:space="preserve">   cota aferentă Inspectoratului de Stat în Construcţii, calculată potrivit prevederilor Legii nr. 50/1991 privind autorizarea executării lucrărilor de construcţii, republicată, cu modificările şi completările ulterioare(0,1%)</t>
  </si>
  <si>
    <t>cota aferentă Casei Sociale a Constructorilor - CSC, în aplicarea prevederilor Legii nr. 215/1997 privind Casa Socială a Constructorilor</t>
  </si>
  <si>
    <t>taxe pentru acorduri, avize conforme şi autorizaţia de construire/desfiinţare</t>
  </si>
  <si>
    <t>5.4.Cheltuieli pentru informare şi publicitate</t>
  </si>
  <si>
    <t xml:space="preserve">Total 5.4. </t>
  </si>
  <si>
    <t>Total 5.1.</t>
  </si>
  <si>
    <t>Valoarea pe categorii de lucrări inclusiv TVA</t>
  </si>
  <si>
    <t>4.1.5</t>
  </si>
  <si>
    <t>4.1.6</t>
  </si>
  <si>
    <t>4.1.7</t>
  </si>
  <si>
    <t>Proiectant,</t>
  </si>
  <si>
    <t>Amper Proiect SRL</t>
  </si>
  <si>
    <t>PROCENT din total proiect  %</t>
  </si>
  <si>
    <t>PROCENT din total eligibil  %</t>
  </si>
  <si>
    <t>procent Economie de energie  %</t>
  </si>
  <si>
    <t>procent contributie proprie %</t>
  </si>
  <si>
    <t>TOTAL GENERAL din care:</t>
  </si>
  <si>
    <t>TOTAL ELIGIBIL</t>
  </si>
  <si>
    <t>Fondul de mediu eligibil</t>
  </si>
  <si>
    <t>Buget local neeligibil</t>
  </si>
  <si>
    <t>NEELIGIBIL</t>
  </si>
  <si>
    <t>PUNCTAJ</t>
  </si>
  <si>
    <t>TOTAL NEELIGIBIL</t>
  </si>
  <si>
    <t>Total Punctaj</t>
  </si>
  <si>
    <t>TOTAL CONTRIBUTIE PROPRIE (30%)</t>
  </si>
  <si>
    <t>TOTAL NEELIGIBIL + CONTRIBUTIE PROPRIE (30%)</t>
  </si>
  <si>
    <t>punctaj pentru reducerea procentuala a consumului de energie</t>
  </si>
  <si>
    <t>punctaj pentru contributia proprie</t>
  </si>
  <si>
    <t>punctaj pentru reducerea procentuală a cantităţii emisiilor de CO_2</t>
  </si>
  <si>
    <t>TOTALIZATOR</t>
  </si>
  <si>
    <t>LUCRARI TIP I</t>
  </si>
  <si>
    <t>INSTALATII ELECTRICE</t>
  </si>
  <si>
    <t>Masuri de crestere a eficientei energetice tip I</t>
  </si>
  <si>
    <t>INSTALATII SANITARE</t>
  </si>
  <si>
    <t>INSTALATII INCALZIRE</t>
  </si>
  <si>
    <t>LUCRARI TIP II</t>
  </si>
  <si>
    <t>Indicatori de proiect aferent clădirii</t>
  </si>
  <si>
    <t>Valoare la începutul
implementarii proiectului</t>
  </si>
  <si>
    <t>Valoare la finalul implementarii proiectului</t>
  </si>
  <si>
    <t>Consumul anual specific de energie primară
din surse neregenerabile (kWh/m 2/an) total, din care</t>
  </si>
  <si>
    <t>INCALZIRE ( energie din BIOMASA)</t>
  </si>
  <si>
    <t>APA CALDA DE CONSUM (energie din
electrica)</t>
  </si>
  <si>
    <t>ILUMINAT (Energie electrică din SEN)</t>
  </si>
  <si>
    <t>Cantitatea de CO2 atribuită
energiei primare
necesară/consumată
(conf Tab.2.OM 157/2007)
[Kg CO2/kWh], din care</t>
  </si>
  <si>
    <t>APA CALDA DE CONSUM (energie
regenerabila)</t>
  </si>
  <si>
    <t>ing. Beko Andras</t>
  </si>
  <si>
    <t>SC TERM SRL</t>
  </si>
  <si>
    <t>RO 9569400</t>
  </si>
  <si>
    <t>tema de proiectare</t>
  </si>
  <si>
    <t>Comuna Tulca</t>
  </si>
  <si>
    <t>utilaje</t>
  </si>
  <si>
    <t>consultanta 3% din investitia de baza</t>
  </si>
  <si>
    <t>dirigintie 2%</t>
  </si>
  <si>
    <t>PT</t>
  </si>
  <si>
    <t>studii+proiectare+asistenta tehnica 7% din investitia de baza</t>
  </si>
  <si>
    <t>23.07.2021</t>
  </si>
  <si>
    <t>Data:23.07.2021</t>
  </si>
  <si>
    <t>pompa+cazan+sistem fotovoltaic</t>
  </si>
  <si>
    <t>in lei /  euro, la cursul 4,9219 lei/euro</t>
  </si>
  <si>
    <t>in  lei / euro, la cursul 4,9219 lei/euro</t>
  </si>
  <si>
    <t>in  lei /  euro, la cursul BNR  lei/euro din data de 23.07.2021 - 4,9219lei/ euro</t>
  </si>
  <si>
    <t>Devizul ObiectuluiLUCRARI EXECUTIE în lei/euro la cursul 4,9219 lei/euro din data de 23.07.2021</t>
  </si>
  <si>
    <t>Devizul ObiectuluiLUCRARI EXECUTIE în lei/euro la cursul 4,9219lei/euro din data de 23.07.2021</t>
  </si>
  <si>
    <t>in lei / euro, la cursul BNR lei/euro din data de 23.07.2021 – 4,9219 lei/ euro</t>
  </si>
  <si>
    <t>deviz</t>
  </si>
  <si>
    <t>municipiul Oradea, str. Mimozei, nr. 6, ap. 4, jud. Bihor</t>
  </si>
  <si>
    <t>REABILITARE ÎN VEDEREA EFICIENTIZĂRII ENERGETICE A ȘCOLII GIMNAZIALE “NESTOR PORUMB”, NR. 123-124, DIN LOCALITATEA TULCA, JUDEŢUL BIHOR</t>
  </si>
  <si>
    <t>al obiectivului de investiții</t>
  </si>
  <si>
    <t>Valoare în prețuri la data de 23.07.2021: 1 euro=4,9219 lei (fără TVA)</t>
  </si>
  <si>
    <t>3.1.1</t>
  </si>
  <si>
    <t>3.1.2</t>
  </si>
  <si>
    <t>3.1.3</t>
  </si>
  <si>
    <t>3.5.1</t>
  </si>
  <si>
    <t>3.5.2</t>
  </si>
  <si>
    <t>3.5.3</t>
  </si>
  <si>
    <t>3.5.4</t>
  </si>
  <si>
    <t>3.5.5</t>
  </si>
  <si>
    <t>3.5.6</t>
  </si>
  <si>
    <t>3.7.1</t>
  </si>
  <si>
    <t>3.7.2</t>
  </si>
  <si>
    <t>3.8.1</t>
  </si>
  <si>
    <t>3.8.1.1</t>
  </si>
  <si>
    <t>3.8.1.2</t>
  </si>
  <si>
    <t>3.8.2</t>
  </si>
  <si>
    <t>4.1</t>
  </si>
  <si>
    <t>4.2</t>
  </si>
  <si>
    <t>4.3</t>
  </si>
  <si>
    <t>4.4</t>
  </si>
  <si>
    <t>4.5</t>
  </si>
  <si>
    <t>4.6</t>
  </si>
  <si>
    <t>5.1.1</t>
  </si>
  <si>
    <t>5.1.2</t>
  </si>
  <si>
    <t>5.2</t>
  </si>
  <si>
    <t>5.2.1</t>
  </si>
  <si>
    <t>5.2.2</t>
  </si>
  <si>
    <t>5.2.3</t>
  </si>
  <si>
    <t>5.2.4</t>
  </si>
  <si>
    <t>5.2.5</t>
  </si>
  <si>
    <t>5.3</t>
  </si>
  <si>
    <t>6.1</t>
  </si>
  <si>
    <t>6.2</t>
  </si>
  <si>
    <t>Studiu de fezabilitate/ documentatie de avizare a lucrarilor de interventii si deviz general</t>
  </si>
  <si>
    <t>Documentatii tehnice necesare in vederea obtinerii avizelor/ acordurilor/ autorizatiilor</t>
  </si>
  <si>
    <t>Cheltuieli diverse şi 
neprevăzute</t>
  </si>
  <si>
    <t>Pregătirea personalului de
 exploatare</t>
  </si>
  <si>
    <t>ANEXA 3 la HCL nr. 73 din 14.09.2021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</si>
</sst>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3" formatCode="_(* #,##0.00_);_(* \(#,##0.00\);_(* &quot;-&quot;??_);_(@_)"/>
    <numFmt numFmtId="164" formatCode="#,##0.0"/>
    <numFmt numFmtId="165" formatCode="0.0000"/>
    <numFmt numFmtId="166" formatCode="0.000"/>
    <numFmt numFmtId="167" formatCode="_-* #,##0.00\ _R_O_N_-;\-* #,##0.00\ _R_O_N_-;_-* &quot;-&quot;??\ _R_O_N_-;_-@_-"/>
    <numFmt numFmtId="168" formatCode="#,##0.00\ &quot;RON&quot;"/>
    <numFmt numFmtId="169" formatCode="#,##0.00\ _R_O_N"/>
  </numFmts>
  <fonts count="25" x14ac:knownFonts="1">
    <font>
      <sz val="10"/>
      <name val="Arial"/>
      <charset val="238"/>
    </font>
    <font>
      <sz val="10"/>
      <name val="Arial"/>
      <family val="2"/>
    </font>
    <font>
      <b/>
      <sz val="10"/>
      <name val="Arial"/>
      <family val="2"/>
    </font>
    <font>
      <b/>
      <i/>
      <sz val="10"/>
      <name val="Arial"/>
      <family val="2"/>
    </font>
    <font>
      <sz val="8"/>
      <name val="Arial"/>
      <family val="2"/>
    </font>
    <font>
      <sz val="9"/>
      <name val="Arial"/>
      <family val="2"/>
    </font>
    <font>
      <b/>
      <sz val="11"/>
      <name val="Arial"/>
      <family val="2"/>
    </font>
    <font>
      <b/>
      <sz val="10"/>
      <name val="Arial"/>
      <family val="2"/>
      <charset val="238"/>
    </font>
    <font>
      <sz val="10"/>
      <name val="Arial"/>
      <family val="2"/>
      <charset val="238"/>
    </font>
    <font>
      <sz val="10"/>
      <color indexed="8"/>
      <name val="Arial"/>
      <family val="2"/>
      <charset val="238"/>
    </font>
    <font>
      <b/>
      <sz val="9"/>
      <name val="Arial"/>
      <family val="2"/>
      <charset val="238"/>
    </font>
    <font>
      <sz val="9"/>
      <name val="Arial"/>
      <family val="2"/>
      <charset val="238"/>
    </font>
    <font>
      <sz val="11"/>
      <name val="Times New Roman"/>
      <family val="1"/>
    </font>
    <font>
      <b/>
      <sz val="11"/>
      <name val="Times New Roman"/>
      <family val="1"/>
    </font>
    <font>
      <sz val="10"/>
      <name val="Times New Roman"/>
      <family val="1"/>
    </font>
    <font>
      <b/>
      <sz val="10"/>
      <name val="Times New Roman"/>
      <family val="1"/>
    </font>
    <font>
      <b/>
      <sz val="10"/>
      <color indexed="8"/>
      <name val="Times New Roman"/>
      <family val="1"/>
    </font>
    <font>
      <b/>
      <sz val="12"/>
      <name val="Times New Roman"/>
      <family val="1"/>
    </font>
    <font>
      <b/>
      <sz val="11"/>
      <color indexed="8"/>
      <name val="Times New Roman"/>
      <family val="1"/>
    </font>
    <font>
      <sz val="12"/>
      <name val="Times New Roman"/>
      <family val="1"/>
    </font>
    <font>
      <sz val="13"/>
      <color indexed="63"/>
      <name val="Times New Roman"/>
      <family val="1"/>
    </font>
    <font>
      <b/>
      <sz val="11"/>
      <color rgb="FF3F3F3F"/>
      <name val="Calibri"/>
      <family val="2"/>
      <charset val="238"/>
      <scheme val="minor"/>
    </font>
    <font>
      <sz val="10"/>
      <color rgb="FFFF0000"/>
      <name val="Times New Roman"/>
      <family val="1"/>
    </font>
    <font>
      <sz val="10"/>
      <color rgb="FFFF0000"/>
      <name val="Arial"/>
      <family val="2"/>
    </font>
    <font>
      <b/>
      <sz val="10"/>
      <color rgb="FFFF0000"/>
      <name val="Arial"/>
      <family val="2"/>
    </font>
  </fonts>
  <fills count="14">
    <fill>
      <patternFill patternType="none"/>
    </fill>
    <fill>
      <patternFill patternType="gray125"/>
    </fill>
    <fill>
      <patternFill patternType="solid">
        <fgColor rgb="FFF2F2F2"/>
      </patternFill>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
      <patternFill patternType="solid">
        <fgColor theme="5" tint="0.79998168889431442"/>
        <bgColor indexed="64"/>
      </patternFill>
    </fill>
    <fill>
      <patternFill patternType="solid">
        <fgColor theme="5" tint="0.39997558519241921"/>
        <bgColor indexed="64"/>
      </patternFill>
    </fill>
    <fill>
      <patternFill patternType="solid">
        <fgColor theme="2" tint="-0.249977111117893"/>
        <bgColor indexed="64"/>
      </patternFill>
    </fill>
    <fill>
      <patternFill patternType="solid">
        <fgColor theme="3" tint="0.79998168889431442"/>
        <bgColor indexed="64"/>
      </patternFill>
    </fill>
    <fill>
      <patternFill patternType="solid">
        <fgColor theme="3" tint="0.39997558519241921"/>
        <bgColor indexed="64"/>
      </patternFill>
    </fill>
    <fill>
      <patternFill patternType="solid">
        <fgColor theme="4" tint="0.59999389629810485"/>
        <bgColor indexed="64"/>
      </patternFill>
    </fill>
    <fill>
      <patternFill patternType="solid">
        <fgColor theme="6"/>
        <bgColor indexed="64"/>
      </patternFill>
    </fill>
    <fill>
      <patternFill patternType="solid">
        <fgColor theme="2" tint="-9.9978637043366805E-2"/>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right style="medium">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3F3F3F"/>
      </left>
      <right style="thin">
        <color rgb="FF3F3F3F"/>
      </right>
      <top style="thin">
        <color rgb="FF3F3F3F"/>
      </top>
      <bottom style="thin">
        <color rgb="FF3F3F3F"/>
      </bottom>
      <diagonal/>
    </border>
  </borders>
  <cellStyleXfs count="4">
    <xf numFmtId="0" fontId="0" fillId="0" borderId="0"/>
    <xf numFmtId="43" fontId="8" fillId="0" borderId="0" applyFont="0" applyFill="0" applyBorder="0" applyAlignment="0" applyProtection="0"/>
    <xf numFmtId="0" fontId="21" fillId="2" borderId="30" applyNumberFormat="0" applyAlignment="0" applyProtection="0"/>
    <xf numFmtId="0" fontId="8" fillId="0" borderId="0"/>
  </cellStyleXfs>
  <cellXfs count="278">
    <xf numFmtId="0" fontId="0" fillId="0" borderId="0" xfId="0"/>
    <xf numFmtId="3" fontId="2" fillId="0" borderId="1" xfId="0" applyNumberFormat="1" applyFont="1" applyFill="1" applyBorder="1" applyAlignment="1">
      <alignment horizontal="center" vertical="center" wrapText="1"/>
    </xf>
    <xf numFmtId="0" fontId="7" fillId="0" borderId="0" xfId="0" applyFont="1" applyAlignment="1">
      <alignment horizontal="center" vertical="center" wrapText="1"/>
    </xf>
    <xf numFmtId="0" fontId="8" fillId="0" borderId="0" xfId="0" applyFont="1" applyAlignment="1">
      <alignment horizontal="center" vertical="center" wrapText="1"/>
    </xf>
    <xf numFmtId="166" fontId="8" fillId="0" borderId="0" xfId="0" applyNumberFormat="1" applyFont="1" applyAlignment="1">
      <alignment horizontal="center" vertical="center" wrapText="1"/>
    </xf>
    <xf numFmtId="0" fontId="7" fillId="0" borderId="1" xfId="0" applyFont="1" applyBorder="1" applyAlignment="1">
      <alignment horizontal="center" vertical="center" wrapText="1"/>
    </xf>
    <xf numFmtId="166" fontId="7" fillId="0" borderId="1" xfId="0" applyNumberFormat="1" applyFont="1" applyBorder="1" applyAlignment="1">
      <alignment horizontal="center" vertical="center" wrapText="1"/>
    </xf>
    <xf numFmtId="166" fontId="8" fillId="0" borderId="1" xfId="0" applyNumberFormat="1" applyFont="1" applyBorder="1" applyAlignment="1">
      <alignment horizontal="center" vertical="center" wrapText="1"/>
    </xf>
    <xf numFmtId="0" fontId="8" fillId="0" borderId="2" xfId="0" applyFont="1" applyBorder="1" applyAlignment="1">
      <alignment horizontal="center" vertical="center" wrapText="1"/>
    </xf>
    <xf numFmtId="0" fontId="8" fillId="0" borderId="1" xfId="0" applyFont="1" applyBorder="1" applyAlignment="1">
      <alignment horizontal="center" vertical="center" wrapText="1"/>
    </xf>
    <xf numFmtId="0" fontId="0" fillId="0" borderId="0" xfId="0" applyAlignment="1">
      <alignment vertical="top"/>
    </xf>
    <xf numFmtId="0" fontId="8" fillId="0" borderId="0" xfId="0" applyFont="1" applyAlignment="1">
      <alignment vertical="top"/>
    </xf>
    <xf numFmtId="166" fontId="7" fillId="0" borderId="3" xfId="0" applyNumberFormat="1" applyFont="1" applyFill="1" applyBorder="1" applyAlignment="1">
      <alignment horizontal="center" vertical="center" wrapText="1"/>
    </xf>
    <xf numFmtId="166" fontId="7" fillId="0" borderId="0" xfId="0" applyNumberFormat="1" applyFont="1" applyAlignment="1">
      <alignment horizontal="center" vertical="center" wrapText="1"/>
    </xf>
    <xf numFmtId="166" fontId="8" fillId="0" borderId="4" xfId="0" applyNumberFormat="1" applyFont="1" applyBorder="1" applyAlignment="1">
      <alignment horizontal="center" vertical="center" wrapText="1"/>
    </xf>
    <xf numFmtId="1" fontId="7" fillId="0" borderId="1" xfId="0" applyNumberFormat="1" applyFont="1" applyBorder="1" applyAlignment="1">
      <alignment horizontal="center" vertical="center" wrapText="1"/>
    </xf>
    <xf numFmtId="0" fontId="8" fillId="3" borderId="1"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8" fillId="0" borderId="0" xfId="0" applyFont="1" applyBorder="1" applyAlignment="1">
      <alignment horizontal="center" vertical="center" wrapText="1"/>
    </xf>
    <xf numFmtId="0" fontId="7" fillId="0" borderId="0" xfId="0" applyFont="1" applyBorder="1" applyAlignment="1">
      <alignment horizontal="center" vertical="center" wrapText="1"/>
    </xf>
    <xf numFmtId="166" fontId="7" fillId="0" borderId="0" xfId="0" applyNumberFormat="1" applyFont="1" applyBorder="1" applyAlignment="1">
      <alignment horizontal="center" vertical="center" wrapText="1"/>
    </xf>
    <xf numFmtId="166" fontId="9" fillId="0" borderId="1" xfId="0" applyNumberFormat="1" applyFont="1" applyBorder="1" applyAlignment="1">
      <alignment horizontal="center" vertical="center" wrapText="1"/>
    </xf>
    <xf numFmtId="0" fontId="0" fillId="0" borderId="0" xfId="0" applyAlignment="1">
      <alignment horizontal="center" vertical="center" wrapText="1"/>
    </xf>
    <xf numFmtId="0" fontId="10" fillId="0" borderId="1" xfId="0" applyFont="1" applyBorder="1" applyAlignment="1">
      <alignment horizontal="center" vertical="center" wrapText="1"/>
    </xf>
    <xf numFmtId="166" fontId="10" fillId="0" borderId="1" xfId="0" applyNumberFormat="1" applyFont="1" applyBorder="1" applyAlignment="1">
      <alignment horizontal="center" vertical="center" wrapText="1"/>
    </xf>
    <xf numFmtId="0" fontId="11" fillId="0" borderId="1" xfId="0" applyFont="1" applyBorder="1" applyAlignment="1">
      <alignment horizontal="center" vertical="center" wrapText="1"/>
    </xf>
    <xf numFmtId="165" fontId="7" fillId="0" borderId="0" xfId="0" applyNumberFormat="1" applyFont="1" applyAlignment="1">
      <alignment horizontal="center" vertical="center" wrapText="1"/>
    </xf>
    <xf numFmtId="1" fontId="10" fillId="0" borderId="1" xfId="0" applyNumberFormat="1" applyFont="1" applyBorder="1" applyAlignment="1">
      <alignment horizontal="center" vertical="center" wrapText="1"/>
    </xf>
    <xf numFmtId="0" fontId="11" fillId="3" borderId="1" xfId="0" applyFont="1" applyFill="1" applyBorder="1" applyAlignment="1">
      <alignment horizontal="center" vertical="center" wrapText="1"/>
    </xf>
    <xf numFmtId="0" fontId="10" fillId="3" borderId="1" xfId="0" applyFont="1" applyFill="1" applyBorder="1" applyAlignment="1">
      <alignment horizontal="center" vertical="center" wrapText="1"/>
    </xf>
    <xf numFmtId="166" fontId="7" fillId="0" borderId="0" xfId="0" applyNumberFormat="1" applyFont="1" applyFill="1" applyBorder="1" applyAlignment="1">
      <alignment horizontal="center" vertical="center" wrapText="1"/>
    </xf>
    <xf numFmtId="0" fontId="1" fillId="0" borderId="0" xfId="0" applyFont="1" applyAlignment="1">
      <alignment horizontal="center" vertical="center" wrapText="1"/>
    </xf>
    <xf numFmtId="0" fontId="1" fillId="0" borderId="0" xfId="0" applyFont="1" applyAlignment="1">
      <alignment vertical="top"/>
    </xf>
    <xf numFmtId="165" fontId="8" fillId="0" borderId="0" xfId="0" applyNumberFormat="1" applyFont="1" applyAlignment="1">
      <alignment horizontal="center" vertical="center" wrapText="1"/>
    </xf>
    <xf numFmtId="0" fontId="7" fillId="3"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11" fillId="5" borderId="1" xfId="0" applyFont="1" applyFill="1" applyBorder="1" applyAlignment="1">
      <alignment horizontal="center" vertical="center" wrapText="1"/>
    </xf>
    <xf numFmtId="0" fontId="10" fillId="5" borderId="1" xfId="0" applyFont="1" applyFill="1" applyBorder="1" applyAlignment="1">
      <alignment horizontal="center" vertical="center" wrapText="1"/>
    </xf>
    <xf numFmtId="1" fontId="8" fillId="0" borderId="2" xfId="0" applyNumberFormat="1" applyFont="1" applyBorder="1" applyAlignment="1">
      <alignment horizontal="center" vertical="center" wrapText="1"/>
    </xf>
    <xf numFmtId="1" fontId="8" fillId="0" borderId="1" xfId="0" applyNumberFormat="1" applyFont="1" applyBorder="1" applyAlignment="1">
      <alignment horizontal="center" vertical="center" wrapText="1"/>
    </xf>
    <xf numFmtId="1" fontId="7" fillId="3" borderId="1" xfId="0" applyNumberFormat="1" applyFont="1" applyFill="1" applyBorder="1" applyAlignment="1">
      <alignment horizontal="center" vertical="center" wrapText="1"/>
    </xf>
    <xf numFmtId="2" fontId="7" fillId="0" borderId="1" xfId="0" applyNumberFormat="1" applyFont="1" applyBorder="1" applyAlignment="1">
      <alignment horizontal="center" vertical="center" wrapText="1"/>
    </xf>
    <xf numFmtId="1" fontId="8" fillId="0" borderId="0" xfId="0" applyNumberFormat="1" applyFont="1" applyAlignment="1">
      <alignment horizontal="center" vertical="center" wrapText="1"/>
    </xf>
    <xf numFmtId="166" fontId="8" fillId="0" borderId="0" xfId="0" applyNumberFormat="1" applyFont="1" applyAlignment="1">
      <alignment vertical="center"/>
    </xf>
    <xf numFmtId="1" fontId="0" fillId="0" borderId="0" xfId="0" applyNumberFormat="1" applyAlignment="1">
      <alignment horizontal="center" vertical="center" wrapText="1"/>
    </xf>
    <xf numFmtId="2" fontId="8" fillId="0" borderId="2" xfId="0" applyNumberFormat="1" applyFont="1" applyBorder="1" applyAlignment="1">
      <alignment horizontal="center" vertical="center" wrapText="1"/>
    </xf>
    <xf numFmtId="2" fontId="8" fillId="0" borderId="1" xfId="0" applyNumberFormat="1" applyFont="1" applyBorder="1" applyAlignment="1">
      <alignment horizontal="center" vertical="center" wrapText="1"/>
    </xf>
    <xf numFmtId="2" fontId="8" fillId="0" borderId="1" xfId="0" applyNumberFormat="1" applyFont="1" applyFill="1" applyBorder="1" applyAlignment="1">
      <alignment horizontal="center"/>
    </xf>
    <xf numFmtId="2" fontId="8" fillId="5" borderId="1" xfId="0" applyNumberFormat="1" applyFont="1" applyFill="1" applyBorder="1" applyAlignment="1">
      <alignment horizontal="center" vertical="center" wrapText="1"/>
    </xf>
    <xf numFmtId="2" fontId="7" fillId="5" borderId="1" xfId="0" applyNumberFormat="1" applyFont="1" applyFill="1" applyBorder="1" applyAlignment="1">
      <alignment horizontal="center" vertical="center" wrapText="1"/>
    </xf>
    <xf numFmtId="2" fontId="1" fillId="5" borderId="1" xfId="0" applyNumberFormat="1" applyFont="1" applyFill="1" applyBorder="1" applyAlignment="1">
      <alignment horizontal="center" vertical="center" wrapText="1"/>
    </xf>
    <xf numFmtId="2" fontId="1" fillId="0" borderId="2" xfId="0" applyNumberFormat="1" applyFont="1" applyBorder="1" applyAlignment="1">
      <alignment horizontal="center" vertical="center" wrapText="1"/>
    </xf>
    <xf numFmtId="2" fontId="8" fillId="3" borderId="1" xfId="0" applyNumberFormat="1" applyFont="1" applyFill="1" applyBorder="1" applyAlignment="1">
      <alignment horizontal="center" vertical="center" wrapText="1"/>
    </xf>
    <xf numFmtId="2" fontId="7" fillId="3" borderId="1" xfId="0" applyNumberFormat="1" applyFont="1" applyFill="1" applyBorder="1" applyAlignment="1">
      <alignment horizontal="center" vertical="center" wrapText="1"/>
    </xf>
    <xf numFmtId="2" fontId="8" fillId="4" borderId="1" xfId="0" applyNumberFormat="1" applyFont="1" applyFill="1" applyBorder="1" applyAlignment="1">
      <alignment horizontal="center" vertical="center" wrapText="1"/>
    </xf>
    <xf numFmtId="2" fontId="11" fillId="0" borderId="1" xfId="0" applyNumberFormat="1" applyFont="1" applyBorder="1" applyAlignment="1">
      <alignment horizontal="center" vertical="center" wrapText="1"/>
    </xf>
    <xf numFmtId="2" fontId="10" fillId="3" borderId="1" xfId="0" applyNumberFormat="1" applyFont="1" applyFill="1" applyBorder="1" applyAlignment="1">
      <alignment horizontal="center" vertical="center" wrapText="1"/>
    </xf>
    <xf numFmtId="2" fontId="5" fillId="5" borderId="1" xfId="0" applyNumberFormat="1" applyFont="1" applyFill="1" applyBorder="1" applyAlignment="1">
      <alignment horizontal="center" vertical="center" wrapText="1"/>
    </xf>
    <xf numFmtId="2" fontId="10" fillId="0" borderId="1" xfId="0" applyNumberFormat="1" applyFont="1" applyBorder="1" applyAlignment="1">
      <alignment horizontal="center" vertical="center" wrapText="1"/>
    </xf>
    <xf numFmtId="0" fontId="0" fillId="0" borderId="1" xfId="0" applyBorder="1"/>
    <xf numFmtId="0" fontId="0" fillId="0" borderId="1" xfId="0" applyBorder="1" applyAlignment="1">
      <alignment wrapText="1"/>
    </xf>
    <xf numFmtId="0" fontId="12" fillId="0" borderId="0" xfId="3" applyFont="1"/>
    <xf numFmtId="0" fontId="13" fillId="0" borderId="0" xfId="3" applyFont="1" applyAlignment="1">
      <alignment wrapText="1"/>
    </xf>
    <xf numFmtId="0" fontId="14" fillId="0" borderId="0" xfId="3" applyFont="1"/>
    <xf numFmtId="0" fontId="14" fillId="0" borderId="0" xfId="3" applyFont="1" applyAlignment="1">
      <alignment horizontal="right"/>
    </xf>
    <xf numFmtId="0" fontId="12" fillId="0" borderId="0" xfId="3" applyFont="1" applyAlignment="1">
      <alignment wrapText="1"/>
    </xf>
    <xf numFmtId="166" fontId="12" fillId="0" borderId="0" xfId="3" applyNumberFormat="1" applyFont="1"/>
    <xf numFmtId="2" fontId="12" fillId="0" borderId="0" xfId="3" applyNumberFormat="1" applyFont="1"/>
    <xf numFmtId="0" fontId="15" fillId="0" borderId="0" xfId="0" applyFont="1"/>
    <xf numFmtId="0" fontId="14" fillId="0" borderId="0" xfId="0" applyFont="1"/>
    <xf numFmtId="0" fontId="12" fillId="0" borderId="1" xfId="3" applyFont="1" applyBorder="1"/>
    <xf numFmtId="0" fontId="12" fillId="6" borderId="1" xfId="3" applyFont="1" applyFill="1" applyBorder="1" applyAlignment="1">
      <alignment wrapText="1"/>
    </xf>
    <xf numFmtId="2" fontId="12" fillId="6" borderId="1" xfId="3" applyNumberFormat="1" applyFont="1" applyFill="1" applyBorder="1" applyAlignment="1">
      <alignment horizontal="right" wrapText="1"/>
    </xf>
    <xf numFmtId="2" fontId="12" fillId="6" borderId="5" xfId="3" applyNumberFormat="1" applyFont="1" applyFill="1" applyBorder="1" applyAlignment="1">
      <alignment horizontal="right" wrapText="1"/>
    </xf>
    <xf numFmtId="0" fontId="12" fillId="6" borderId="1" xfId="3" applyFont="1" applyFill="1" applyBorder="1" applyAlignment="1">
      <alignment horizontal="center" wrapText="1"/>
    </xf>
    <xf numFmtId="0" fontId="14" fillId="6" borderId="1" xfId="3" applyFont="1" applyFill="1" applyBorder="1" applyAlignment="1">
      <alignment horizontal="center" wrapText="1"/>
    </xf>
    <xf numFmtId="0" fontId="14" fillId="0" borderId="0" xfId="3" applyFont="1" applyAlignment="1">
      <alignment horizontal="center" wrapText="1"/>
    </xf>
    <xf numFmtId="0" fontId="12" fillId="0" borderId="6" xfId="3" applyFont="1" applyBorder="1"/>
    <xf numFmtId="2" fontId="17" fillId="0" borderId="1" xfId="3" applyNumberFormat="1" applyFont="1" applyBorder="1" applyAlignment="1">
      <alignment horizontal="right" vertical="center" wrapText="1"/>
    </xf>
    <xf numFmtId="4" fontId="16" fillId="0" borderId="1" xfId="0" applyNumberFormat="1" applyFont="1" applyBorder="1" applyAlignment="1" applyProtection="1">
      <alignment vertical="center"/>
      <protection hidden="1"/>
    </xf>
    <xf numFmtId="0" fontId="15" fillId="0" borderId="5" xfId="3" applyFont="1" applyBorder="1" applyAlignment="1"/>
    <xf numFmtId="0" fontId="15" fillId="0" borderId="0" xfId="3" applyFont="1" applyAlignment="1"/>
    <xf numFmtId="0" fontId="19" fillId="0" borderId="1" xfId="0" applyFont="1" applyBorder="1" applyAlignment="1">
      <alignment horizontal="right" vertical="center" wrapText="1"/>
    </xf>
    <xf numFmtId="4" fontId="16" fillId="7" borderId="5" xfId="0" applyNumberFormat="1" applyFont="1" applyFill="1" applyBorder="1" applyAlignment="1" applyProtection="1">
      <alignment vertical="center"/>
      <protection hidden="1"/>
    </xf>
    <xf numFmtId="0" fontId="14" fillId="0" borderId="0" xfId="3" applyFont="1" applyAlignment="1">
      <alignment horizontal="center" vertical="center"/>
    </xf>
    <xf numFmtId="167" fontId="22" fillId="0" borderId="0" xfId="3" applyNumberFormat="1" applyFont="1" applyAlignment="1">
      <alignment horizontal="right"/>
    </xf>
    <xf numFmtId="0" fontId="12" fillId="0" borderId="5" xfId="3" applyFont="1" applyBorder="1"/>
    <xf numFmtId="4" fontId="12" fillId="0" borderId="0" xfId="3" applyNumberFormat="1" applyFont="1"/>
    <xf numFmtId="0" fontId="12" fillId="0" borderId="0" xfId="0" applyFont="1"/>
    <xf numFmtId="0" fontId="12" fillId="0" borderId="0" xfId="3" applyFont="1" applyBorder="1"/>
    <xf numFmtId="4" fontId="12" fillId="0" borderId="0" xfId="3" applyNumberFormat="1" applyFont="1" applyBorder="1"/>
    <xf numFmtId="9" fontId="12" fillId="0" borderId="0" xfId="3" applyNumberFormat="1" applyFont="1" applyBorder="1" applyAlignment="1">
      <alignment horizontal="left"/>
    </xf>
    <xf numFmtId="0" fontId="13" fillId="0" borderId="0" xfId="3" applyFont="1" applyBorder="1"/>
    <xf numFmtId="4" fontId="13" fillId="0" borderId="0" xfId="3" applyNumberFormat="1" applyFont="1" applyBorder="1"/>
    <xf numFmtId="9" fontId="13" fillId="0" borderId="0" xfId="3" applyNumberFormat="1" applyFont="1" applyBorder="1" applyAlignment="1">
      <alignment horizontal="left"/>
    </xf>
    <xf numFmtId="0" fontId="12" fillId="0" borderId="0" xfId="3" applyFont="1" applyBorder="1" applyAlignment="1">
      <alignment horizontal="right"/>
    </xf>
    <xf numFmtId="4" fontId="12" fillId="6" borderId="1" xfId="3" applyNumberFormat="1" applyFont="1" applyFill="1" applyBorder="1" applyAlignment="1">
      <alignment horizontal="left" vertical="top"/>
    </xf>
    <xf numFmtId="0" fontId="12" fillId="6" borderId="1" xfId="3" applyFont="1" applyFill="1" applyBorder="1" applyAlignment="1">
      <alignment horizontal="left" vertical="top" wrapText="1"/>
    </xf>
    <xf numFmtId="2" fontId="14" fillId="6" borderId="1" xfId="3" applyNumberFormat="1" applyFont="1" applyFill="1" applyBorder="1" applyAlignment="1">
      <alignment horizontal="center" vertical="center"/>
    </xf>
    <xf numFmtId="4" fontId="14" fillId="0" borderId="0" xfId="3" applyNumberFormat="1" applyFont="1"/>
    <xf numFmtId="169" fontId="12" fillId="6" borderId="1" xfId="3" applyNumberFormat="1" applyFont="1" applyFill="1" applyBorder="1" applyAlignment="1">
      <alignment horizontal="left" vertical="center"/>
    </xf>
    <xf numFmtId="168" fontId="12" fillId="0" borderId="0" xfId="3" applyNumberFormat="1" applyFont="1"/>
    <xf numFmtId="169" fontId="14" fillId="6" borderId="1" xfId="3" applyNumberFormat="1" applyFont="1" applyFill="1" applyBorder="1" applyAlignment="1">
      <alignment vertical="center"/>
    </xf>
    <xf numFmtId="0" fontId="13" fillId="7" borderId="1" xfId="3" applyFont="1" applyFill="1" applyBorder="1" applyAlignment="1">
      <alignment horizontal="left" wrapText="1"/>
    </xf>
    <xf numFmtId="4" fontId="13" fillId="7" borderId="1" xfId="3" applyNumberFormat="1" applyFont="1" applyFill="1" applyBorder="1" applyAlignment="1">
      <alignment horizontal="left" vertical="center"/>
    </xf>
    <xf numFmtId="168" fontId="13" fillId="7" borderId="1" xfId="3" applyNumberFormat="1" applyFont="1" applyFill="1" applyBorder="1"/>
    <xf numFmtId="2" fontId="14" fillId="7" borderId="1" xfId="3" applyNumberFormat="1" applyFont="1" applyFill="1" applyBorder="1" applyAlignment="1">
      <alignment horizontal="center" vertical="center"/>
    </xf>
    <xf numFmtId="0" fontId="20" fillId="0" borderId="0" xfId="0" applyFont="1" applyAlignment="1">
      <alignment wrapText="1"/>
    </xf>
    <xf numFmtId="0" fontId="12" fillId="6" borderId="1" xfId="3" applyFont="1" applyFill="1" applyBorder="1" applyAlignment="1">
      <alignment horizontal="left" vertical="center" wrapText="1"/>
    </xf>
    <xf numFmtId="2" fontId="7" fillId="3" borderId="1" xfId="0" applyNumberFormat="1" applyFont="1" applyFill="1" applyBorder="1" applyAlignment="1">
      <alignment horizontal="center" vertical="center" wrapText="1"/>
    </xf>
    <xf numFmtId="0" fontId="8" fillId="5" borderId="1" xfId="0" applyFont="1" applyFill="1" applyBorder="1" applyAlignment="1">
      <alignment horizontal="center" vertical="center" wrapText="1"/>
    </xf>
    <xf numFmtId="0" fontId="8" fillId="8" borderId="1" xfId="0" applyFont="1" applyFill="1" applyBorder="1" applyAlignment="1">
      <alignment horizontal="center" vertical="center" wrapText="1"/>
    </xf>
    <xf numFmtId="2" fontId="8" fillId="8" borderId="1" xfId="0" applyNumberFormat="1" applyFont="1" applyFill="1" applyBorder="1" applyAlignment="1">
      <alignment horizontal="center" vertical="center" wrapText="1"/>
    </xf>
    <xf numFmtId="2" fontId="8" fillId="0" borderId="0" xfId="0" applyNumberFormat="1" applyFont="1" applyAlignment="1">
      <alignment horizontal="center" vertical="center" wrapText="1"/>
    </xf>
    <xf numFmtId="0" fontId="0" fillId="9" borderId="1" xfId="0" applyFill="1" applyBorder="1" applyAlignment="1">
      <alignment wrapText="1"/>
    </xf>
    <xf numFmtId="0" fontId="0" fillId="9" borderId="1" xfId="0" applyFill="1" applyBorder="1"/>
    <xf numFmtId="0" fontId="0" fillId="0" borderId="7" xfId="0" applyFill="1" applyBorder="1"/>
    <xf numFmtId="0" fontId="21" fillId="2" borderId="30" xfId="2" applyAlignment="1">
      <alignment wrapText="1"/>
    </xf>
    <xf numFmtId="0" fontId="8" fillId="5" borderId="0" xfId="0" applyFont="1" applyFill="1" applyAlignment="1">
      <alignment horizontal="center" vertical="center" wrapText="1"/>
    </xf>
    <xf numFmtId="2" fontId="8" fillId="5" borderId="0" xfId="0" applyNumberFormat="1" applyFont="1" applyFill="1" applyAlignment="1">
      <alignment horizontal="center" vertical="center" wrapText="1"/>
    </xf>
    <xf numFmtId="0" fontId="8" fillId="5" borderId="2" xfId="0" applyFont="1" applyFill="1" applyBorder="1" applyAlignment="1">
      <alignment horizontal="center" vertical="center" wrapText="1"/>
    </xf>
    <xf numFmtId="1" fontId="8" fillId="5" borderId="2" xfId="0" applyNumberFormat="1" applyFont="1" applyFill="1" applyBorder="1" applyAlignment="1">
      <alignment horizontal="center" vertical="center" wrapText="1"/>
    </xf>
    <xf numFmtId="0" fontId="0" fillId="5" borderId="0" xfId="0" applyFill="1" applyAlignment="1">
      <alignment vertical="top"/>
    </xf>
    <xf numFmtId="1" fontId="8" fillId="5" borderId="1" xfId="0" applyNumberFormat="1" applyFont="1" applyFill="1" applyBorder="1" applyAlignment="1">
      <alignment horizontal="center" vertical="center" wrapText="1"/>
    </xf>
    <xf numFmtId="2" fontId="7" fillId="3" borderId="1" xfId="0" applyNumberFormat="1" applyFont="1" applyFill="1" applyBorder="1" applyAlignment="1">
      <alignment horizontal="center" vertical="center" wrapText="1"/>
    </xf>
    <xf numFmtId="0" fontId="1" fillId="0" borderId="0" xfId="0" applyFont="1" applyFill="1" applyAlignment="1">
      <alignment vertical="center"/>
    </xf>
    <xf numFmtId="0" fontId="2" fillId="0" borderId="0" xfId="0" applyFont="1" applyAlignment="1">
      <alignment vertical="center"/>
    </xf>
    <xf numFmtId="3" fontId="2" fillId="0" borderId="0" xfId="0" applyNumberFormat="1" applyFont="1" applyFill="1" applyBorder="1" applyAlignment="1">
      <alignment vertical="center"/>
    </xf>
    <xf numFmtId="14" fontId="2" fillId="0" borderId="0" xfId="0" applyNumberFormat="1" applyFont="1" applyFill="1" applyBorder="1" applyAlignment="1">
      <alignment vertical="center"/>
    </xf>
    <xf numFmtId="3" fontId="1" fillId="0" borderId="8" xfId="0" applyNumberFormat="1" applyFont="1" applyFill="1" applyBorder="1" applyAlignment="1">
      <alignment vertical="center"/>
    </xf>
    <xf numFmtId="3" fontId="1" fillId="0" borderId="1" xfId="0" applyNumberFormat="1" applyFont="1" applyFill="1" applyBorder="1" applyAlignment="1">
      <alignment horizontal="center" vertical="center"/>
    </xf>
    <xf numFmtId="3" fontId="1" fillId="0" borderId="9" xfId="0" applyNumberFormat="1" applyFont="1" applyFill="1" applyBorder="1" applyAlignment="1">
      <alignment horizontal="center" vertical="center"/>
    </xf>
    <xf numFmtId="49" fontId="2" fillId="0" borderId="10" xfId="0" applyNumberFormat="1" applyFont="1" applyFill="1" applyBorder="1" applyAlignment="1">
      <alignment horizontal="center" vertical="center"/>
    </xf>
    <xf numFmtId="0" fontId="2" fillId="0" borderId="1" xfId="0" applyFont="1" applyFill="1" applyBorder="1" applyAlignment="1">
      <alignment horizontal="center" vertical="center"/>
    </xf>
    <xf numFmtId="3" fontId="2" fillId="0" borderId="1" xfId="0" applyNumberFormat="1" applyFont="1" applyFill="1" applyBorder="1" applyAlignment="1">
      <alignment horizontal="center" vertical="center"/>
    </xf>
    <xf numFmtId="3" fontId="2" fillId="0" borderId="9" xfId="0" applyNumberFormat="1" applyFont="1" applyFill="1" applyBorder="1" applyAlignment="1">
      <alignment horizontal="center" vertical="center"/>
    </xf>
    <xf numFmtId="1" fontId="1" fillId="0" borderId="1" xfId="0" applyNumberFormat="1" applyFont="1" applyFill="1" applyBorder="1" applyAlignment="1">
      <alignment vertical="center"/>
    </xf>
    <xf numFmtId="2" fontId="1" fillId="0" borderId="1" xfId="0" applyNumberFormat="1" applyFont="1" applyFill="1" applyBorder="1" applyAlignment="1">
      <alignment vertical="center"/>
    </xf>
    <xf numFmtId="2" fontId="1" fillId="0" borderId="9" xfId="0" applyNumberFormat="1" applyFont="1" applyFill="1" applyBorder="1" applyAlignment="1">
      <alignment vertical="center"/>
    </xf>
    <xf numFmtId="1" fontId="1" fillId="0" borderId="1" xfId="0" applyNumberFormat="1" applyFont="1" applyFill="1" applyBorder="1" applyAlignment="1">
      <alignment vertical="center" wrapText="1"/>
    </xf>
    <xf numFmtId="2" fontId="2" fillId="10" borderId="1" xfId="0" applyNumberFormat="1" applyFont="1" applyFill="1" applyBorder="1" applyAlignment="1">
      <alignment vertical="center"/>
    </xf>
    <xf numFmtId="2" fontId="1" fillId="0" borderId="1" xfId="0" applyNumberFormat="1" applyFont="1" applyFill="1" applyBorder="1" applyAlignment="1" applyProtection="1">
      <alignment horizontal="left" vertical="center" wrapText="1"/>
      <protection locked="0"/>
    </xf>
    <xf numFmtId="2" fontId="2" fillId="10" borderId="9" xfId="0" applyNumberFormat="1" applyFont="1" applyFill="1" applyBorder="1" applyAlignment="1">
      <alignment vertical="center"/>
    </xf>
    <xf numFmtId="2" fontId="1" fillId="11" borderId="1" xfId="0" applyNumberFormat="1" applyFont="1" applyFill="1" applyBorder="1" applyAlignment="1" applyProtection="1">
      <alignment vertical="center"/>
      <protection locked="0"/>
    </xf>
    <xf numFmtId="2" fontId="1" fillId="11" borderId="1" xfId="0" applyNumberFormat="1" applyFont="1" applyFill="1" applyBorder="1" applyAlignment="1">
      <alignment vertical="center"/>
    </xf>
    <xf numFmtId="0" fontId="1" fillId="5" borderId="0" xfId="0" applyFont="1" applyFill="1" applyAlignment="1">
      <alignment vertical="center"/>
    </xf>
    <xf numFmtId="2" fontId="1" fillId="0" borderId="0" xfId="0" applyNumberFormat="1" applyFont="1" applyFill="1" applyAlignment="1">
      <alignment vertical="center"/>
    </xf>
    <xf numFmtId="2" fontId="1" fillId="5" borderId="1" xfId="0" applyNumberFormat="1" applyFont="1" applyFill="1" applyBorder="1" applyAlignment="1" applyProtection="1">
      <alignment vertical="center"/>
      <protection locked="0"/>
    </xf>
    <xf numFmtId="2" fontId="1" fillId="5" borderId="1" xfId="0" applyNumberFormat="1" applyFont="1" applyFill="1" applyBorder="1" applyAlignment="1">
      <alignment vertical="center"/>
    </xf>
    <xf numFmtId="2" fontId="1" fillId="5" borderId="9" xfId="0" applyNumberFormat="1" applyFont="1" applyFill="1" applyBorder="1" applyAlignment="1">
      <alignment vertical="center"/>
    </xf>
    <xf numFmtId="2" fontId="1" fillId="5" borderId="1" xfId="0" applyNumberFormat="1" applyFont="1" applyFill="1" applyBorder="1" applyAlignment="1" applyProtection="1">
      <alignment vertical="center" wrapText="1"/>
      <protection locked="0"/>
    </xf>
    <xf numFmtId="2" fontId="1" fillId="11" borderId="1" xfId="0" applyNumberFormat="1" applyFont="1" applyFill="1" applyBorder="1" applyAlignment="1" applyProtection="1">
      <alignment vertical="center" wrapText="1"/>
      <protection locked="0"/>
    </xf>
    <xf numFmtId="2" fontId="1" fillId="11" borderId="9" xfId="0" applyNumberFormat="1" applyFont="1" applyFill="1" applyBorder="1" applyAlignment="1">
      <alignment vertical="center"/>
    </xf>
    <xf numFmtId="164" fontId="1" fillId="0" borderId="0" xfId="0" applyNumberFormat="1" applyFont="1" applyFill="1" applyAlignment="1">
      <alignment vertical="center"/>
    </xf>
    <xf numFmtId="2" fontId="1" fillId="5" borderId="0" xfId="0" applyNumberFormat="1" applyFont="1" applyFill="1" applyAlignment="1">
      <alignment vertical="center"/>
    </xf>
    <xf numFmtId="164" fontId="1" fillId="5" borderId="0" xfId="0" applyNumberFormat="1" applyFont="1" applyFill="1" applyAlignment="1">
      <alignment vertical="center"/>
    </xf>
    <xf numFmtId="4" fontId="1" fillId="0" borderId="0" xfId="0" applyNumberFormat="1" applyFont="1" applyFill="1" applyAlignment="1">
      <alignment vertical="center"/>
    </xf>
    <xf numFmtId="166" fontId="1" fillId="0" borderId="0" xfId="0" applyNumberFormat="1" applyFont="1" applyFill="1" applyAlignment="1">
      <alignment vertical="center"/>
    </xf>
    <xf numFmtId="2" fontId="1" fillId="5" borderId="0" xfId="0" applyNumberFormat="1" applyFont="1" applyFill="1" applyAlignment="1">
      <alignment vertical="center" wrapText="1"/>
    </xf>
    <xf numFmtId="2" fontId="2" fillId="5" borderId="1" xfId="0" applyNumberFormat="1" applyFont="1" applyFill="1" applyBorder="1" applyAlignment="1">
      <alignment vertical="center"/>
    </xf>
    <xf numFmtId="2" fontId="2" fillId="5" borderId="9" xfId="0" applyNumberFormat="1" applyFont="1" applyFill="1" applyBorder="1" applyAlignment="1">
      <alignment vertical="center"/>
    </xf>
    <xf numFmtId="2" fontId="1" fillId="12" borderId="0" xfId="0" applyNumberFormat="1" applyFont="1" applyFill="1" applyAlignment="1">
      <alignment vertical="center"/>
    </xf>
    <xf numFmtId="2" fontId="2" fillId="13" borderId="1" xfId="0" applyNumberFormat="1" applyFont="1" applyFill="1" applyBorder="1" applyAlignment="1">
      <alignment vertical="center"/>
    </xf>
    <xf numFmtId="166" fontId="23" fillId="0" borderId="1" xfId="0" applyNumberFormat="1" applyFont="1" applyFill="1" applyBorder="1" applyAlignment="1">
      <alignment vertical="center"/>
    </xf>
    <xf numFmtId="166" fontId="23" fillId="0" borderId="9" xfId="0" applyNumberFormat="1" applyFont="1" applyFill="1" applyBorder="1" applyAlignment="1">
      <alignment vertical="center"/>
    </xf>
    <xf numFmtId="49" fontId="1" fillId="11" borderId="10" xfId="0" applyNumberFormat="1" applyFont="1" applyFill="1" applyBorder="1" applyAlignment="1" applyProtection="1">
      <alignment horizontal="left" vertical="center"/>
      <protection locked="0"/>
    </xf>
    <xf numFmtId="49" fontId="1" fillId="0" borderId="0" xfId="0" applyNumberFormat="1" applyFont="1" applyFill="1" applyAlignment="1">
      <alignment vertical="center"/>
    </xf>
    <xf numFmtId="49" fontId="1" fillId="0" borderId="10" xfId="0" applyNumberFormat="1" applyFont="1" applyFill="1" applyBorder="1" applyAlignment="1">
      <alignment vertical="center"/>
    </xf>
    <xf numFmtId="49" fontId="1" fillId="0" borderId="10" xfId="0" applyNumberFormat="1" applyFont="1" applyFill="1" applyBorder="1" applyAlignment="1" applyProtection="1">
      <alignment vertical="center"/>
      <protection locked="0"/>
    </xf>
    <xf numFmtId="49" fontId="1" fillId="11" borderId="10" xfId="0" applyNumberFormat="1" applyFont="1" applyFill="1" applyBorder="1" applyAlignment="1" applyProtection="1">
      <alignment vertical="center"/>
      <protection locked="0"/>
    </xf>
    <xf numFmtId="49" fontId="1" fillId="5" borderId="10" xfId="0" applyNumberFormat="1" applyFont="1" applyFill="1" applyBorder="1" applyAlignment="1" applyProtection="1">
      <alignment vertical="center"/>
      <protection locked="0"/>
    </xf>
    <xf numFmtId="2" fontId="2" fillId="10" borderId="10" xfId="0" applyNumberFormat="1" applyFont="1" applyFill="1" applyBorder="1" applyAlignment="1" applyProtection="1">
      <alignment horizontal="center" vertical="center" wrapText="1"/>
      <protection locked="0"/>
    </xf>
    <xf numFmtId="2" fontId="2" fillId="10" borderId="1" xfId="0" applyNumberFormat="1" applyFont="1" applyFill="1" applyBorder="1" applyAlignment="1" applyProtection="1">
      <alignment horizontal="center" vertical="center"/>
      <protection locked="0"/>
    </xf>
    <xf numFmtId="0" fontId="2" fillId="0" borderId="18" xfId="0" applyFont="1" applyFill="1" applyBorder="1" applyAlignment="1">
      <alignment horizontal="center" vertical="center"/>
    </xf>
    <xf numFmtId="0" fontId="1" fillId="0" borderId="19" xfId="0" applyFont="1" applyFill="1" applyBorder="1" applyAlignment="1">
      <alignment horizontal="center" vertical="center"/>
    </xf>
    <xf numFmtId="0" fontId="1" fillId="0" borderId="20" xfId="0" applyFont="1" applyFill="1" applyBorder="1" applyAlignment="1">
      <alignment horizontal="center" vertical="center"/>
    </xf>
    <xf numFmtId="0" fontId="2" fillId="0" borderId="21" xfId="0" applyFont="1" applyFill="1" applyBorder="1" applyAlignment="1">
      <alignment horizontal="right" vertical="center"/>
    </xf>
    <xf numFmtId="0" fontId="1" fillId="0" borderId="11" xfId="0" applyFont="1" applyFill="1" applyBorder="1" applyAlignment="1">
      <alignment vertical="center"/>
    </xf>
    <xf numFmtId="49" fontId="1" fillId="0" borderId="22" xfId="0" applyNumberFormat="1" applyFont="1" applyFill="1" applyBorder="1" applyAlignment="1">
      <alignment horizontal="center" vertical="center" wrapText="1"/>
    </xf>
    <xf numFmtId="49" fontId="1" fillId="0" borderId="10" xfId="0" applyNumberFormat="1" applyFont="1" applyFill="1" applyBorder="1" applyAlignment="1">
      <alignment horizontal="center" vertical="center" wrapText="1"/>
    </xf>
    <xf numFmtId="0" fontId="1" fillId="0" borderId="23" xfId="0" applyFont="1" applyFill="1" applyBorder="1" applyAlignment="1">
      <alignment horizontal="center" vertical="center" wrapText="1"/>
    </xf>
    <xf numFmtId="0" fontId="1" fillId="0" borderId="1" xfId="0" applyFont="1" applyFill="1" applyBorder="1" applyAlignment="1">
      <alignment horizontal="center" vertical="center" wrapText="1"/>
    </xf>
    <xf numFmtId="3" fontId="1" fillId="0" borderId="23" xfId="0" applyNumberFormat="1" applyFont="1" applyFill="1" applyBorder="1" applyAlignment="1">
      <alignment horizontal="center" vertical="center" wrapText="1"/>
    </xf>
    <xf numFmtId="3" fontId="1" fillId="0" borderId="24" xfId="0" applyNumberFormat="1"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9"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9" xfId="0" applyFont="1" applyFill="1" applyBorder="1" applyAlignment="1">
      <alignment horizontal="center" vertical="center" wrapText="1"/>
    </xf>
    <xf numFmtId="1" fontId="2" fillId="10" borderId="10" xfId="0" applyNumberFormat="1" applyFont="1" applyFill="1" applyBorder="1" applyAlignment="1">
      <alignment horizontal="center" vertical="center" wrapText="1"/>
    </xf>
    <xf numFmtId="1" fontId="2" fillId="10" borderId="1" xfId="0" applyNumberFormat="1" applyFont="1" applyFill="1" applyBorder="1" applyAlignment="1">
      <alignment horizontal="center" vertical="center"/>
    </xf>
    <xf numFmtId="1" fontId="2" fillId="0" borderId="10" xfId="0" applyNumberFormat="1" applyFont="1" applyFill="1" applyBorder="1" applyAlignment="1">
      <alignment horizontal="center" vertical="center" wrapText="1"/>
    </xf>
    <xf numFmtId="1" fontId="2" fillId="0" borderId="1" xfId="0" applyNumberFormat="1" applyFont="1" applyFill="1" applyBorder="1" applyAlignment="1">
      <alignment horizontal="center" vertical="center" wrapText="1"/>
    </xf>
    <xf numFmtId="1" fontId="2" fillId="0" borderId="9" xfId="0" applyNumberFormat="1" applyFont="1" applyFill="1" applyBorder="1" applyAlignment="1">
      <alignment horizontal="center" vertical="center" wrapText="1"/>
    </xf>
    <xf numFmtId="1" fontId="2" fillId="0" borderId="12" xfId="0" applyNumberFormat="1" applyFont="1" applyFill="1" applyBorder="1" applyAlignment="1">
      <alignment horizontal="center" vertical="center" wrapText="1"/>
    </xf>
    <xf numFmtId="1" fontId="1" fillId="0" borderId="13" xfId="0" applyNumberFormat="1" applyFont="1" applyFill="1" applyBorder="1" applyAlignment="1">
      <alignment horizontal="center" vertical="center" wrapText="1"/>
    </xf>
    <xf numFmtId="1" fontId="1" fillId="0" borderId="14" xfId="0" applyNumberFormat="1" applyFont="1" applyFill="1" applyBorder="1" applyAlignment="1">
      <alignment horizontal="center" vertical="center" wrapText="1"/>
    </xf>
    <xf numFmtId="2" fontId="2" fillId="10" borderId="1" xfId="0" applyNumberFormat="1" applyFont="1" applyFill="1" applyBorder="1" applyAlignment="1" applyProtection="1">
      <alignment horizontal="center" vertical="center" wrapText="1"/>
      <protection locked="0"/>
    </xf>
    <xf numFmtId="2" fontId="3" fillId="0" borderId="12" xfId="0" applyNumberFormat="1" applyFont="1" applyFill="1" applyBorder="1" applyAlignment="1" applyProtection="1">
      <alignment horizontal="center" vertical="center" wrapText="1"/>
      <protection locked="0"/>
    </xf>
    <xf numFmtId="2" fontId="3" fillId="0" borderId="13" xfId="0" applyNumberFormat="1" applyFont="1" applyFill="1" applyBorder="1" applyAlignment="1" applyProtection="1">
      <alignment horizontal="center" vertical="center" wrapText="1"/>
      <protection locked="0"/>
    </xf>
    <xf numFmtId="2" fontId="3" fillId="0" borderId="14" xfId="0" applyNumberFormat="1" applyFont="1" applyFill="1" applyBorder="1" applyAlignment="1" applyProtection="1">
      <alignment horizontal="center" vertical="center" wrapText="1"/>
      <protection locked="0"/>
    </xf>
    <xf numFmtId="2" fontId="2" fillId="10" borderId="10" xfId="0" applyNumberFormat="1" applyFont="1" applyFill="1" applyBorder="1" applyAlignment="1" applyProtection="1">
      <alignment horizontal="center" vertical="center"/>
      <protection locked="0"/>
    </xf>
    <xf numFmtId="2" fontId="3" fillId="5" borderId="12" xfId="0" applyNumberFormat="1" applyFont="1" applyFill="1" applyBorder="1" applyAlignment="1" applyProtection="1">
      <alignment horizontal="center" vertical="center" wrapText="1"/>
      <protection locked="0"/>
    </xf>
    <xf numFmtId="2" fontId="3" fillId="5" borderId="13" xfId="0" applyNumberFormat="1" applyFont="1" applyFill="1" applyBorder="1" applyAlignment="1" applyProtection="1">
      <alignment horizontal="center" vertical="center" wrapText="1"/>
      <protection locked="0"/>
    </xf>
    <xf numFmtId="2" fontId="3" fillId="5" borderId="14" xfId="0" applyNumberFormat="1" applyFont="1" applyFill="1" applyBorder="1" applyAlignment="1" applyProtection="1">
      <alignment horizontal="center" vertical="center" wrapText="1"/>
      <protection locked="0"/>
    </xf>
    <xf numFmtId="2" fontId="2" fillId="5" borderId="10" xfId="0" applyNumberFormat="1" applyFont="1" applyFill="1" applyBorder="1" applyAlignment="1" applyProtection="1">
      <alignment horizontal="center" vertical="center"/>
      <protection locked="0"/>
    </xf>
    <xf numFmtId="2" fontId="2" fillId="5" borderId="1" xfId="0" applyNumberFormat="1" applyFont="1" applyFill="1" applyBorder="1" applyAlignment="1" applyProtection="1">
      <alignment horizontal="center" vertical="center"/>
      <protection locked="0"/>
    </xf>
    <xf numFmtId="2" fontId="2" fillId="13" borderId="12" xfId="0" applyNumberFormat="1" applyFont="1" applyFill="1" applyBorder="1" applyAlignment="1" applyProtection="1">
      <alignment horizontal="center" vertical="center" wrapText="1"/>
      <protection locked="0"/>
    </xf>
    <xf numFmtId="2" fontId="2" fillId="13" borderId="15" xfId="0" applyNumberFormat="1" applyFont="1" applyFill="1" applyBorder="1" applyAlignment="1" applyProtection="1">
      <alignment horizontal="center" vertical="center" wrapText="1"/>
      <protection locked="0"/>
    </xf>
    <xf numFmtId="166" fontId="24" fillId="0" borderId="10" xfId="0" applyNumberFormat="1" applyFont="1" applyFill="1" applyBorder="1" applyAlignment="1" applyProtection="1">
      <alignment horizontal="center" vertical="center" wrapText="1"/>
      <protection locked="0"/>
    </xf>
    <xf numFmtId="166" fontId="24" fillId="0" borderId="1" xfId="0" applyNumberFormat="1" applyFont="1" applyFill="1" applyBorder="1" applyAlignment="1" applyProtection="1">
      <alignment horizontal="center" vertical="center" wrapText="1"/>
      <protection locked="0"/>
    </xf>
    <xf numFmtId="166" fontId="24" fillId="0" borderId="16" xfId="0" applyNumberFormat="1" applyFont="1" applyFill="1" applyBorder="1" applyAlignment="1" applyProtection="1">
      <alignment horizontal="center" vertical="center" wrapText="1"/>
      <protection locked="0"/>
    </xf>
    <xf numFmtId="166" fontId="24" fillId="0" borderId="17" xfId="0" applyNumberFormat="1" applyFont="1" applyFill="1" applyBorder="1" applyAlignment="1" applyProtection="1">
      <alignment horizontal="center" vertical="center" wrapText="1"/>
      <protection locked="0"/>
    </xf>
    <xf numFmtId="166" fontId="2" fillId="0" borderId="10" xfId="0" applyNumberFormat="1" applyFont="1" applyFill="1" applyBorder="1" applyAlignment="1" applyProtection="1">
      <alignment horizontal="center" vertical="center" wrapText="1"/>
      <protection locked="0"/>
    </xf>
    <xf numFmtId="166" fontId="2" fillId="0" borderId="1" xfId="0" applyNumberFormat="1" applyFont="1" applyFill="1" applyBorder="1" applyAlignment="1" applyProtection="1">
      <alignment horizontal="center" vertical="center" wrapText="1"/>
      <protection locked="0"/>
    </xf>
    <xf numFmtId="166" fontId="2" fillId="0" borderId="9" xfId="0" applyNumberFormat="1" applyFont="1" applyFill="1" applyBorder="1" applyAlignment="1" applyProtection="1">
      <alignment horizontal="center" vertical="center" wrapText="1"/>
      <protection locked="0"/>
    </xf>
    <xf numFmtId="166" fontId="23" fillId="0" borderId="10" xfId="0" applyNumberFormat="1" applyFont="1" applyFill="1" applyBorder="1" applyAlignment="1" applyProtection="1">
      <alignment horizontal="center" vertical="center" wrapText="1"/>
      <protection locked="0"/>
    </xf>
    <xf numFmtId="166" fontId="23" fillId="0" borderId="1" xfId="0" applyNumberFormat="1" applyFont="1" applyFill="1" applyBorder="1" applyAlignment="1" applyProtection="1">
      <alignment horizontal="center" vertical="center" wrapText="1"/>
      <protection locked="0"/>
    </xf>
    <xf numFmtId="166" fontId="24" fillId="0" borderId="9" xfId="0" applyNumberFormat="1" applyFont="1" applyFill="1" applyBorder="1" applyAlignment="1" applyProtection="1">
      <alignment horizontal="center" vertical="center" wrapText="1"/>
      <protection locked="0"/>
    </xf>
    <xf numFmtId="49" fontId="1" fillId="0" borderId="0" xfId="0" applyNumberFormat="1" applyFont="1" applyFill="1" applyAlignment="1">
      <alignment horizontal="right" vertical="center"/>
    </xf>
    <xf numFmtId="3" fontId="2" fillId="0" borderId="1" xfId="0" applyNumberFormat="1" applyFont="1" applyFill="1" applyBorder="1" applyAlignment="1">
      <alignment horizontal="center" vertical="center" wrapText="1"/>
    </xf>
    <xf numFmtId="3" fontId="2" fillId="0" borderId="9" xfId="0" applyNumberFormat="1" applyFont="1" applyFill="1" applyBorder="1" applyAlignment="1">
      <alignment horizontal="center" vertical="center" wrapText="1"/>
    </xf>
    <xf numFmtId="0" fontId="2" fillId="9" borderId="25" xfId="0" applyFont="1" applyFill="1" applyBorder="1" applyAlignment="1">
      <alignment horizontal="center" vertical="center" wrapText="1"/>
    </xf>
    <xf numFmtId="0" fontId="2" fillId="9" borderId="0" xfId="0" applyFont="1" applyFill="1" applyBorder="1" applyAlignment="1">
      <alignment horizontal="center" vertical="center" wrapText="1"/>
    </xf>
    <xf numFmtId="0" fontId="2" fillId="9" borderId="8" xfId="0" applyFont="1" applyFill="1" applyBorder="1" applyAlignment="1">
      <alignment horizontal="center" vertical="center" wrapText="1"/>
    </xf>
    <xf numFmtId="0" fontId="1" fillId="0" borderId="25" xfId="0" applyFont="1" applyFill="1" applyBorder="1" applyAlignment="1">
      <alignment horizontal="center" vertical="center"/>
    </xf>
    <xf numFmtId="0" fontId="1" fillId="0" borderId="0" xfId="0" applyFont="1" applyFill="1" applyBorder="1" applyAlignment="1">
      <alignment horizontal="center" vertical="center"/>
    </xf>
    <xf numFmtId="0" fontId="1" fillId="0" borderId="8" xfId="0" applyFont="1" applyFill="1" applyBorder="1" applyAlignment="1">
      <alignment horizontal="center" vertical="center"/>
    </xf>
    <xf numFmtId="0" fontId="1" fillId="0" borderId="0" xfId="0" applyFont="1" applyAlignment="1">
      <alignment vertical="center"/>
    </xf>
    <xf numFmtId="0" fontId="1" fillId="0" borderId="11" xfId="0" applyFont="1" applyBorder="1" applyAlignment="1">
      <alignment vertical="center"/>
    </xf>
    <xf numFmtId="0" fontId="7" fillId="0" borderId="1" xfId="0" applyFont="1" applyBorder="1" applyAlignment="1">
      <alignment horizontal="center" vertical="center" wrapText="1"/>
    </xf>
    <xf numFmtId="0" fontId="7" fillId="0" borderId="0" xfId="0" applyFont="1" applyAlignment="1">
      <alignment horizontal="center" vertical="center" wrapText="1"/>
    </xf>
    <xf numFmtId="0" fontId="6" fillId="3" borderId="25" xfId="0" applyFont="1" applyFill="1" applyBorder="1" applyAlignment="1">
      <alignment horizontal="center" vertical="center" wrapText="1"/>
    </xf>
    <xf numFmtId="0" fontId="6" fillId="3" borderId="0" xfId="0" applyFont="1" applyFill="1" applyBorder="1" applyAlignment="1">
      <alignment horizontal="center" vertical="center" wrapText="1"/>
    </xf>
    <xf numFmtId="0" fontId="6" fillId="3" borderId="8" xfId="0" applyFont="1" applyFill="1" applyBorder="1" applyAlignment="1">
      <alignment horizontal="center" vertical="center" wrapText="1"/>
    </xf>
    <xf numFmtId="0" fontId="7" fillId="0" borderId="4" xfId="0" applyFont="1" applyBorder="1" applyAlignment="1">
      <alignment horizontal="center" vertical="center" wrapText="1"/>
    </xf>
    <xf numFmtId="166" fontId="7" fillId="0" borderId="1" xfId="0" applyNumberFormat="1" applyFont="1" applyBorder="1" applyAlignment="1">
      <alignment horizontal="center" vertical="center" wrapText="1"/>
    </xf>
    <xf numFmtId="2" fontId="7" fillId="0" borderId="1" xfId="0" applyNumberFormat="1" applyFont="1" applyBorder="1" applyAlignment="1">
      <alignment horizontal="center" vertical="center" wrapText="1"/>
    </xf>
    <xf numFmtId="0" fontId="7" fillId="4" borderId="1" xfId="0" applyFont="1" applyFill="1" applyBorder="1" applyAlignment="1">
      <alignment horizontal="center" vertical="center" wrapText="1"/>
    </xf>
    <xf numFmtId="2" fontId="7" fillId="3" borderId="1" xfId="0" applyNumberFormat="1" applyFont="1" applyFill="1" applyBorder="1" applyAlignment="1">
      <alignment horizontal="center" vertical="center" wrapText="1"/>
    </xf>
    <xf numFmtId="2" fontId="2" fillId="4" borderId="5" xfId="0" applyNumberFormat="1" applyFont="1" applyFill="1" applyBorder="1" applyAlignment="1">
      <alignment horizontal="center" vertical="center" wrapText="1"/>
    </xf>
    <xf numFmtId="2" fontId="2" fillId="4" borderId="13" xfId="0" applyNumberFormat="1" applyFont="1" applyFill="1" applyBorder="1" applyAlignment="1">
      <alignment horizontal="center" vertical="center" wrapText="1"/>
    </xf>
    <xf numFmtId="2" fontId="2" fillId="4" borderId="15" xfId="0" applyNumberFormat="1" applyFont="1" applyFill="1" applyBorder="1" applyAlignment="1">
      <alignment horizontal="center" vertical="center" wrapText="1"/>
    </xf>
    <xf numFmtId="166" fontId="7" fillId="0" borderId="5" xfId="0" applyNumberFormat="1" applyFont="1" applyBorder="1" applyAlignment="1">
      <alignment horizontal="center" vertical="center" wrapText="1"/>
    </xf>
    <xf numFmtId="166" fontId="7" fillId="0" borderId="15" xfId="0" applyNumberFormat="1" applyFont="1" applyBorder="1" applyAlignment="1">
      <alignment horizontal="center" vertical="center" wrapText="1"/>
    </xf>
    <xf numFmtId="166" fontId="8" fillId="0" borderId="0" xfId="0" applyNumberFormat="1" applyFont="1" applyAlignment="1">
      <alignment horizontal="center" vertical="center" wrapText="1"/>
    </xf>
    <xf numFmtId="0" fontId="7" fillId="0" borderId="0" xfId="0" applyFont="1" applyFill="1" applyAlignment="1">
      <alignment horizontal="center" vertical="center" wrapText="1"/>
    </xf>
    <xf numFmtId="0" fontId="7" fillId="0" borderId="5"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15" xfId="0" applyFont="1" applyBorder="1" applyAlignment="1">
      <alignment horizontal="center" vertical="center" wrapText="1"/>
    </xf>
    <xf numFmtId="0" fontId="10" fillId="0" borderId="1" xfId="0" applyFont="1" applyBorder="1" applyAlignment="1">
      <alignment horizontal="center" vertical="center" wrapText="1"/>
    </xf>
    <xf numFmtId="166" fontId="10" fillId="0" borderId="1" xfId="0" applyNumberFormat="1" applyFont="1" applyBorder="1" applyAlignment="1">
      <alignment horizontal="center" vertical="center" wrapText="1"/>
    </xf>
    <xf numFmtId="0" fontId="0" fillId="0" borderId="0" xfId="0" applyAlignment="1">
      <alignment horizontal="center" vertical="center" wrapText="1"/>
    </xf>
    <xf numFmtId="0" fontId="10" fillId="0" borderId="0" xfId="0" applyFont="1" applyAlignment="1">
      <alignment horizontal="center" vertical="center" wrapText="1"/>
    </xf>
    <xf numFmtId="0" fontId="10" fillId="0" borderId="4" xfId="0" applyFont="1" applyBorder="1" applyAlignment="1">
      <alignment horizontal="center" vertical="center" wrapText="1"/>
    </xf>
    <xf numFmtId="2" fontId="14" fillId="0" borderId="1" xfId="3" applyNumberFormat="1" applyFont="1" applyFill="1" applyBorder="1" applyAlignment="1">
      <alignment horizontal="center" vertical="center"/>
    </xf>
    <xf numFmtId="4" fontId="14" fillId="0" borderId="26" xfId="3" applyNumberFormat="1" applyFont="1" applyBorder="1" applyAlignment="1">
      <alignment horizontal="center" vertical="center"/>
    </xf>
    <xf numFmtId="0" fontId="14" fillId="0" borderId="7" xfId="3" applyFont="1" applyBorder="1" applyAlignment="1">
      <alignment horizontal="center" vertical="center"/>
    </xf>
    <xf numFmtId="0" fontId="14" fillId="0" borderId="2" xfId="3" applyFont="1" applyBorder="1" applyAlignment="1">
      <alignment horizontal="center" vertical="center"/>
    </xf>
    <xf numFmtId="4" fontId="18" fillId="0" borderId="5" xfId="0" applyNumberFormat="1" applyFont="1" applyBorder="1" applyAlignment="1" applyProtection="1">
      <alignment horizontal="center" vertical="center"/>
      <protection hidden="1"/>
    </xf>
    <xf numFmtId="4" fontId="18" fillId="0" borderId="15" xfId="0" applyNumberFormat="1" applyFont="1" applyBorder="1" applyAlignment="1" applyProtection="1">
      <alignment horizontal="center" vertical="center"/>
      <protection hidden="1"/>
    </xf>
    <xf numFmtId="4" fontId="12" fillId="7" borderId="1" xfId="0" applyNumberFormat="1" applyFont="1" applyFill="1" applyBorder="1" applyAlignment="1">
      <alignment horizontal="center" vertical="center" wrapText="1"/>
    </xf>
    <xf numFmtId="0" fontId="19" fillId="0" borderId="26" xfId="0" applyFont="1" applyBorder="1" applyAlignment="1">
      <alignment horizontal="right" vertical="center" wrapText="1"/>
    </xf>
    <xf numFmtId="0" fontId="19" fillId="0" borderId="2" xfId="0" applyFont="1" applyBorder="1" applyAlignment="1">
      <alignment horizontal="right" vertical="center" wrapText="1"/>
    </xf>
    <xf numFmtId="4" fontId="12" fillId="0" borderId="6" xfId="0" applyNumberFormat="1" applyFont="1" applyBorder="1" applyAlignment="1">
      <alignment horizontal="center" vertical="center" wrapText="1"/>
    </xf>
    <xf numFmtId="4" fontId="12" fillId="0" borderId="27" xfId="0" applyNumberFormat="1" applyFont="1" applyBorder="1" applyAlignment="1">
      <alignment horizontal="center" vertical="center" wrapText="1"/>
    </xf>
    <xf numFmtId="4" fontId="12" fillId="0" borderId="28" xfId="0" applyNumberFormat="1" applyFont="1" applyBorder="1" applyAlignment="1">
      <alignment horizontal="center" vertical="center" wrapText="1"/>
    </xf>
    <xf numFmtId="4" fontId="12" fillId="0" borderId="29" xfId="0" applyNumberFormat="1" applyFont="1" applyBorder="1" applyAlignment="1">
      <alignment horizontal="center" vertical="center" wrapText="1"/>
    </xf>
    <xf numFmtId="4" fontId="16" fillId="0" borderId="26" xfId="0" applyNumberFormat="1" applyFont="1" applyBorder="1" applyAlignment="1" applyProtection="1">
      <alignment vertical="center"/>
      <protection hidden="1"/>
    </xf>
    <xf numFmtId="4" fontId="16" fillId="0" borderId="2" xfId="0" applyNumberFormat="1" applyFont="1" applyBorder="1" applyAlignment="1" applyProtection="1">
      <alignment vertical="center"/>
      <protection hidden="1"/>
    </xf>
    <xf numFmtId="4" fontId="16" fillId="0" borderId="6" xfId="0" applyNumberFormat="1" applyFont="1" applyBorder="1" applyAlignment="1" applyProtection="1">
      <alignment vertical="center"/>
      <protection hidden="1"/>
    </xf>
    <xf numFmtId="4" fontId="16" fillId="0" borderId="28" xfId="0" applyNumberFormat="1" applyFont="1" applyBorder="1" applyAlignment="1" applyProtection="1">
      <alignment vertical="center"/>
      <protection hidden="1"/>
    </xf>
    <xf numFmtId="2" fontId="12" fillId="6" borderId="5" xfId="3" applyNumberFormat="1" applyFont="1" applyFill="1" applyBorder="1" applyAlignment="1">
      <alignment horizontal="center"/>
    </xf>
    <xf numFmtId="2" fontId="12" fillId="6" borderId="15" xfId="3" applyNumberFormat="1" applyFont="1" applyFill="1" applyBorder="1" applyAlignment="1">
      <alignment horizontal="center"/>
    </xf>
    <xf numFmtId="4" fontId="18" fillId="0" borderId="1" xfId="0" applyNumberFormat="1" applyFont="1" applyBorder="1" applyAlignment="1" applyProtection="1">
      <alignment horizontal="center" vertical="center"/>
      <protection hidden="1"/>
    </xf>
  </cellXfs>
  <cellStyles count="4">
    <cellStyle name="Comma 2" xfId="1"/>
    <cellStyle name="Normal" xfId="0" builtinId="0"/>
    <cellStyle name="Normal 3" xfId="3"/>
    <cellStyle name="Output" xfId="2" builtinId="2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Users\Georgiana\Documents\Documente\Investitii\AFM%20Cresterea%20performantei%20energetice%20scoala%20Tulca\Corespondenta%20consultant\27.07.2021\DG%20tulca%20-%20conform%20ghid%20nou%20ss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viz Genral cu TVA"/>
      <sheetName val="Sheet1"/>
      <sheetName val="cap 1"/>
      <sheetName val="cap2"/>
      <sheetName val="cap3"/>
      <sheetName val="cap4 "/>
      <sheetName val="CAP4 TIP I"/>
      <sheetName val="CAP4 TIP II"/>
      <sheetName val="cap5"/>
      <sheetName val="grafic"/>
      <sheetName val="chelt elig-neeligibil"/>
      <sheetName val="evaluari"/>
      <sheetName val="Sheet2"/>
    </sheetNames>
    <sheetDataSet>
      <sheetData sheetId="0">
        <row r="50">
          <cell r="C50">
            <v>1929079</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93"/>
  <sheetViews>
    <sheetView tabSelected="1" zoomScale="115" zoomScaleNormal="115" workbookViewId="0">
      <selection activeCell="A2" sqref="A2"/>
    </sheetView>
  </sheetViews>
  <sheetFormatPr defaultRowHeight="12.75" x14ac:dyDescent="0.2"/>
  <cols>
    <col min="1" max="1" width="7.28515625" style="168" customWidth="1"/>
    <col min="2" max="2" width="24.28515625" style="127" customWidth="1"/>
    <col min="3" max="6" width="13.85546875" style="127" customWidth="1"/>
    <col min="7" max="7" width="11.85546875" style="127" customWidth="1"/>
    <col min="8" max="8" width="7.5703125" style="127" customWidth="1"/>
    <col min="9" max="9" width="11.7109375" style="127" hidden="1" customWidth="1"/>
    <col min="10" max="10" width="8.42578125" style="127" hidden="1" customWidth="1"/>
    <col min="11" max="11" width="11.7109375" style="127" customWidth="1"/>
    <col min="12" max="12" width="11.5703125" style="127" customWidth="1"/>
    <col min="13" max="13" width="10.140625" style="127" bestFit="1" customWidth="1"/>
    <col min="14" max="14" width="9.140625" style="127"/>
    <col min="15" max="15" width="12.42578125" style="127" customWidth="1"/>
    <col min="16" max="16" width="9.5703125" style="127" bestFit="1" customWidth="1"/>
    <col min="17" max="17" width="12.42578125" style="127" customWidth="1"/>
    <col min="18" max="18" width="9.140625" style="127"/>
    <col min="19" max="19" width="9.5703125" style="127" bestFit="1" customWidth="1"/>
    <col min="20" max="20" width="11.7109375" style="127" customWidth="1"/>
    <col min="21" max="16384" width="9.140625" style="127"/>
  </cols>
  <sheetData>
    <row r="1" spans="1:7" x14ac:dyDescent="0.2">
      <c r="A1" s="222" t="s">
        <v>350</v>
      </c>
      <c r="B1" s="222"/>
      <c r="C1" s="222"/>
      <c r="D1" s="222"/>
      <c r="E1" s="222"/>
      <c r="F1" s="222"/>
      <c r="G1" s="222"/>
    </row>
    <row r="3" spans="1:7" x14ac:dyDescent="0.2">
      <c r="B3" s="127" t="s">
        <v>89</v>
      </c>
      <c r="C3" s="231" t="s">
        <v>291</v>
      </c>
      <c r="D3" s="231"/>
      <c r="E3" s="231"/>
      <c r="F3" s="231"/>
      <c r="G3" s="231"/>
    </row>
    <row r="4" spans="1:7" x14ac:dyDescent="0.2">
      <c r="B4" s="127" t="s">
        <v>90</v>
      </c>
      <c r="C4" s="231" t="s">
        <v>310</v>
      </c>
      <c r="D4" s="231"/>
      <c r="E4" s="231"/>
      <c r="F4" s="231"/>
      <c r="G4" s="231"/>
    </row>
    <row r="5" spans="1:7" ht="13.5" thickBot="1" x14ac:dyDescent="0.25">
      <c r="B5" s="127" t="s">
        <v>91</v>
      </c>
      <c r="C5" s="232" t="s">
        <v>292</v>
      </c>
      <c r="D5" s="232"/>
      <c r="E5" s="232"/>
      <c r="F5" s="232"/>
      <c r="G5" s="232"/>
    </row>
    <row r="6" spans="1:7" x14ac:dyDescent="0.2">
      <c r="A6" s="175" t="s">
        <v>88</v>
      </c>
      <c r="B6" s="176"/>
      <c r="C6" s="176"/>
      <c r="D6" s="176"/>
      <c r="E6" s="176"/>
      <c r="F6" s="176"/>
      <c r="G6" s="177"/>
    </row>
    <row r="7" spans="1:7" ht="13.5" customHeight="1" x14ac:dyDescent="0.2">
      <c r="A7" s="228" t="s">
        <v>92</v>
      </c>
      <c r="B7" s="229"/>
      <c r="C7" s="229"/>
      <c r="D7" s="229"/>
      <c r="E7" s="229"/>
      <c r="F7" s="229"/>
      <c r="G7" s="230"/>
    </row>
    <row r="8" spans="1:7" ht="14.25" customHeight="1" x14ac:dyDescent="0.2">
      <c r="A8" s="228" t="s">
        <v>312</v>
      </c>
      <c r="B8" s="229"/>
      <c r="C8" s="229"/>
      <c r="D8" s="229"/>
      <c r="E8" s="229"/>
      <c r="F8" s="229"/>
      <c r="G8" s="230"/>
    </row>
    <row r="9" spans="1:7" ht="30" customHeight="1" x14ac:dyDescent="0.2">
      <c r="A9" s="225" t="s">
        <v>311</v>
      </c>
      <c r="B9" s="226"/>
      <c r="C9" s="226"/>
      <c r="D9" s="226"/>
      <c r="E9" s="226"/>
      <c r="F9" s="226"/>
      <c r="G9" s="227"/>
    </row>
    <row r="10" spans="1:7" ht="13.5" thickBot="1" x14ac:dyDescent="0.25">
      <c r="A10" s="178" t="s">
        <v>300</v>
      </c>
      <c r="B10" s="179"/>
      <c r="C10" s="128">
        <v>4.9218999999999999</v>
      </c>
      <c r="D10" s="129" t="s">
        <v>34</v>
      </c>
      <c r="E10" s="129"/>
      <c r="F10" s="130"/>
      <c r="G10" s="131"/>
    </row>
    <row r="11" spans="1:7" x14ac:dyDescent="0.2">
      <c r="A11" s="180" t="s">
        <v>0</v>
      </c>
      <c r="B11" s="182" t="s">
        <v>1</v>
      </c>
      <c r="C11" s="184" t="s">
        <v>35</v>
      </c>
      <c r="D11" s="184"/>
      <c r="E11" s="184"/>
      <c r="F11" s="184"/>
      <c r="G11" s="185"/>
    </row>
    <row r="12" spans="1:7" ht="36.75" customHeight="1" x14ac:dyDescent="0.2">
      <c r="A12" s="181"/>
      <c r="B12" s="183"/>
      <c r="C12" s="223" t="s">
        <v>313</v>
      </c>
      <c r="D12" s="223"/>
      <c r="E12" s="1" t="s">
        <v>41</v>
      </c>
      <c r="F12" s="223" t="s">
        <v>42</v>
      </c>
      <c r="G12" s="224"/>
    </row>
    <row r="13" spans="1:7" x14ac:dyDescent="0.2">
      <c r="A13" s="181"/>
      <c r="B13" s="183"/>
      <c r="C13" s="132" t="s">
        <v>93</v>
      </c>
      <c r="D13" s="132" t="s">
        <v>94</v>
      </c>
      <c r="E13" s="132" t="s">
        <v>93</v>
      </c>
      <c r="F13" s="132" t="s">
        <v>93</v>
      </c>
      <c r="G13" s="133" t="s">
        <v>94</v>
      </c>
    </row>
    <row r="14" spans="1:7" x14ac:dyDescent="0.2">
      <c r="A14" s="134">
        <v>1</v>
      </c>
      <c r="B14" s="135">
        <v>2</v>
      </c>
      <c r="C14" s="136">
        <v>3</v>
      </c>
      <c r="D14" s="136">
        <v>4</v>
      </c>
      <c r="E14" s="136">
        <v>5</v>
      </c>
      <c r="F14" s="136">
        <v>6</v>
      </c>
      <c r="G14" s="137">
        <v>7</v>
      </c>
    </row>
    <row r="15" spans="1:7" ht="12" customHeight="1" x14ac:dyDescent="0.2">
      <c r="A15" s="186" t="s">
        <v>2</v>
      </c>
      <c r="B15" s="187"/>
      <c r="C15" s="187"/>
      <c r="D15" s="187"/>
      <c r="E15" s="187"/>
      <c r="F15" s="187"/>
      <c r="G15" s="188"/>
    </row>
    <row r="16" spans="1:7" ht="12" customHeight="1" x14ac:dyDescent="0.2">
      <c r="A16" s="189" t="s">
        <v>22</v>
      </c>
      <c r="B16" s="190"/>
      <c r="C16" s="190"/>
      <c r="D16" s="190"/>
      <c r="E16" s="190"/>
      <c r="F16" s="190"/>
      <c r="G16" s="191"/>
    </row>
    <row r="17" spans="1:15" ht="12" customHeight="1" x14ac:dyDescent="0.2">
      <c r="A17" s="169" t="s">
        <v>24</v>
      </c>
      <c r="B17" s="138" t="s">
        <v>3</v>
      </c>
      <c r="C17" s="139">
        <v>0</v>
      </c>
      <c r="D17" s="139">
        <f>C17/$C$10</f>
        <v>0</v>
      </c>
      <c r="E17" s="139">
        <f>C17*0.19</f>
        <v>0</v>
      </c>
      <c r="F17" s="139">
        <f>C17+E17</f>
        <v>0</v>
      </c>
      <c r="G17" s="140">
        <f>D17*1.19</f>
        <v>0</v>
      </c>
    </row>
    <row r="18" spans="1:15" ht="12" customHeight="1" x14ac:dyDescent="0.2">
      <c r="A18" s="169" t="s">
        <v>25</v>
      </c>
      <c r="B18" s="138" t="s">
        <v>4</v>
      </c>
      <c r="C18" s="139">
        <v>0</v>
      </c>
      <c r="D18" s="139">
        <f>C18/$C$10</f>
        <v>0</v>
      </c>
      <c r="E18" s="139">
        <f>C18*0.19</f>
        <v>0</v>
      </c>
      <c r="F18" s="139">
        <f>C18+E18</f>
        <v>0</v>
      </c>
      <c r="G18" s="140">
        <f>D18*1.19</f>
        <v>0</v>
      </c>
    </row>
    <row r="19" spans="1:15" ht="35.25" customHeight="1" x14ac:dyDescent="0.2">
      <c r="A19" s="169" t="s">
        <v>26</v>
      </c>
      <c r="B19" s="141" t="s">
        <v>37</v>
      </c>
      <c r="C19" s="139">
        <v>0</v>
      </c>
      <c r="D19" s="139">
        <f>C19/$C$10</f>
        <v>0</v>
      </c>
      <c r="E19" s="139">
        <f>C19*0.19</f>
        <v>0</v>
      </c>
      <c r="F19" s="139">
        <f>C19+E19</f>
        <v>0</v>
      </c>
      <c r="G19" s="140">
        <f>D19*1.19</f>
        <v>0</v>
      </c>
    </row>
    <row r="20" spans="1:15" ht="35.25" customHeight="1" x14ac:dyDescent="0.2">
      <c r="A20" s="169" t="s">
        <v>95</v>
      </c>
      <c r="B20" s="141" t="s">
        <v>96</v>
      </c>
      <c r="C20" s="139">
        <v>0</v>
      </c>
      <c r="D20" s="139">
        <f>C20/$C$10</f>
        <v>0</v>
      </c>
      <c r="E20" s="139">
        <f>C20*0.19</f>
        <v>0</v>
      </c>
      <c r="F20" s="139">
        <f>C20+E20</f>
        <v>0</v>
      </c>
      <c r="G20" s="140">
        <f>D20*1.19</f>
        <v>0</v>
      </c>
    </row>
    <row r="21" spans="1:15" ht="12" customHeight="1" x14ac:dyDescent="0.2">
      <c r="A21" s="192" t="s">
        <v>21</v>
      </c>
      <c r="B21" s="193"/>
      <c r="C21" s="142">
        <f>SUM(C17:C20)</f>
        <v>0</v>
      </c>
      <c r="D21" s="142">
        <f>SUM(D17:D20)</f>
        <v>0</v>
      </c>
      <c r="E21" s="142">
        <f>SUM(E17:E20)</f>
        <v>0</v>
      </c>
      <c r="F21" s="142">
        <f>SUM(F17:F20)</f>
        <v>0</v>
      </c>
      <c r="G21" s="142">
        <f>SUM(G17:G20)</f>
        <v>0</v>
      </c>
    </row>
    <row r="22" spans="1:15" ht="12" customHeight="1" x14ac:dyDescent="0.2">
      <c r="A22" s="194" t="s">
        <v>5</v>
      </c>
      <c r="B22" s="195"/>
      <c r="C22" s="195"/>
      <c r="D22" s="195"/>
      <c r="E22" s="195"/>
      <c r="F22" s="195"/>
      <c r="G22" s="196"/>
    </row>
    <row r="23" spans="1:15" ht="12" customHeight="1" x14ac:dyDescent="0.2">
      <c r="A23" s="197" t="s">
        <v>97</v>
      </c>
      <c r="B23" s="198"/>
      <c r="C23" s="198"/>
      <c r="D23" s="198"/>
      <c r="E23" s="198"/>
      <c r="F23" s="198"/>
      <c r="G23" s="199"/>
    </row>
    <row r="24" spans="1:15" ht="12" customHeight="1" x14ac:dyDescent="0.2">
      <c r="A24" s="170"/>
      <c r="B24" s="143" t="s">
        <v>87</v>
      </c>
      <c r="C24" s="139">
        <v>0</v>
      </c>
      <c r="D24" s="139">
        <f>C24/$C$10</f>
        <v>0</v>
      </c>
      <c r="E24" s="139">
        <f>C24*0.19</f>
        <v>0</v>
      </c>
      <c r="F24" s="139">
        <f>C24+E24</f>
        <v>0</v>
      </c>
      <c r="G24" s="140">
        <f>D24*1.19</f>
        <v>0</v>
      </c>
    </row>
    <row r="25" spans="1:15" ht="12" customHeight="1" x14ac:dyDescent="0.2">
      <c r="A25" s="173" t="s">
        <v>14</v>
      </c>
      <c r="B25" s="174"/>
      <c r="C25" s="142">
        <f>SUM(C24)</f>
        <v>0</v>
      </c>
      <c r="D25" s="142">
        <f>SUM(D24)</f>
        <v>0</v>
      </c>
      <c r="E25" s="142">
        <f>SUM(E24)</f>
        <v>0</v>
      </c>
      <c r="F25" s="142">
        <f>SUM(F24)</f>
        <v>0</v>
      </c>
      <c r="G25" s="144">
        <f>SUM(G24)</f>
        <v>0</v>
      </c>
    </row>
    <row r="26" spans="1:15" ht="12" customHeight="1" x14ac:dyDescent="0.2">
      <c r="A26" s="201" t="s">
        <v>16</v>
      </c>
      <c r="B26" s="202"/>
      <c r="C26" s="202"/>
      <c r="D26" s="202"/>
      <c r="E26" s="202"/>
      <c r="F26" s="202"/>
      <c r="G26" s="203"/>
    </row>
    <row r="27" spans="1:15" ht="12" customHeight="1" x14ac:dyDescent="0.2">
      <c r="A27" s="171" t="s">
        <v>27</v>
      </c>
      <c r="B27" s="145" t="s">
        <v>98</v>
      </c>
      <c r="C27" s="146">
        <f>C28+C29+C30</f>
        <v>800</v>
      </c>
      <c r="D27" s="146">
        <f>D28+D29+D30</f>
        <v>162.53885694548853</v>
      </c>
      <c r="E27" s="146">
        <f>E28+E29+E30</f>
        <v>152</v>
      </c>
      <c r="F27" s="146">
        <f>F28+F29+F30</f>
        <v>952</v>
      </c>
      <c r="G27" s="146">
        <f>G28+G29+G30</f>
        <v>193.42123976513133</v>
      </c>
      <c r="H27" s="147"/>
      <c r="L27" s="148"/>
      <c r="O27" s="148"/>
    </row>
    <row r="28" spans="1:15" ht="12" customHeight="1" x14ac:dyDescent="0.2">
      <c r="A28" s="172" t="s">
        <v>314</v>
      </c>
      <c r="B28" s="149" t="s">
        <v>6</v>
      </c>
      <c r="C28" s="150">
        <v>800</v>
      </c>
      <c r="D28" s="150">
        <f t="shared" ref="D28:D33" si="0">C28/$C$10</f>
        <v>162.53885694548853</v>
      </c>
      <c r="E28" s="150">
        <f t="shared" ref="E28:E33" si="1">C28*0.19</f>
        <v>152</v>
      </c>
      <c r="F28" s="150">
        <f t="shared" ref="F28:F33" si="2">C28+E28</f>
        <v>952</v>
      </c>
      <c r="G28" s="151">
        <f>D28*1.19</f>
        <v>193.42123976513133</v>
      </c>
    </row>
    <row r="29" spans="1:15" ht="22.5" customHeight="1" x14ac:dyDescent="0.2">
      <c r="A29" s="172" t="s">
        <v>315</v>
      </c>
      <c r="B29" s="152" t="s">
        <v>99</v>
      </c>
      <c r="C29" s="150">
        <v>0</v>
      </c>
      <c r="D29" s="150">
        <f t="shared" si="0"/>
        <v>0</v>
      </c>
      <c r="E29" s="150">
        <f t="shared" si="1"/>
        <v>0</v>
      </c>
      <c r="F29" s="150">
        <f t="shared" si="2"/>
        <v>0</v>
      </c>
      <c r="G29" s="151">
        <f>D29*1.19</f>
        <v>0</v>
      </c>
    </row>
    <row r="30" spans="1:15" ht="12" customHeight="1" x14ac:dyDescent="0.2">
      <c r="A30" s="172" t="s">
        <v>316</v>
      </c>
      <c r="B30" s="149" t="s">
        <v>100</v>
      </c>
      <c r="C30" s="150">
        <v>0</v>
      </c>
      <c r="D30" s="150">
        <f t="shared" si="0"/>
        <v>0</v>
      </c>
      <c r="E30" s="150">
        <f t="shared" si="1"/>
        <v>0</v>
      </c>
      <c r="F30" s="150">
        <f t="shared" si="2"/>
        <v>0</v>
      </c>
      <c r="G30" s="151">
        <f>D30*1.19</f>
        <v>0</v>
      </c>
    </row>
    <row r="31" spans="1:15" s="147" customFormat="1" ht="35.25" customHeight="1" x14ac:dyDescent="0.2">
      <c r="A31" s="171" t="s">
        <v>28</v>
      </c>
      <c r="B31" s="153" t="s">
        <v>101</v>
      </c>
      <c r="C31" s="146">
        <v>10000</v>
      </c>
      <c r="D31" s="146">
        <f t="shared" si="0"/>
        <v>2031.7357118186067</v>
      </c>
      <c r="E31" s="146">
        <f t="shared" si="1"/>
        <v>1900</v>
      </c>
      <c r="F31" s="146">
        <f t="shared" si="2"/>
        <v>11900</v>
      </c>
      <c r="G31" s="154">
        <f>D31*1.19</f>
        <v>2417.765497064142</v>
      </c>
    </row>
    <row r="32" spans="1:15" ht="12" customHeight="1" x14ac:dyDescent="0.2">
      <c r="A32" s="171" t="s">
        <v>29</v>
      </c>
      <c r="B32" s="145" t="s">
        <v>102</v>
      </c>
      <c r="C32" s="146">
        <v>8403.36</v>
      </c>
      <c r="D32" s="146">
        <f t="shared" si="0"/>
        <v>1707.3406611268008</v>
      </c>
      <c r="E32" s="146">
        <f t="shared" si="1"/>
        <v>1596.6384</v>
      </c>
      <c r="F32" s="146">
        <f t="shared" si="2"/>
        <v>9999.9984000000004</v>
      </c>
      <c r="G32" s="154">
        <f>D32*1.19</f>
        <v>2031.7353867408929</v>
      </c>
      <c r="I32" s="155">
        <f>C27+C31+C32</f>
        <v>19203.36</v>
      </c>
      <c r="J32" s="148">
        <f>I32/3.1996</f>
        <v>6001.8002250281279</v>
      </c>
    </row>
    <row r="33" spans="1:20" ht="36" customHeight="1" x14ac:dyDescent="0.2">
      <c r="A33" s="171" t="s">
        <v>30</v>
      </c>
      <c r="B33" s="153" t="s">
        <v>103</v>
      </c>
      <c r="C33" s="146">
        <v>3361.3440000000001</v>
      </c>
      <c r="D33" s="146">
        <f t="shared" si="0"/>
        <v>682.93626445072027</v>
      </c>
      <c r="E33" s="146">
        <f t="shared" si="1"/>
        <v>638.65535999999997</v>
      </c>
      <c r="F33" s="146">
        <f t="shared" si="2"/>
        <v>3999.9993599999998</v>
      </c>
      <c r="G33" s="154">
        <f>D33</f>
        <v>682.93626445072027</v>
      </c>
      <c r="I33" s="155">
        <f>I32/1.19</f>
        <v>16137.277310924372</v>
      </c>
      <c r="J33" s="148" t="e">
        <f>I33/#REF!</f>
        <v>#REF!</v>
      </c>
      <c r="O33" s="148"/>
      <c r="P33" s="148"/>
    </row>
    <row r="34" spans="1:20" ht="12" customHeight="1" x14ac:dyDescent="0.2">
      <c r="A34" s="171" t="s">
        <v>31</v>
      </c>
      <c r="B34" s="145" t="s">
        <v>104</v>
      </c>
      <c r="C34" s="146">
        <f>C35+C36+C37+C38+C39+C40</f>
        <v>133424.13920000001</v>
      </c>
      <c r="D34" s="146">
        <f>D35+D36+D37+D38+D39+D40</f>
        <v>27108.25884312969</v>
      </c>
      <c r="E34" s="146">
        <f>E35+E36+E37+E38+E39+E40</f>
        <v>25350.586448000002</v>
      </c>
      <c r="F34" s="146">
        <f>F35+F36+F37+F38+F39+F40</f>
        <v>158774.72564800002</v>
      </c>
      <c r="G34" s="146">
        <f>G35+G36+G37+G38+G39+G40</f>
        <v>30394.304160588392</v>
      </c>
      <c r="H34" s="147"/>
      <c r="I34" s="155">
        <f>I33*0.19</f>
        <v>3066.0826890756307</v>
      </c>
      <c r="J34" s="148" t="e">
        <f>I34/#REF!</f>
        <v>#REF!</v>
      </c>
      <c r="O34" s="148"/>
    </row>
    <row r="35" spans="1:20" ht="12" customHeight="1" x14ac:dyDescent="0.2">
      <c r="A35" s="172" t="s">
        <v>317</v>
      </c>
      <c r="B35" s="149" t="s">
        <v>111</v>
      </c>
      <c r="C35" s="150">
        <v>0</v>
      </c>
      <c r="D35" s="150">
        <f t="shared" ref="D35:D41" si="3">C35/$C$10</f>
        <v>0</v>
      </c>
      <c r="E35" s="150">
        <f t="shared" ref="E35:E41" si="4">C35*0.19</f>
        <v>0</v>
      </c>
      <c r="F35" s="150">
        <f t="shared" ref="F35:F41" si="5">C35+E35</f>
        <v>0</v>
      </c>
      <c r="G35" s="151">
        <f t="shared" ref="G35:G41" si="6">D35*1.19</f>
        <v>0</v>
      </c>
      <c r="I35" s="155"/>
      <c r="J35" s="148"/>
      <c r="O35" s="148"/>
    </row>
    <row r="36" spans="1:20" ht="12" customHeight="1" x14ac:dyDescent="0.2">
      <c r="A36" s="172" t="s">
        <v>318</v>
      </c>
      <c r="B36" s="149" t="s">
        <v>84</v>
      </c>
      <c r="C36" s="150">
        <v>0</v>
      </c>
      <c r="D36" s="150">
        <f t="shared" si="3"/>
        <v>0</v>
      </c>
      <c r="E36" s="150">
        <f t="shared" si="4"/>
        <v>0</v>
      </c>
      <c r="F36" s="150">
        <f t="shared" si="5"/>
        <v>0</v>
      </c>
      <c r="G36" s="151">
        <f t="shared" si="6"/>
        <v>0</v>
      </c>
      <c r="I36" s="155"/>
      <c r="J36" s="148"/>
      <c r="O36" s="148"/>
    </row>
    <row r="37" spans="1:20" ht="51" x14ac:dyDescent="0.2">
      <c r="A37" s="172" t="s">
        <v>319</v>
      </c>
      <c r="B37" s="152" t="s">
        <v>346</v>
      </c>
      <c r="C37" s="150">
        <f>48300</f>
        <v>48300</v>
      </c>
      <c r="D37" s="150">
        <f t="shared" si="3"/>
        <v>9813.2834880838709</v>
      </c>
      <c r="E37" s="150">
        <f t="shared" si="4"/>
        <v>9177</v>
      </c>
      <c r="F37" s="150">
        <f t="shared" si="5"/>
        <v>57477</v>
      </c>
      <c r="G37" s="151">
        <f>D37</f>
        <v>9813.2834880838709</v>
      </c>
      <c r="I37" s="155"/>
      <c r="J37" s="148"/>
      <c r="O37" s="148"/>
    </row>
    <row r="38" spans="1:20" ht="51" x14ac:dyDescent="0.2">
      <c r="A38" s="172" t="s">
        <v>320</v>
      </c>
      <c r="B38" s="152" t="s">
        <v>347</v>
      </c>
      <c r="C38" s="150">
        <v>3500</v>
      </c>
      <c r="D38" s="150">
        <f t="shared" si="3"/>
        <v>711.10749913651227</v>
      </c>
      <c r="E38" s="150">
        <f t="shared" si="4"/>
        <v>665</v>
      </c>
      <c r="F38" s="150">
        <f t="shared" si="5"/>
        <v>4165</v>
      </c>
      <c r="G38" s="151">
        <f t="shared" si="6"/>
        <v>846.21792397244951</v>
      </c>
      <c r="I38" s="155"/>
      <c r="J38" s="148"/>
      <c r="O38" s="148"/>
      <c r="P38" s="148"/>
      <c r="Q38" s="148"/>
    </row>
    <row r="39" spans="1:20" ht="38.25" x14ac:dyDescent="0.2">
      <c r="A39" s="172" t="s">
        <v>321</v>
      </c>
      <c r="B39" s="152" t="s">
        <v>112</v>
      </c>
      <c r="C39" s="150">
        <v>5000</v>
      </c>
      <c r="D39" s="150">
        <f t="shared" si="3"/>
        <v>1015.8678559093033</v>
      </c>
      <c r="E39" s="150">
        <f t="shared" si="4"/>
        <v>950</v>
      </c>
      <c r="F39" s="150">
        <f t="shared" si="5"/>
        <v>5950</v>
      </c>
      <c r="G39" s="151">
        <f t="shared" si="6"/>
        <v>1208.882748532071</v>
      </c>
      <c r="I39" s="155"/>
      <c r="J39" s="148"/>
      <c r="S39" s="147"/>
      <c r="T39" s="156"/>
    </row>
    <row r="40" spans="1:20" ht="25.5" x14ac:dyDescent="0.2">
      <c r="A40" s="172" t="s">
        <v>322</v>
      </c>
      <c r="B40" s="152" t="s">
        <v>113</v>
      </c>
      <c r="C40" s="150">
        <f>K40</f>
        <v>76624.139200000005</v>
      </c>
      <c r="D40" s="150">
        <f t="shared" si="3"/>
        <v>15568.000000000002</v>
      </c>
      <c r="E40" s="150">
        <f t="shared" si="4"/>
        <v>14558.586448000002</v>
      </c>
      <c r="F40" s="150">
        <f t="shared" si="5"/>
        <v>91182.725648000007</v>
      </c>
      <c r="G40" s="151">
        <f t="shared" si="6"/>
        <v>18525.920000000002</v>
      </c>
      <c r="I40" s="155"/>
      <c r="J40" s="148"/>
      <c r="K40" s="127">
        <f>1112*14*C10</f>
        <v>76624.139200000005</v>
      </c>
      <c r="L40" s="127" t="s">
        <v>298</v>
      </c>
    </row>
    <row r="41" spans="1:20" s="147" customFormat="1" ht="29.25" customHeight="1" x14ac:dyDescent="0.2">
      <c r="A41" s="171" t="s">
        <v>32</v>
      </c>
      <c r="B41" s="153" t="s">
        <v>114</v>
      </c>
      <c r="C41" s="146">
        <v>15000</v>
      </c>
      <c r="D41" s="146">
        <f t="shared" si="3"/>
        <v>3047.6035677279101</v>
      </c>
      <c r="E41" s="146">
        <f t="shared" si="4"/>
        <v>2850</v>
      </c>
      <c r="F41" s="146">
        <f t="shared" si="5"/>
        <v>17850</v>
      </c>
      <c r="G41" s="154">
        <f t="shared" si="6"/>
        <v>3626.6482455962127</v>
      </c>
      <c r="I41" s="157">
        <f>I33*1.19</f>
        <v>19203.36</v>
      </c>
      <c r="J41" s="156" t="e">
        <f>I41/#REF!</f>
        <v>#REF!</v>
      </c>
      <c r="O41" s="156">
        <f>0.03*C58</f>
        <v>75799.745039999994</v>
      </c>
      <c r="P41" s="147" t="s">
        <v>296</v>
      </c>
    </row>
    <row r="42" spans="1:20" ht="29.25" customHeight="1" x14ac:dyDescent="0.2">
      <c r="A42" s="167">
        <v>3.7</v>
      </c>
      <c r="B42" s="153" t="s">
        <v>115</v>
      </c>
      <c r="C42" s="146">
        <f>C43+C44</f>
        <v>75799.745039999994</v>
      </c>
      <c r="D42" s="146">
        <f>D43+D44</f>
        <v>15400.504894451329</v>
      </c>
      <c r="E42" s="146">
        <f>E43+E44</f>
        <v>14401.951557599999</v>
      </c>
      <c r="F42" s="146">
        <f>F43+F44</f>
        <v>90201.696597599992</v>
      </c>
      <c r="G42" s="146">
        <f>G43+G44</f>
        <v>15400.504894451329</v>
      </c>
      <c r="I42" s="155"/>
      <c r="J42" s="148"/>
      <c r="N42" s="148"/>
      <c r="O42" s="148"/>
      <c r="R42" s="148"/>
    </row>
    <row r="43" spans="1:20" ht="29.25" customHeight="1" x14ac:dyDescent="0.2">
      <c r="A43" s="172" t="s">
        <v>323</v>
      </c>
      <c r="B43" s="152" t="s">
        <v>118</v>
      </c>
      <c r="C43" s="150">
        <f>O41</f>
        <v>75799.745039999994</v>
      </c>
      <c r="D43" s="150">
        <f>C43/$C$10</f>
        <v>15400.504894451329</v>
      </c>
      <c r="E43" s="150">
        <f>C43*0.19</f>
        <v>14401.951557599999</v>
      </c>
      <c r="F43" s="150">
        <f>C43+E43</f>
        <v>90201.696597599992</v>
      </c>
      <c r="G43" s="151">
        <f>D42</f>
        <v>15400.504894451329</v>
      </c>
      <c r="H43" s="147"/>
      <c r="I43" s="155"/>
      <c r="J43" s="148"/>
      <c r="O43" s="148">
        <f>7%*C58</f>
        <v>176866.07176000002</v>
      </c>
      <c r="P43" s="127" t="s">
        <v>299</v>
      </c>
    </row>
    <row r="44" spans="1:20" ht="29.25" customHeight="1" x14ac:dyDescent="0.2">
      <c r="A44" s="172" t="s">
        <v>324</v>
      </c>
      <c r="B44" s="152" t="s">
        <v>119</v>
      </c>
      <c r="C44" s="150">
        <v>0</v>
      </c>
      <c r="D44" s="150">
        <f>C44/$C$10</f>
        <v>0</v>
      </c>
      <c r="E44" s="150">
        <f>C44*0.19</f>
        <v>0</v>
      </c>
      <c r="F44" s="150">
        <f>C44+E44</f>
        <v>0</v>
      </c>
      <c r="G44" s="151">
        <f>D44*1.19</f>
        <v>0</v>
      </c>
      <c r="I44" s="155"/>
      <c r="J44" s="148"/>
      <c r="O44" s="148">
        <f>C27+C34+C45</f>
        <v>176805.94256</v>
      </c>
      <c r="P44" s="127" t="s">
        <v>309</v>
      </c>
    </row>
    <row r="45" spans="1:20" ht="29.25" customHeight="1" x14ac:dyDescent="0.2">
      <c r="A45" s="167">
        <v>3.8</v>
      </c>
      <c r="B45" s="153" t="s">
        <v>120</v>
      </c>
      <c r="C45" s="146">
        <f>C46+C49</f>
        <v>42581.803360000005</v>
      </c>
      <c r="D45" s="146">
        <f>D46+D49</f>
        <v>8651.4970560149559</v>
      </c>
      <c r="E45" s="146">
        <f>E46+E49</f>
        <v>8090.5426384000011</v>
      </c>
      <c r="F45" s="146">
        <f>F46+F49</f>
        <v>50672.345998400007</v>
      </c>
      <c r="G45" s="146">
        <f>G46+G49</f>
        <v>10295.281496657795</v>
      </c>
      <c r="H45" s="147"/>
      <c r="I45" s="155"/>
      <c r="J45" s="148"/>
      <c r="O45" s="148">
        <f>O43-O44</f>
        <v>60.129200000024866</v>
      </c>
    </row>
    <row r="46" spans="1:20" s="147" customFormat="1" ht="29.25" customHeight="1" x14ac:dyDescent="0.2">
      <c r="A46" s="172" t="s">
        <v>325</v>
      </c>
      <c r="B46" s="152" t="s">
        <v>123</v>
      </c>
      <c r="C46" s="150">
        <f>C47+C48</f>
        <v>2000</v>
      </c>
      <c r="D46" s="150">
        <f>D47+D48</f>
        <v>406.34714236372133</v>
      </c>
      <c r="E46" s="150">
        <f>E47+E48</f>
        <v>380</v>
      </c>
      <c r="F46" s="150">
        <f>F47+F48</f>
        <v>2380</v>
      </c>
      <c r="G46" s="150">
        <f>G47+G48</f>
        <v>483.55309941282837</v>
      </c>
      <c r="I46" s="157"/>
      <c r="J46" s="156"/>
    </row>
    <row r="47" spans="1:20" ht="29.25" customHeight="1" x14ac:dyDescent="0.2">
      <c r="A47" s="172" t="s">
        <v>326</v>
      </c>
      <c r="B47" s="152" t="s">
        <v>124</v>
      </c>
      <c r="C47" s="150">
        <v>1500</v>
      </c>
      <c r="D47" s="150">
        <f>C47/$C$10</f>
        <v>304.760356772791</v>
      </c>
      <c r="E47" s="150">
        <f>C47*0.19</f>
        <v>285</v>
      </c>
      <c r="F47" s="150">
        <f>C47+E47</f>
        <v>1785</v>
      </c>
      <c r="G47" s="151">
        <f>D47*1.19</f>
        <v>362.66482455962125</v>
      </c>
      <c r="I47" s="155"/>
      <c r="J47" s="148"/>
      <c r="P47" s="148"/>
    </row>
    <row r="48" spans="1:20" ht="89.25" x14ac:dyDescent="0.2">
      <c r="A48" s="172" t="s">
        <v>327</v>
      </c>
      <c r="B48" s="152" t="s">
        <v>125</v>
      </c>
      <c r="C48" s="150">
        <v>500</v>
      </c>
      <c r="D48" s="150">
        <f>C48/$C$10</f>
        <v>101.58678559093033</v>
      </c>
      <c r="E48" s="150">
        <f>C48*0.19</f>
        <v>95</v>
      </c>
      <c r="F48" s="150">
        <f>C48+E48</f>
        <v>595</v>
      </c>
      <c r="G48" s="151">
        <f>D48*1.19</f>
        <v>120.88827485320709</v>
      </c>
      <c r="I48" s="155"/>
      <c r="J48" s="148"/>
      <c r="Q48" s="148"/>
    </row>
    <row r="49" spans="1:15" ht="18" customHeight="1" x14ac:dyDescent="0.2">
      <c r="A49" s="172" t="s">
        <v>328</v>
      </c>
      <c r="B49" s="152" t="s">
        <v>126</v>
      </c>
      <c r="C49" s="150">
        <f>K49</f>
        <v>40581.803360000005</v>
      </c>
      <c r="D49" s="150">
        <f>C49/$C$10</f>
        <v>8245.1499136512339</v>
      </c>
      <c r="E49" s="150">
        <f>C49*0.19</f>
        <v>7710.5426384000011</v>
      </c>
      <c r="F49" s="150">
        <f>C49+E49</f>
        <v>48292.345998400007</v>
      </c>
      <c r="G49" s="151">
        <f>D49*1.19</f>
        <v>9811.7283972449677</v>
      </c>
      <c r="I49" s="155"/>
      <c r="J49" s="148"/>
      <c r="K49" s="148">
        <f>2%*C77</f>
        <v>40581.803360000005</v>
      </c>
      <c r="L49" s="127" t="s">
        <v>297</v>
      </c>
    </row>
    <row r="50" spans="1:15" ht="12" customHeight="1" x14ac:dyDescent="0.2">
      <c r="A50" s="204" t="s">
        <v>15</v>
      </c>
      <c r="B50" s="174"/>
      <c r="C50" s="142">
        <f>C27+C31+C32+C33+C34+C41+C42+C45</f>
        <v>289370.39160000003</v>
      </c>
      <c r="D50" s="142">
        <f>D27+D31+D32+D33+D34+D41+D42+D45</f>
        <v>58792.415855665502</v>
      </c>
      <c r="E50" s="142">
        <f>E27+E31+E32+E33+E34+E41+E42+E45+0.01</f>
        <v>54980.384404000004</v>
      </c>
      <c r="F50" s="142">
        <f>F27+F31+F32+F33+F34+F41+F42+F45</f>
        <v>344350.76600400003</v>
      </c>
      <c r="G50" s="142">
        <f>G27+G31+G32+G33+G34+G41+G42+G45</f>
        <v>65042.597185314611</v>
      </c>
    </row>
    <row r="51" spans="1:15" ht="12" customHeight="1" x14ac:dyDescent="0.2">
      <c r="A51" s="205" t="s">
        <v>17</v>
      </c>
      <c r="B51" s="206"/>
      <c r="C51" s="206"/>
      <c r="D51" s="206"/>
      <c r="E51" s="206"/>
      <c r="F51" s="206"/>
      <c r="G51" s="207"/>
    </row>
    <row r="52" spans="1:15" ht="12" customHeight="1" x14ac:dyDescent="0.2">
      <c r="A52" s="172" t="s">
        <v>329</v>
      </c>
      <c r="B52" s="149" t="s">
        <v>36</v>
      </c>
      <c r="C52" s="150">
        <f>'cap4 '!C12</f>
        <v>1929079</v>
      </c>
      <c r="D52" s="150">
        <f>'cap4 '!D12</f>
        <v>391937.86952193256</v>
      </c>
      <c r="E52" s="150">
        <f>'cap4 '!E12</f>
        <v>366525.01</v>
      </c>
      <c r="F52" s="150">
        <f>'cap4 '!F12</f>
        <v>2295604.0099999998</v>
      </c>
      <c r="G52" s="150">
        <f>'cap4 '!G12</f>
        <v>466406.06473109976</v>
      </c>
    </row>
    <row r="53" spans="1:15" ht="24.75" customHeight="1" x14ac:dyDescent="0.2">
      <c r="A53" s="172" t="s">
        <v>330</v>
      </c>
      <c r="B53" s="152" t="s">
        <v>127</v>
      </c>
      <c r="C53" s="150">
        <f>'cap4 '!C18</f>
        <v>100011.16800000001</v>
      </c>
      <c r="D53" s="150">
        <f>'cap4 '!D18</f>
        <v>20319.626160629028</v>
      </c>
      <c r="E53" s="150">
        <f>'cap4 '!E18</f>
        <v>19002.121920000001</v>
      </c>
      <c r="F53" s="150">
        <f>'cap4 '!F18</f>
        <v>119013.28992000001</v>
      </c>
      <c r="G53" s="150">
        <f>'cap4 '!G18</f>
        <v>24180.355131148543</v>
      </c>
    </row>
    <row r="54" spans="1:15" ht="38.25" x14ac:dyDescent="0.2">
      <c r="A54" s="172" t="s">
        <v>331</v>
      </c>
      <c r="B54" s="152" t="s">
        <v>128</v>
      </c>
      <c r="C54" s="150">
        <f>'cap4 '!C20</f>
        <v>497568</v>
      </c>
      <c r="D54" s="150">
        <f>'cap4 '!D20</f>
        <v>101092.66746581605</v>
      </c>
      <c r="E54" s="150">
        <f>'cap4 '!E20</f>
        <v>94537.919999999998</v>
      </c>
      <c r="F54" s="150">
        <f>'cap4 '!F20</f>
        <v>592105.92000000004</v>
      </c>
      <c r="G54" s="150">
        <f>'cap4 '!G20</f>
        <v>120300.2742843211</v>
      </c>
      <c r="L54" s="127">
        <f>0.03*C58</f>
        <v>75799.745039999994</v>
      </c>
    </row>
    <row r="55" spans="1:15" ht="51" x14ac:dyDescent="0.2">
      <c r="A55" s="172" t="s">
        <v>332</v>
      </c>
      <c r="B55" s="152" t="s">
        <v>129</v>
      </c>
      <c r="C55" s="150">
        <v>0</v>
      </c>
      <c r="D55" s="150">
        <f>C55/$C$10</f>
        <v>0</v>
      </c>
      <c r="E55" s="150">
        <f>C55*0.19</f>
        <v>0</v>
      </c>
      <c r="F55" s="150">
        <f>C55+E55</f>
        <v>0</v>
      </c>
      <c r="G55" s="150">
        <f>D55*1.19</f>
        <v>0</v>
      </c>
      <c r="O55" s="148">
        <f>C52-'[1]Deviz Genral cu TVA'!$C$50</f>
        <v>0</v>
      </c>
    </row>
    <row r="56" spans="1:15" ht="12" customHeight="1" x14ac:dyDescent="0.2">
      <c r="A56" s="172" t="s">
        <v>333</v>
      </c>
      <c r="B56" s="149" t="s">
        <v>43</v>
      </c>
      <c r="C56" s="150">
        <v>0</v>
      </c>
      <c r="D56" s="150">
        <f>C56/$C$10</f>
        <v>0</v>
      </c>
      <c r="E56" s="150">
        <f>C56*0.19</f>
        <v>0</v>
      </c>
      <c r="F56" s="150">
        <f>C56+E56</f>
        <v>0</v>
      </c>
      <c r="G56" s="150">
        <f>D56*1.19</f>
        <v>0</v>
      </c>
      <c r="I56" s="158">
        <f>I75-I33</f>
        <v>2370575.9736134456</v>
      </c>
      <c r="J56" s="158" t="e">
        <f>I56/#REF!</f>
        <v>#REF!</v>
      </c>
    </row>
    <row r="57" spans="1:15" ht="12" customHeight="1" x14ac:dyDescent="0.2">
      <c r="A57" s="172" t="s">
        <v>334</v>
      </c>
      <c r="B57" s="149" t="s">
        <v>38</v>
      </c>
      <c r="C57" s="150">
        <v>0</v>
      </c>
      <c r="D57" s="150">
        <f>C57/$C$10</f>
        <v>0</v>
      </c>
      <c r="E57" s="150">
        <f>C57*0.19</f>
        <v>0</v>
      </c>
      <c r="F57" s="150">
        <f>C57+E57</f>
        <v>0</v>
      </c>
      <c r="G57" s="150">
        <f>D57*1.19</f>
        <v>0</v>
      </c>
      <c r="I57" s="158" t="e">
        <f>#REF!/1.19*0.19</f>
        <v>#REF!</v>
      </c>
      <c r="J57" s="158" t="e">
        <f>I57/#REF!</f>
        <v>#REF!</v>
      </c>
    </row>
    <row r="58" spans="1:15" ht="12" customHeight="1" x14ac:dyDescent="0.2">
      <c r="A58" s="204" t="s">
        <v>18</v>
      </c>
      <c r="B58" s="174"/>
      <c r="C58" s="142">
        <f>SUM(C52:C57)</f>
        <v>2526658.1680000001</v>
      </c>
      <c r="D58" s="142">
        <f>SUM(D52:D57)</f>
        <v>513350.16314837767</v>
      </c>
      <c r="E58" s="142">
        <f>SUM(E52:E57)</f>
        <v>480065.05192</v>
      </c>
      <c r="F58" s="142">
        <f>SUM(F52:F57)</f>
        <v>3006723.2199199996</v>
      </c>
      <c r="G58" s="142">
        <f>SUM(G52:G57)</f>
        <v>610886.69414656935</v>
      </c>
    </row>
    <row r="59" spans="1:15" ht="12" customHeight="1" x14ac:dyDescent="0.2">
      <c r="A59" s="205" t="s">
        <v>19</v>
      </c>
      <c r="B59" s="206"/>
      <c r="C59" s="206"/>
      <c r="D59" s="206"/>
      <c r="E59" s="206"/>
      <c r="F59" s="206"/>
      <c r="G59" s="207"/>
    </row>
    <row r="60" spans="1:15" ht="12" customHeight="1" x14ac:dyDescent="0.2">
      <c r="A60" s="172" t="s">
        <v>33</v>
      </c>
      <c r="B60" s="149" t="s">
        <v>7</v>
      </c>
      <c r="C60" s="150">
        <f>C61+C62</f>
        <v>0</v>
      </c>
      <c r="D60" s="150">
        <f>C60/$C$10</f>
        <v>0</v>
      </c>
      <c r="E60" s="150">
        <f>C60*0.19</f>
        <v>0</v>
      </c>
      <c r="F60" s="150">
        <f>C60+E60</f>
        <v>0</v>
      </c>
      <c r="G60" s="151">
        <f>D60*1.19</f>
        <v>0</v>
      </c>
    </row>
    <row r="61" spans="1:15" ht="24.75" customHeight="1" x14ac:dyDescent="0.2">
      <c r="A61" s="172" t="s">
        <v>335</v>
      </c>
      <c r="B61" s="152" t="s">
        <v>130</v>
      </c>
      <c r="C61" s="150">
        <v>0</v>
      </c>
      <c r="D61" s="150">
        <f>C61/$C$10</f>
        <v>0</v>
      </c>
      <c r="E61" s="150">
        <f>C61*0.19</f>
        <v>0</v>
      </c>
      <c r="F61" s="150">
        <f>C61+E61</f>
        <v>0</v>
      </c>
      <c r="G61" s="151">
        <f>D61*1.19</f>
        <v>0</v>
      </c>
      <c r="K61" s="159"/>
      <c r="L61" s="127">
        <f>1.5%*C77</f>
        <v>30436.35252</v>
      </c>
    </row>
    <row r="62" spans="1:15" ht="23.25" customHeight="1" x14ac:dyDescent="0.2">
      <c r="A62" s="172" t="s">
        <v>336</v>
      </c>
      <c r="B62" s="152" t="s">
        <v>44</v>
      </c>
      <c r="C62" s="150">
        <v>0</v>
      </c>
      <c r="D62" s="150">
        <f>C62/$C$10</f>
        <v>0</v>
      </c>
      <c r="E62" s="150">
        <f>C62*0.19</f>
        <v>0</v>
      </c>
      <c r="F62" s="150">
        <f>C62+E62</f>
        <v>0</v>
      </c>
      <c r="G62" s="151">
        <f>D62*1.19</f>
        <v>0</v>
      </c>
    </row>
    <row r="63" spans="1:15" ht="22.5" customHeight="1" x14ac:dyDescent="0.2">
      <c r="A63" s="172" t="s">
        <v>337</v>
      </c>
      <c r="B63" s="152" t="s">
        <v>39</v>
      </c>
      <c r="C63" s="150">
        <f>C64+C65+C66+C67+C68</f>
        <v>23319.868999999999</v>
      </c>
      <c r="D63" s="150">
        <f>D64+D65+D66+D67+D68</f>
        <v>4737.981064223166</v>
      </c>
      <c r="E63" s="150">
        <f>E64+E65+E66+E67+E68</f>
        <v>0</v>
      </c>
      <c r="F63" s="150">
        <f>F64+F65+F66+F67+F68</f>
        <v>23319.868999999999</v>
      </c>
      <c r="G63" s="150">
        <f>G64+G65+G66+G67+G68</f>
        <v>4737.981064223166</v>
      </c>
      <c r="L63" s="127">
        <f>0.001*C52</f>
        <v>1929.079</v>
      </c>
    </row>
    <row r="64" spans="1:15" ht="22.5" customHeight="1" x14ac:dyDescent="0.2">
      <c r="A64" s="172" t="s">
        <v>338</v>
      </c>
      <c r="B64" s="152" t="s">
        <v>136</v>
      </c>
      <c r="C64" s="150">
        <v>0</v>
      </c>
      <c r="D64" s="150">
        <f t="shared" ref="D64:D70" si="7">C64/$C$10</f>
        <v>0</v>
      </c>
      <c r="E64" s="150">
        <v>0</v>
      </c>
      <c r="F64" s="150">
        <f t="shared" ref="F64:F70" si="8">C64+E64</f>
        <v>0</v>
      </c>
      <c r="G64" s="151">
        <f>D64</f>
        <v>0</v>
      </c>
      <c r="L64" s="127">
        <f>0.005*C52</f>
        <v>9645.3950000000004</v>
      </c>
    </row>
    <row r="65" spans="1:19" ht="34.5" customHeight="1" x14ac:dyDescent="0.2">
      <c r="A65" s="172" t="s">
        <v>339</v>
      </c>
      <c r="B65" s="160" t="s">
        <v>137</v>
      </c>
      <c r="C65" s="150">
        <f>L64</f>
        <v>9645.3950000000004</v>
      </c>
      <c r="D65" s="150">
        <f t="shared" si="7"/>
        <v>1959.6893476096629</v>
      </c>
      <c r="E65" s="150">
        <v>0</v>
      </c>
      <c r="F65" s="150">
        <f t="shared" si="8"/>
        <v>9645.3950000000004</v>
      </c>
      <c r="G65" s="151">
        <f>D65</f>
        <v>1959.6893476096629</v>
      </c>
      <c r="L65" s="127">
        <f>0.006*C52</f>
        <v>11574.474</v>
      </c>
    </row>
    <row r="66" spans="1:19" ht="47.25" customHeight="1" x14ac:dyDescent="0.2">
      <c r="A66" s="172" t="s">
        <v>340</v>
      </c>
      <c r="B66" s="152" t="s">
        <v>138</v>
      </c>
      <c r="C66" s="150">
        <f>L63</f>
        <v>1929.079</v>
      </c>
      <c r="D66" s="150">
        <f t="shared" si="7"/>
        <v>391.93786952193256</v>
      </c>
      <c r="E66" s="150">
        <v>0</v>
      </c>
      <c r="F66" s="150">
        <f t="shared" si="8"/>
        <v>1929.079</v>
      </c>
      <c r="G66" s="151">
        <f>D66</f>
        <v>391.93786952193256</v>
      </c>
    </row>
    <row r="67" spans="1:19" ht="22.5" customHeight="1" x14ac:dyDescent="0.2">
      <c r="A67" s="172" t="s">
        <v>341</v>
      </c>
      <c r="B67" s="152" t="s">
        <v>139</v>
      </c>
      <c r="C67" s="150">
        <f>L67</f>
        <v>9645.3950000000004</v>
      </c>
      <c r="D67" s="150">
        <f t="shared" si="7"/>
        <v>1959.6893476096629</v>
      </c>
      <c r="E67" s="150">
        <v>0</v>
      </c>
      <c r="F67" s="150">
        <f t="shared" si="8"/>
        <v>9645.3950000000004</v>
      </c>
      <c r="G67" s="151">
        <f>D67</f>
        <v>1959.6893476096629</v>
      </c>
      <c r="L67" s="127">
        <f>0.5%*C52</f>
        <v>9645.3950000000004</v>
      </c>
    </row>
    <row r="68" spans="1:19" ht="38.25" x14ac:dyDescent="0.2">
      <c r="A68" s="172" t="s">
        <v>342</v>
      </c>
      <c r="B68" s="152" t="s">
        <v>140</v>
      </c>
      <c r="C68" s="150">
        <v>2100</v>
      </c>
      <c r="D68" s="150">
        <f t="shared" si="7"/>
        <v>426.6644994819074</v>
      </c>
      <c r="E68" s="150">
        <v>0</v>
      </c>
      <c r="F68" s="150">
        <f t="shared" si="8"/>
        <v>2100</v>
      </c>
      <c r="G68" s="151">
        <f>D68</f>
        <v>426.6644994819074</v>
      </c>
    </row>
    <row r="69" spans="1:19" ht="25.5" x14ac:dyDescent="0.2">
      <c r="A69" s="172" t="s">
        <v>343</v>
      </c>
      <c r="B69" s="152" t="s">
        <v>348</v>
      </c>
      <c r="C69" s="150">
        <v>0</v>
      </c>
      <c r="D69" s="150">
        <f t="shared" si="7"/>
        <v>0</v>
      </c>
      <c r="E69" s="150">
        <f>C69*0.19</f>
        <v>0</v>
      </c>
      <c r="F69" s="150">
        <f t="shared" si="8"/>
        <v>0</v>
      </c>
      <c r="G69" s="150">
        <f>D69*1.19</f>
        <v>0</v>
      </c>
      <c r="S69" s="148"/>
    </row>
    <row r="70" spans="1:19" ht="22.5" customHeight="1" x14ac:dyDescent="0.2">
      <c r="A70" s="172">
        <v>5.4</v>
      </c>
      <c r="B70" s="152" t="s">
        <v>141</v>
      </c>
      <c r="C70" s="150">
        <v>840.34</v>
      </c>
      <c r="D70" s="150">
        <f t="shared" si="7"/>
        <v>170.73487880696479</v>
      </c>
      <c r="E70" s="150">
        <f>C70*0.19</f>
        <v>159.66460000000001</v>
      </c>
      <c r="F70" s="150">
        <f t="shared" si="8"/>
        <v>1000.0046</v>
      </c>
      <c r="G70" s="150">
        <f>D70*1.19</f>
        <v>203.17450578028809</v>
      </c>
    </row>
    <row r="71" spans="1:19" ht="12" customHeight="1" x14ac:dyDescent="0.2">
      <c r="A71" s="204" t="s">
        <v>20</v>
      </c>
      <c r="B71" s="174"/>
      <c r="C71" s="142">
        <f>C60+C63+C69+C70</f>
        <v>24160.208999999999</v>
      </c>
      <c r="D71" s="142">
        <f>D60+D63+D69+D70</f>
        <v>4908.7159430301308</v>
      </c>
      <c r="E71" s="142">
        <f>E60+E63+E69+E70</f>
        <v>159.66460000000001</v>
      </c>
      <c r="F71" s="142">
        <f>F60+F63+F69+F70</f>
        <v>24319.873599999999</v>
      </c>
      <c r="G71" s="142">
        <f>G60+G63+G69+G70</f>
        <v>4941.1555700034542</v>
      </c>
    </row>
    <row r="72" spans="1:19" ht="12" customHeight="1" x14ac:dyDescent="0.2">
      <c r="A72" s="205" t="s">
        <v>142</v>
      </c>
      <c r="B72" s="206"/>
      <c r="C72" s="206"/>
      <c r="D72" s="206"/>
      <c r="E72" s="206"/>
      <c r="F72" s="206"/>
      <c r="G72" s="207"/>
    </row>
    <row r="73" spans="1:19" ht="25.5" x14ac:dyDescent="0.2">
      <c r="A73" s="172" t="s">
        <v>344</v>
      </c>
      <c r="B73" s="152" t="s">
        <v>349</v>
      </c>
      <c r="C73" s="150">
        <v>0</v>
      </c>
      <c r="D73" s="150">
        <f>C73/$C$10</f>
        <v>0</v>
      </c>
      <c r="E73" s="150">
        <f>C73*0.19</f>
        <v>0</v>
      </c>
      <c r="F73" s="150">
        <f>C73+E73</f>
        <v>0</v>
      </c>
      <c r="G73" s="151">
        <f>D73*1.19</f>
        <v>0</v>
      </c>
    </row>
    <row r="74" spans="1:19" ht="12" customHeight="1" x14ac:dyDescent="0.2">
      <c r="A74" s="172" t="s">
        <v>345</v>
      </c>
      <c r="B74" s="149" t="s">
        <v>40</v>
      </c>
      <c r="C74" s="150">
        <v>0</v>
      </c>
      <c r="D74" s="150">
        <f>C74/$C$10</f>
        <v>0</v>
      </c>
      <c r="E74" s="150">
        <f>C74*0.19</f>
        <v>0</v>
      </c>
      <c r="F74" s="150">
        <f>C74+E74</f>
        <v>0</v>
      </c>
      <c r="G74" s="151">
        <f>D74*1.19</f>
        <v>0</v>
      </c>
      <c r="L74" s="148"/>
    </row>
    <row r="75" spans="1:19" ht="12" customHeight="1" x14ac:dyDescent="0.2">
      <c r="A75" s="208" t="s">
        <v>23</v>
      </c>
      <c r="B75" s="209"/>
      <c r="C75" s="161">
        <f>SUM(C73:C74)</f>
        <v>0</v>
      </c>
      <c r="D75" s="161">
        <f>SUM(D73:D74)</f>
        <v>0</v>
      </c>
      <c r="E75" s="161">
        <f>SUM(E73:E74)</f>
        <v>0</v>
      </c>
      <c r="F75" s="161">
        <f>SUM(F73:F74)</f>
        <v>0</v>
      </c>
      <c r="G75" s="162">
        <f>SUM(G73:G74)</f>
        <v>0</v>
      </c>
      <c r="I75" s="158">
        <f>I77-I76</f>
        <v>2386713.2509243698</v>
      </c>
      <c r="J75" s="158">
        <f>J77-J76</f>
        <v>1705117.7882352942</v>
      </c>
    </row>
    <row r="76" spans="1:19" ht="12" customHeight="1" x14ac:dyDescent="0.2">
      <c r="A76" s="173" t="s">
        <v>79</v>
      </c>
      <c r="B76" s="200"/>
      <c r="C76" s="142">
        <f>C21+C25+C50+C58+C71+C75</f>
        <v>2840188.7686000001</v>
      </c>
      <c r="D76" s="142">
        <f>D21+D25+D50+D58+D71+D75</f>
        <v>577051.29494707321</v>
      </c>
      <c r="E76" s="142">
        <f>E21+E25+E50+E58+E71+E75-0.01</f>
        <v>535205.09092400002</v>
      </c>
      <c r="F76" s="142">
        <f>F21+F25+F50+F58+F71+F75</f>
        <v>3375393.8595239995</v>
      </c>
      <c r="G76" s="142">
        <f>G21+G25+G50+G58+G71+G75</f>
        <v>680870.44690188742</v>
      </c>
      <c r="I76" s="127">
        <f>I77/1.19*0.19</f>
        <v>453475.51767563028</v>
      </c>
      <c r="J76" s="127">
        <f>J77/1.19*0.19</f>
        <v>323972.3797647059</v>
      </c>
      <c r="M76" s="163"/>
    </row>
    <row r="77" spans="1:19" ht="30.75" customHeight="1" x14ac:dyDescent="0.2">
      <c r="A77" s="210" t="s">
        <v>143</v>
      </c>
      <c r="B77" s="211"/>
      <c r="C77" s="164">
        <f>C18+C19+C20+C25+C52+C53+C61</f>
        <v>2029090.1680000001</v>
      </c>
      <c r="D77" s="164">
        <f>D18+D19+D20+D25+D52+D53+D61</f>
        <v>412257.4956825616</v>
      </c>
      <c r="E77" s="164">
        <f>E18+E19+E20+E25+E52+E53+E61</f>
        <v>385527.13192000001</v>
      </c>
      <c r="F77" s="164">
        <f>F18+F19+F20+F25+F52+F53+F61</f>
        <v>2414617.2999199997</v>
      </c>
      <c r="G77" s="164">
        <f>G18+G19+G20+G25+G52+G53+G61</f>
        <v>490586.41986224829</v>
      </c>
      <c r="I77" s="158">
        <f>C76</f>
        <v>2840188.7686000001</v>
      </c>
      <c r="J77" s="148">
        <f>C77</f>
        <v>2029090.1680000001</v>
      </c>
      <c r="K77" s="158"/>
    </row>
    <row r="78" spans="1:19" ht="12" hidden="1" customHeight="1" x14ac:dyDescent="0.2">
      <c r="A78" s="216" t="s">
        <v>9</v>
      </c>
      <c r="B78" s="217"/>
      <c r="C78" s="217"/>
      <c r="D78" s="217"/>
      <c r="E78" s="217"/>
      <c r="F78" s="217"/>
      <c r="G78" s="218"/>
    </row>
    <row r="79" spans="1:19" ht="23.25" hidden="1" customHeight="1" x14ac:dyDescent="0.2">
      <c r="A79" s="219" t="s">
        <v>10</v>
      </c>
      <c r="B79" s="220"/>
      <c r="C79" s="165">
        <v>0</v>
      </c>
      <c r="D79" s="165">
        <f>C79/$C$10</f>
        <v>0</v>
      </c>
      <c r="E79" s="165">
        <f>C79*0.19</f>
        <v>0</v>
      </c>
      <c r="F79" s="165">
        <f>C79*1.19</f>
        <v>0</v>
      </c>
      <c r="G79" s="166">
        <f>D79*1.19</f>
        <v>0</v>
      </c>
    </row>
    <row r="80" spans="1:19" ht="12" hidden="1" customHeight="1" x14ac:dyDescent="0.2">
      <c r="A80" s="212" t="s">
        <v>11</v>
      </c>
      <c r="B80" s="213"/>
      <c r="C80" s="213"/>
      <c r="D80" s="213"/>
      <c r="E80" s="213"/>
      <c r="F80" s="213"/>
      <c r="G80" s="221"/>
      <c r="I80" s="148" t="e">
        <f>I75/#REF!</f>
        <v>#REF!</v>
      </c>
      <c r="J80" s="148" t="e">
        <f>J75/#REF!</f>
        <v>#REF!</v>
      </c>
    </row>
    <row r="81" spans="1:10" ht="12" hidden="1" customHeight="1" x14ac:dyDescent="0.2">
      <c r="A81" s="219" t="s">
        <v>12</v>
      </c>
      <c r="B81" s="220"/>
      <c r="C81" s="165">
        <v>0</v>
      </c>
      <c r="D81" s="165">
        <f>C81/$C$10</f>
        <v>0</v>
      </c>
      <c r="E81" s="165">
        <f>C81*0.19</f>
        <v>0</v>
      </c>
      <c r="F81" s="165">
        <f t="shared" ref="F81:G83" si="9">C81*1.19</f>
        <v>0</v>
      </c>
      <c r="G81" s="166">
        <f t="shared" si="9"/>
        <v>0</v>
      </c>
      <c r="I81" s="148" t="e">
        <f>I76/#REF!</f>
        <v>#REF!</v>
      </c>
      <c r="J81" s="148" t="e">
        <f>J76/#REF!</f>
        <v>#REF!</v>
      </c>
    </row>
    <row r="82" spans="1:10" ht="15" hidden="1" customHeight="1" x14ac:dyDescent="0.2">
      <c r="A82" s="212" t="s">
        <v>13</v>
      </c>
      <c r="B82" s="213"/>
      <c r="C82" s="165">
        <f>C77+C79+C81</f>
        <v>2029090.1680000001</v>
      </c>
      <c r="D82" s="165">
        <f>C82/$C$10</f>
        <v>412257.49568256165</v>
      </c>
      <c r="E82" s="165">
        <f>C82*0.19</f>
        <v>385527.13192000001</v>
      </c>
      <c r="F82" s="165">
        <f t="shared" si="9"/>
        <v>2414617.2999200001</v>
      </c>
      <c r="G82" s="166">
        <f t="shared" si="9"/>
        <v>490586.41986224835</v>
      </c>
      <c r="I82" s="148" t="e">
        <f>I77/#REF!</f>
        <v>#REF!</v>
      </c>
      <c r="J82" s="148" t="e">
        <f>J77/#REF!</f>
        <v>#REF!</v>
      </c>
    </row>
    <row r="83" spans="1:10" ht="21.75" hidden="1" customHeight="1" thickBot="1" x14ac:dyDescent="0.25">
      <c r="A83" s="214" t="s">
        <v>8</v>
      </c>
      <c r="B83" s="215"/>
      <c r="C83" s="165">
        <f>C77</f>
        <v>2029090.1680000001</v>
      </c>
      <c r="D83" s="165">
        <f>C83/$C$10</f>
        <v>412257.49568256165</v>
      </c>
      <c r="E83" s="165">
        <f>C83*0.19</f>
        <v>385527.13192000001</v>
      </c>
      <c r="F83" s="165">
        <f t="shared" si="9"/>
        <v>2414617.2999200001</v>
      </c>
      <c r="G83" s="166">
        <f t="shared" si="9"/>
        <v>490586.41986224835</v>
      </c>
      <c r="I83" s="148">
        <f>I78/3.1996</f>
        <v>0</v>
      </c>
      <c r="J83" s="148">
        <f>J78/3.1996</f>
        <v>0</v>
      </c>
    </row>
    <row r="85" spans="1:10" x14ac:dyDescent="0.2">
      <c r="B85" s="127" t="s">
        <v>301</v>
      </c>
      <c r="F85" s="127" t="s">
        <v>45</v>
      </c>
    </row>
    <row r="86" spans="1:10" x14ac:dyDescent="0.2">
      <c r="F86" s="127" t="s">
        <v>290</v>
      </c>
    </row>
    <row r="88" spans="1:10" x14ac:dyDescent="0.2">
      <c r="B88" s="127" t="s">
        <v>144</v>
      </c>
      <c r="C88" s="158"/>
      <c r="G88" s="158"/>
    </row>
    <row r="89" spans="1:10" x14ac:dyDescent="0.2">
      <c r="B89" s="127" t="s">
        <v>294</v>
      </c>
    </row>
    <row r="92" spans="1:10" x14ac:dyDescent="0.2">
      <c r="F92" s="148">
        <f>3333333+F41+3000+'cap5'!C21-2000</f>
        <v>3375502.8689999999</v>
      </c>
    </row>
    <row r="93" spans="1:10" x14ac:dyDescent="0.2">
      <c r="F93" s="148">
        <f>F92-F76</f>
        <v>109.0094760004431</v>
      </c>
    </row>
  </sheetData>
  <mergeCells count="36">
    <mergeCell ref="A1:G1"/>
    <mergeCell ref="C12:D12"/>
    <mergeCell ref="F12:G12"/>
    <mergeCell ref="A9:G9"/>
    <mergeCell ref="A7:G7"/>
    <mergeCell ref="A8:G8"/>
    <mergeCell ref="C3:G3"/>
    <mergeCell ref="C4:G4"/>
    <mergeCell ref="C5:G5"/>
    <mergeCell ref="A77:B77"/>
    <mergeCell ref="A82:B82"/>
    <mergeCell ref="A83:B83"/>
    <mergeCell ref="A78:G78"/>
    <mergeCell ref="A79:B79"/>
    <mergeCell ref="A80:G80"/>
    <mergeCell ref="A81:B81"/>
    <mergeCell ref="A76:B76"/>
    <mergeCell ref="A26:G26"/>
    <mergeCell ref="A50:B50"/>
    <mergeCell ref="A51:G51"/>
    <mergeCell ref="A58:B58"/>
    <mergeCell ref="A59:G59"/>
    <mergeCell ref="A71:B71"/>
    <mergeCell ref="A72:G72"/>
    <mergeCell ref="A75:B75"/>
    <mergeCell ref="A25:B25"/>
    <mergeCell ref="A6:G6"/>
    <mergeCell ref="A10:B10"/>
    <mergeCell ref="A11:A13"/>
    <mergeCell ref="B11:B13"/>
    <mergeCell ref="C11:G11"/>
    <mergeCell ref="A15:G15"/>
    <mergeCell ref="A16:G16"/>
    <mergeCell ref="A21:B21"/>
    <mergeCell ref="A22:G22"/>
    <mergeCell ref="A23:G23"/>
  </mergeCells>
  <phoneticPr fontId="4" type="noConversion"/>
  <pageMargins left="0.25" right="0.25" top="0.75" bottom="0.75" header="0.3" footer="0.3"/>
  <pageSetup paperSize="9" scale="47" fitToHeight="0"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5"/>
  <sheetViews>
    <sheetView topLeftCell="B1" workbookViewId="0">
      <selection activeCell="C21" sqref="C21"/>
    </sheetView>
  </sheetViews>
  <sheetFormatPr defaultRowHeight="15" x14ac:dyDescent="0.25"/>
  <cols>
    <col min="1" max="1" width="4.85546875" style="63" customWidth="1"/>
    <col min="2" max="2" width="47.7109375" style="67" customWidth="1"/>
    <col min="3" max="3" width="17.140625" style="63" customWidth="1"/>
    <col min="4" max="4" width="15.85546875" style="63" customWidth="1"/>
    <col min="5" max="5" width="16.5703125" style="63" customWidth="1"/>
    <col min="6" max="6" width="17.140625" style="65" customWidth="1"/>
    <col min="7" max="7" width="16" style="65" customWidth="1"/>
    <col min="8" max="8" width="17.140625" style="66" customWidth="1"/>
    <col min="9" max="9" width="16.5703125" style="65" bestFit="1" customWidth="1"/>
    <col min="10" max="10" width="15.42578125" style="65" bestFit="1" customWidth="1"/>
    <col min="11" max="11" width="11.85546875" style="65" bestFit="1" customWidth="1"/>
    <col min="12" max="12" width="11.28515625" style="65" bestFit="1" customWidth="1"/>
    <col min="13" max="13" width="23.140625" style="65" customWidth="1"/>
    <col min="14" max="16384" width="9.140625" style="65"/>
  </cols>
  <sheetData>
    <row r="1" spans="1:10" ht="15.75" customHeight="1" x14ac:dyDescent="0.25">
      <c r="C1" s="68"/>
      <c r="D1" s="69"/>
      <c r="E1" s="69"/>
    </row>
    <row r="2" spans="1:10" ht="18.75" customHeight="1" x14ac:dyDescent="0.25">
      <c r="C2" s="68"/>
      <c r="D2" s="69"/>
      <c r="E2" s="69"/>
    </row>
    <row r="3" spans="1:10" ht="18.75" customHeight="1" x14ac:dyDescent="0.25">
      <c r="B3" s="70" t="s">
        <v>255</v>
      </c>
      <c r="C3" s="68"/>
      <c r="D3" s="69"/>
      <c r="E3" s="69"/>
    </row>
    <row r="4" spans="1:10" ht="18.75" customHeight="1" x14ac:dyDescent="0.25">
      <c r="B4" s="71" t="s">
        <v>256</v>
      </c>
      <c r="C4" s="68"/>
      <c r="D4" s="69"/>
      <c r="E4" s="69"/>
    </row>
    <row r="5" spans="1:10" ht="18.75" customHeight="1" x14ac:dyDescent="0.25">
      <c r="B5" s="71"/>
      <c r="C5" s="68"/>
      <c r="D5" s="69"/>
      <c r="E5" s="69"/>
    </row>
    <row r="6" spans="1:10" ht="20.25" customHeight="1" x14ac:dyDescent="0.25">
      <c r="C6" s="68"/>
      <c r="D6" s="69"/>
      <c r="E6" s="69"/>
    </row>
    <row r="7" spans="1:10" ht="45" x14ac:dyDescent="0.25">
      <c r="A7" s="72"/>
      <c r="B7" s="73"/>
      <c r="C7" s="275" t="s">
        <v>145</v>
      </c>
      <c r="D7" s="276"/>
      <c r="E7" s="74" t="s">
        <v>257</v>
      </c>
      <c r="F7" s="75" t="s">
        <v>258</v>
      </c>
      <c r="G7" s="76" t="s">
        <v>259</v>
      </c>
      <c r="H7" s="77" t="s">
        <v>260</v>
      </c>
      <c r="I7" s="78"/>
    </row>
    <row r="8" spans="1:10" ht="15.75" x14ac:dyDescent="0.25">
      <c r="A8" s="79"/>
      <c r="B8" s="80" t="s">
        <v>261</v>
      </c>
      <c r="C8" s="277">
        <v>920898.7</v>
      </c>
      <c r="D8" s="277"/>
      <c r="E8" s="81">
        <v>100</v>
      </c>
      <c r="F8" s="82"/>
      <c r="G8" s="258">
        <v>43.57</v>
      </c>
      <c r="H8" s="259">
        <v>30</v>
      </c>
      <c r="I8" s="66"/>
    </row>
    <row r="9" spans="1:10" ht="15.75" x14ac:dyDescent="0.25">
      <c r="A9" s="79"/>
      <c r="B9" s="80" t="s">
        <v>262</v>
      </c>
      <c r="C9" s="262">
        <f>'Deviz Genral cu TVA'!O38</f>
        <v>0</v>
      </c>
      <c r="D9" s="263"/>
      <c r="E9" s="81">
        <f>C9*100/C8</f>
        <v>0</v>
      </c>
      <c r="F9" s="83">
        <v>100</v>
      </c>
      <c r="G9" s="258"/>
      <c r="H9" s="260"/>
      <c r="I9" s="66"/>
    </row>
    <row r="10" spans="1:10" ht="15.75" x14ac:dyDescent="0.25">
      <c r="A10" s="79"/>
      <c r="B10" s="84" t="s">
        <v>263</v>
      </c>
      <c r="C10" s="264">
        <v>3000000</v>
      </c>
      <c r="D10" s="264"/>
      <c r="E10" s="81">
        <f>C10*E8/C8</f>
        <v>325.76873004598662</v>
      </c>
      <c r="F10" s="85" t="e">
        <f>C10*100/C9</f>
        <v>#DIV/0!</v>
      </c>
      <c r="G10" s="258"/>
      <c r="H10" s="260"/>
      <c r="I10" s="86"/>
      <c r="J10" s="63"/>
    </row>
    <row r="11" spans="1:10" x14ac:dyDescent="0.25">
      <c r="A11" s="79"/>
      <c r="B11" s="265" t="s">
        <v>264</v>
      </c>
      <c r="C11" s="267">
        <f>'Deviz Genral cu TVA'!P38</f>
        <v>0</v>
      </c>
      <c r="D11" s="268"/>
      <c r="E11" s="271">
        <f>(C11)*E8/C8</f>
        <v>0</v>
      </c>
      <c r="F11" s="273">
        <f>0</f>
        <v>0</v>
      </c>
      <c r="G11" s="258"/>
      <c r="H11" s="260"/>
      <c r="I11" s="87"/>
    </row>
    <row r="12" spans="1:10" x14ac:dyDescent="0.25">
      <c r="A12" s="88"/>
      <c r="B12" s="266"/>
      <c r="C12" s="269"/>
      <c r="D12" s="270"/>
      <c r="E12" s="272"/>
      <c r="F12" s="274"/>
      <c r="G12" s="258"/>
      <c r="H12" s="261"/>
      <c r="I12" s="66"/>
    </row>
    <row r="14" spans="1:10" x14ac:dyDescent="0.25">
      <c r="B14" s="70"/>
      <c r="C14" s="89"/>
    </row>
    <row r="15" spans="1:10" x14ac:dyDescent="0.25">
      <c r="B15" s="71"/>
      <c r="C15" s="90"/>
      <c r="F15" s="101"/>
    </row>
    <row r="16" spans="1:10" x14ac:dyDescent="0.25">
      <c r="C16" s="91"/>
      <c r="D16" s="92"/>
      <c r="E16" s="93"/>
    </row>
    <row r="17" spans="2:9" x14ac:dyDescent="0.25">
      <c r="B17" s="64" t="s">
        <v>265</v>
      </c>
      <c r="C17" s="94"/>
      <c r="D17" s="95"/>
      <c r="E17" s="96" t="s">
        <v>266</v>
      </c>
    </row>
    <row r="18" spans="2:9" ht="75" x14ac:dyDescent="0.25">
      <c r="C18" s="97"/>
      <c r="D18" s="91"/>
      <c r="E18" s="99" t="s">
        <v>271</v>
      </c>
      <c r="F18" s="100">
        <v>60</v>
      </c>
    </row>
    <row r="19" spans="2:9" ht="30" x14ac:dyDescent="0.25">
      <c r="B19" s="110" t="s">
        <v>267</v>
      </c>
      <c r="C19" s="98">
        <f>'Deviz Genral cu TVA'!P38</f>
        <v>0</v>
      </c>
      <c r="E19" s="99" t="s">
        <v>272</v>
      </c>
      <c r="F19" s="100">
        <v>20</v>
      </c>
      <c r="I19" s="101">
        <f>H8+E11</f>
        <v>30</v>
      </c>
    </row>
    <row r="20" spans="2:9" ht="75" x14ac:dyDescent="0.25">
      <c r="B20" s="110" t="s">
        <v>269</v>
      </c>
      <c r="C20" s="102">
        <f>'Deviz Genral cu TVA'!M76</f>
        <v>0</v>
      </c>
      <c r="D20" s="103"/>
      <c r="E20" s="99" t="s">
        <v>273</v>
      </c>
      <c r="F20" s="104">
        <v>8.39</v>
      </c>
    </row>
    <row r="21" spans="2:9" ht="29.25" x14ac:dyDescent="0.25">
      <c r="B21" s="105" t="s">
        <v>270</v>
      </c>
      <c r="C21" s="106">
        <f>C20+C19</f>
        <v>0</v>
      </c>
      <c r="E21" s="107" t="s">
        <v>268</v>
      </c>
      <c r="F21" s="108">
        <f>F18+F19+F20</f>
        <v>88.39</v>
      </c>
    </row>
    <row r="24" spans="2:9" ht="16.5" x14ac:dyDescent="0.25">
      <c r="B24" s="109"/>
    </row>
    <row r="25" spans="2:9" x14ac:dyDescent="0.25">
      <c r="C25" s="89"/>
    </row>
  </sheetData>
  <mergeCells count="10">
    <mergeCell ref="C7:D7"/>
    <mergeCell ref="C8:D8"/>
    <mergeCell ref="G8:G12"/>
    <mergeCell ref="H8:H12"/>
    <mergeCell ref="C9:D9"/>
    <mergeCell ref="C10:D10"/>
    <mergeCell ref="B11:B12"/>
    <mergeCell ref="C11:D12"/>
    <mergeCell ref="E11:E12"/>
    <mergeCell ref="F11:F1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9:C20"/>
  <sheetViews>
    <sheetView topLeftCell="A5" workbookViewId="0">
      <selection activeCell="B17" sqref="B17"/>
    </sheetView>
  </sheetViews>
  <sheetFormatPr defaultRowHeight="12.75" x14ac:dyDescent="0.2"/>
  <cols>
    <col min="1" max="1" width="40" customWidth="1"/>
    <col min="2" max="2" width="18.42578125" customWidth="1"/>
    <col min="3" max="3" width="16" customWidth="1"/>
  </cols>
  <sheetData>
    <row r="9" spans="1:3" ht="55.5" customHeight="1" x14ac:dyDescent="0.25">
      <c r="A9" s="119" t="s">
        <v>281</v>
      </c>
      <c r="B9" s="119" t="s">
        <v>282</v>
      </c>
      <c r="C9" s="119" t="s">
        <v>283</v>
      </c>
    </row>
    <row r="10" spans="1:3" ht="37.5" customHeight="1" x14ac:dyDescent="0.2">
      <c r="A10" s="116" t="s">
        <v>284</v>
      </c>
      <c r="B10" s="117">
        <f>B11+B12+B14</f>
        <v>215.56</v>
      </c>
      <c r="C10" s="117">
        <f>C11+C12+C14</f>
        <v>115.66</v>
      </c>
    </row>
    <row r="11" spans="1:3" x14ac:dyDescent="0.2">
      <c r="A11" s="61" t="s">
        <v>285</v>
      </c>
      <c r="B11" s="61">
        <v>167.41</v>
      </c>
      <c r="C11" s="61">
        <v>88.15</v>
      </c>
    </row>
    <row r="12" spans="1:3" ht="25.5" x14ac:dyDescent="0.2">
      <c r="A12" s="62" t="s">
        <v>286</v>
      </c>
      <c r="B12" s="61">
        <v>42.13</v>
      </c>
      <c r="C12" s="61">
        <v>21.49</v>
      </c>
    </row>
    <row r="13" spans="1:3" ht="25.5" x14ac:dyDescent="0.2">
      <c r="A13" s="62" t="s">
        <v>289</v>
      </c>
      <c r="B13" s="61">
        <v>0</v>
      </c>
      <c r="C13" s="61">
        <v>20.64</v>
      </c>
    </row>
    <row r="14" spans="1:3" x14ac:dyDescent="0.2">
      <c r="A14" s="62" t="s">
        <v>287</v>
      </c>
      <c r="B14" s="61">
        <v>6.02</v>
      </c>
      <c r="C14" s="61">
        <v>6.02</v>
      </c>
    </row>
    <row r="15" spans="1:3" ht="63.75" x14ac:dyDescent="0.2">
      <c r="A15" s="116" t="s">
        <v>288</v>
      </c>
      <c r="B15" s="117">
        <f>B16+B17+B19</f>
        <v>44.769999999999996</v>
      </c>
      <c r="C15" s="117">
        <f>C16+C17+C19-0.01</f>
        <v>9.33</v>
      </c>
    </row>
    <row r="16" spans="1:3" x14ac:dyDescent="0.2">
      <c r="A16" s="61" t="s">
        <v>285</v>
      </c>
      <c r="B16" s="61">
        <v>7.05</v>
      </c>
      <c r="C16" s="61">
        <v>3.71</v>
      </c>
    </row>
    <row r="17" spans="1:3" ht="25.5" x14ac:dyDescent="0.2">
      <c r="A17" s="62" t="s">
        <v>286</v>
      </c>
      <c r="B17" s="61">
        <v>33</v>
      </c>
      <c r="C17" s="61">
        <v>0.91</v>
      </c>
    </row>
    <row r="18" spans="1:3" ht="25.5" customHeight="1" x14ac:dyDescent="0.2">
      <c r="A18" s="62" t="str">
        <f>A13</f>
        <v>APA CALDA DE CONSUM (energie
regenerabila)</v>
      </c>
      <c r="B18" s="61">
        <v>0</v>
      </c>
      <c r="C18" s="61">
        <v>0</v>
      </c>
    </row>
    <row r="19" spans="1:3" x14ac:dyDescent="0.2">
      <c r="A19" s="62" t="s">
        <v>287</v>
      </c>
      <c r="B19" s="61">
        <v>4.72</v>
      </c>
      <c r="C19" s="61">
        <v>4.72</v>
      </c>
    </row>
    <row r="20" spans="1:3" x14ac:dyDescent="0.2">
      <c r="C20" s="118">
        <v>0</v>
      </c>
    </row>
  </sheetData>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2"/>
  <sheetViews>
    <sheetView topLeftCell="A40" workbookViewId="0">
      <selection activeCell="A7" sqref="A7:F7"/>
    </sheetView>
  </sheetViews>
  <sheetFormatPr defaultRowHeight="12.75" x14ac:dyDescent="0.2"/>
  <cols>
    <col min="1" max="1" width="9.140625" style="10"/>
    <col min="2" max="2" width="15.85546875" style="10" customWidth="1"/>
    <col min="3" max="16384" width="9.140625" style="10"/>
  </cols>
  <sheetData>
    <row r="1" spans="1:7" x14ac:dyDescent="0.2">
      <c r="A1" s="10" t="str">
        <f>'Deviz Genral cu TVA'!B3</f>
        <v>Proiectant</v>
      </c>
      <c r="B1" s="10" t="str">
        <f>'Deviz Genral cu TVA'!C3</f>
        <v>SC TERM SRL</v>
      </c>
    </row>
    <row r="2" spans="1:7" x14ac:dyDescent="0.2">
      <c r="A2" s="10" t="str">
        <f>'Deviz Genral cu TVA'!B4</f>
        <v>Adresa</v>
      </c>
      <c r="B2" s="10" t="str">
        <f>'Deviz Genral cu TVA'!C4</f>
        <v>municipiul Oradea, str. Mimozei, nr. 6, ap. 4, jud. Bihor</v>
      </c>
    </row>
    <row r="3" spans="1:7" x14ac:dyDescent="0.2">
      <c r="A3" s="10" t="str">
        <f>'Deviz Genral cu TVA'!B5</f>
        <v>CUI</v>
      </c>
      <c r="B3" s="10" t="str">
        <f>'Deviz Genral cu TVA'!C5</f>
        <v>RO 9569400</v>
      </c>
    </row>
    <row r="5" spans="1:7" ht="32.25" customHeight="1" x14ac:dyDescent="0.2">
      <c r="A5" s="234" t="s">
        <v>150</v>
      </c>
      <c r="B5" s="234"/>
      <c r="C5" s="234"/>
      <c r="D5" s="234"/>
      <c r="E5" s="234"/>
      <c r="F5" s="234"/>
      <c r="G5" s="234"/>
    </row>
    <row r="6" spans="1:7" ht="41.25" customHeight="1" x14ac:dyDescent="0.2">
      <c r="A6" s="235" t="str">
        <f>'Deviz Genral cu TVA'!A9:G9</f>
        <v>REABILITARE ÎN VEDEREA EFICIENTIZĂRII ENERGETICE A ȘCOLII GIMNAZIALE “NESTOR PORUMB”, NR. 123-124, DIN LOCALITATEA TULCA, JUDEŢUL BIHOR</v>
      </c>
      <c r="B6" s="236"/>
      <c r="C6" s="236"/>
      <c r="D6" s="236"/>
      <c r="E6" s="236"/>
      <c r="F6" s="236"/>
      <c r="G6" s="237"/>
    </row>
    <row r="7" spans="1:7" x14ac:dyDescent="0.2">
      <c r="A7" s="238" t="s">
        <v>303</v>
      </c>
      <c r="B7" s="238"/>
      <c r="C7" s="238"/>
      <c r="D7" s="238"/>
      <c r="E7" s="238"/>
      <c r="F7" s="238"/>
      <c r="G7" s="26">
        <f>'Deviz Genral cu TVA'!C10</f>
        <v>4.9218999999999999</v>
      </c>
    </row>
    <row r="8" spans="1:7" ht="42.75" customHeight="1" x14ac:dyDescent="0.2">
      <c r="A8" s="233" t="s">
        <v>47</v>
      </c>
      <c r="B8" s="233" t="s">
        <v>48</v>
      </c>
      <c r="C8" s="239" t="s">
        <v>49</v>
      </c>
      <c r="D8" s="239"/>
      <c r="E8" s="7" t="s">
        <v>41</v>
      </c>
      <c r="F8" s="239" t="s">
        <v>251</v>
      </c>
      <c r="G8" s="239"/>
    </row>
    <row r="9" spans="1:7" x14ac:dyDescent="0.2">
      <c r="A9" s="233"/>
      <c r="B9" s="233"/>
      <c r="C9" s="6" t="s">
        <v>145</v>
      </c>
      <c r="D9" s="6" t="s">
        <v>146</v>
      </c>
      <c r="E9" s="6" t="s">
        <v>147</v>
      </c>
      <c r="F9" s="6" t="s">
        <v>147</v>
      </c>
      <c r="G9" s="6" t="s">
        <v>148</v>
      </c>
    </row>
    <row r="10" spans="1:7" x14ac:dyDescent="0.2">
      <c r="A10" s="233" t="s">
        <v>71</v>
      </c>
      <c r="B10" s="233"/>
      <c r="C10" s="233"/>
      <c r="D10" s="233"/>
      <c r="E10" s="233"/>
      <c r="F10" s="233"/>
      <c r="G10" s="233"/>
    </row>
    <row r="11" spans="1:7" s="124" customFormat="1" ht="25.5" x14ac:dyDescent="0.2">
      <c r="A11" s="122">
        <v>1.1000000000000001</v>
      </c>
      <c r="B11" s="122" t="s">
        <v>151</v>
      </c>
      <c r="C11" s="123">
        <f>C12+C13+C14+C15+C16+C17</f>
        <v>0</v>
      </c>
      <c r="D11" s="123">
        <f>D12+D13+D14+D15+D16+D17</f>
        <v>0</v>
      </c>
      <c r="E11" s="123">
        <f>E12+E13+E14+E15+E16+E17</f>
        <v>0</v>
      </c>
      <c r="F11" s="123">
        <f>F12+F13+F14+F15+F16+F17</f>
        <v>0</v>
      </c>
      <c r="G11" s="123">
        <f>G12+G13+G14+G15+G16+G17</f>
        <v>0</v>
      </c>
    </row>
    <row r="12" spans="1:7" ht="25.5" x14ac:dyDescent="0.2">
      <c r="A12" s="8" t="s">
        <v>158</v>
      </c>
      <c r="B12" s="8" t="s">
        <v>152</v>
      </c>
      <c r="C12" s="40">
        <v>0</v>
      </c>
      <c r="D12" s="40">
        <f t="shared" ref="D12:D19" si="0">C12/$G$7</f>
        <v>0</v>
      </c>
      <c r="E12" s="41">
        <f t="shared" ref="E12:E19" si="1">C12*0.19</f>
        <v>0</v>
      </c>
      <c r="F12" s="41">
        <f t="shared" ref="F12:F19" si="2">C12+E12</f>
        <v>0</v>
      </c>
      <c r="G12" s="41">
        <f t="shared" ref="G12:G19" si="3">F12/$G$7</f>
        <v>0</v>
      </c>
    </row>
    <row r="13" spans="1:7" ht="51" x14ac:dyDescent="0.2">
      <c r="A13" s="8" t="s">
        <v>159</v>
      </c>
      <c r="B13" s="8" t="s">
        <v>153</v>
      </c>
      <c r="C13" s="40">
        <v>0</v>
      </c>
      <c r="D13" s="40">
        <f t="shared" si="0"/>
        <v>0</v>
      </c>
      <c r="E13" s="41">
        <f t="shared" si="1"/>
        <v>0</v>
      </c>
      <c r="F13" s="41">
        <f t="shared" si="2"/>
        <v>0</v>
      </c>
      <c r="G13" s="41">
        <f t="shared" si="3"/>
        <v>0</v>
      </c>
    </row>
    <row r="14" spans="1:7" ht="25.5" x14ac:dyDescent="0.2">
      <c r="A14" s="8" t="s">
        <v>161</v>
      </c>
      <c r="B14" s="8" t="s">
        <v>154</v>
      </c>
      <c r="C14" s="40">
        <v>0</v>
      </c>
      <c r="D14" s="40">
        <f t="shared" si="0"/>
        <v>0</v>
      </c>
      <c r="E14" s="41">
        <f t="shared" si="1"/>
        <v>0</v>
      </c>
      <c r="F14" s="41">
        <f t="shared" si="2"/>
        <v>0</v>
      </c>
      <c r="G14" s="41">
        <f t="shared" si="3"/>
        <v>0</v>
      </c>
    </row>
    <row r="15" spans="1:7" ht="38.25" x14ac:dyDescent="0.2">
      <c r="A15" s="8" t="s">
        <v>162</v>
      </c>
      <c r="B15" s="8" t="s">
        <v>155</v>
      </c>
      <c r="C15" s="40">
        <v>0</v>
      </c>
      <c r="D15" s="40">
        <f t="shared" si="0"/>
        <v>0</v>
      </c>
      <c r="E15" s="41">
        <f t="shared" si="1"/>
        <v>0</v>
      </c>
      <c r="F15" s="41">
        <f t="shared" si="2"/>
        <v>0</v>
      </c>
      <c r="G15" s="41">
        <f t="shared" si="3"/>
        <v>0</v>
      </c>
    </row>
    <row r="16" spans="1:7" ht="51" x14ac:dyDescent="0.2">
      <c r="A16" s="8" t="s">
        <v>160</v>
      </c>
      <c r="B16" s="8" t="s">
        <v>156</v>
      </c>
      <c r="C16" s="40">
        <v>0</v>
      </c>
      <c r="D16" s="40">
        <f t="shared" si="0"/>
        <v>0</v>
      </c>
      <c r="E16" s="41">
        <f t="shared" si="1"/>
        <v>0</v>
      </c>
      <c r="F16" s="41">
        <f t="shared" si="2"/>
        <v>0</v>
      </c>
      <c r="G16" s="41">
        <f t="shared" si="3"/>
        <v>0</v>
      </c>
    </row>
    <row r="17" spans="1:7" ht="38.25" x14ac:dyDescent="0.2">
      <c r="A17" s="8" t="s">
        <v>163</v>
      </c>
      <c r="B17" s="8" t="s">
        <v>157</v>
      </c>
      <c r="C17" s="40">
        <v>0</v>
      </c>
      <c r="D17" s="40">
        <f t="shared" si="0"/>
        <v>0</v>
      </c>
      <c r="E17" s="41">
        <f t="shared" si="1"/>
        <v>0</v>
      </c>
      <c r="F17" s="41">
        <f t="shared" si="2"/>
        <v>0</v>
      </c>
      <c r="G17" s="41">
        <f t="shared" si="3"/>
        <v>0</v>
      </c>
    </row>
    <row r="18" spans="1:7" s="124" customFormat="1" ht="25.5" x14ac:dyDescent="0.2">
      <c r="A18" s="122">
        <v>1.2</v>
      </c>
      <c r="B18" s="122" t="s">
        <v>4</v>
      </c>
      <c r="C18" s="123">
        <f>C19+C20+C21+C22+C23+C24+C25+C26+C27+C28+C29+C30+C31+C32</f>
        <v>0</v>
      </c>
      <c r="D18" s="123">
        <f>D19+D20+D21+D22+D23+D24+D25+D26+D27+D28+D29+D30+D31+D32</f>
        <v>0</v>
      </c>
      <c r="E18" s="123">
        <f>E19+E20+E21+E22+E23+E24+E25+E26+E27+E28+E29+E30+E31+E32</f>
        <v>0</v>
      </c>
      <c r="F18" s="123">
        <f>F19+F20+F21+F22+F23+F24+F25+F26+F27+F28+F29+F30+F31+F32</f>
        <v>0</v>
      </c>
      <c r="G18" s="123">
        <f>G19+G20+G21+G22+G23+G24+G25+G26+G27+G28+G29+G30+G31+G32</f>
        <v>0</v>
      </c>
    </row>
    <row r="19" spans="1:7" x14ac:dyDescent="0.2">
      <c r="A19" s="9" t="s">
        <v>158</v>
      </c>
      <c r="B19" s="8" t="s">
        <v>164</v>
      </c>
      <c r="C19" s="40">
        <v>0</v>
      </c>
      <c r="D19" s="40">
        <f t="shared" si="0"/>
        <v>0</v>
      </c>
      <c r="E19" s="41">
        <f t="shared" si="1"/>
        <v>0</v>
      </c>
      <c r="F19" s="41">
        <f t="shared" si="2"/>
        <v>0</v>
      </c>
      <c r="G19" s="41">
        <f t="shared" si="3"/>
        <v>0</v>
      </c>
    </row>
    <row r="20" spans="1:7" x14ac:dyDescent="0.2">
      <c r="A20" s="9" t="s">
        <v>159</v>
      </c>
      <c r="B20" s="8" t="s">
        <v>165</v>
      </c>
      <c r="C20" s="40">
        <v>0</v>
      </c>
      <c r="D20" s="40">
        <f>C20/$G$7</f>
        <v>0</v>
      </c>
      <c r="E20" s="41">
        <f>C20*0.19</f>
        <v>0</v>
      </c>
      <c r="F20" s="41">
        <f>C20+E20</f>
        <v>0</v>
      </c>
      <c r="G20" s="41">
        <f>F20/$G$7</f>
        <v>0</v>
      </c>
    </row>
    <row r="21" spans="1:7" x14ac:dyDescent="0.2">
      <c r="A21" s="9" t="s">
        <v>161</v>
      </c>
      <c r="B21" s="8" t="s">
        <v>166</v>
      </c>
      <c r="C21" s="40">
        <v>0</v>
      </c>
      <c r="D21" s="40">
        <f t="shared" ref="D21:D32" si="4">C21/$G$7</f>
        <v>0</v>
      </c>
      <c r="E21" s="41">
        <f t="shared" ref="E21:E32" si="5">C21*0.19</f>
        <v>0</v>
      </c>
      <c r="F21" s="41">
        <f t="shared" ref="F21:F32" si="6">C21+E21</f>
        <v>0</v>
      </c>
      <c r="G21" s="41">
        <f t="shared" ref="G21:G32" si="7">F21/$G$7</f>
        <v>0</v>
      </c>
    </row>
    <row r="22" spans="1:7" x14ac:dyDescent="0.2">
      <c r="A22" s="9" t="s">
        <v>162</v>
      </c>
      <c r="B22" s="8" t="s">
        <v>167</v>
      </c>
      <c r="C22" s="40">
        <v>0</v>
      </c>
      <c r="D22" s="40">
        <f t="shared" si="4"/>
        <v>0</v>
      </c>
      <c r="E22" s="41">
        <f t="shared" si="5"/>
        <v>0</v>
      </c>
      <c r="F22" s="41">
        <f t="shared" si="6"/>
        <v>0</v>
      </c>
      <c r="G22" s="41">
        <f t="shared" si="7"/>
        <v>0</v>
      </c>
    </row>
    <row r="23" spans="1:7" ht="76.5" x14ac:dyDescent="0.2">
      <c r="A23" s="9" t="s">
        <v>160</v>
      </c>
      <c r="B23" s="8" t="s">
        <v>168</v>
      </c>
      <c r="C23" s="40">
        <v>0</v>
      </c>
      <c r="D23" s="40">
        <f t="shared" si="4"/>
        <v>0</v>
      </c>
      <c r="E23" s="41">
        <f t="shared" si="5"/>
        <v>0</v>
      </c>
      <c r="F23" s="41">
        <f t="shared" si="6"/>
        <v>0</v>
      </c>
      <c r="G23" s="41">
        <f t="shared" si="7"/>
        <v>0</v>
      </c>
    </row>
    <row r="24" spans="1:7" ht="25.5" x14ac:dyDescent="0.2">
      <c r="A24" s="9" t="s">
        <v>163</v>
      </c>
      <c r="B24" s="8" t="s">
        <v>169</v>
      </c>
      <c r="C24" s="40">
        <v>0</v>
      </c>
      <c r="D24" s="40">
        <f t="shared" si="4"/>
        <v>0</v>
      </c>
      <c r="E24" s="41">
        <f t="shared" si="5"/>
        <v>0</v>
      </c>
      <c r="F24" s="41">
        <f t="shared" si="6"/>
        <v>0</v>
      </c>
      <c r="G24" s="41">
        <f t="shared" si="7"/>
        <v>0</v>
      </c>
    </row>
    <row r="25" spans="1:7" ht="76.5" x14ac:dyDescent="0.2">
      <c r="A25" s="9" t="s">
        <v>178</v>
      </c>
      <c r="B25" s="8" t="s">
        <v>170</v>
      </c>
      <c r="C25" s="40">
        <v>0</v>
      </c>
      <c r="D25" s="40">
        <f t="shared" si="4"/>
        <v>0</v>
      </c>
      <c r="E25" s="41">
        <f t="shared" si="5"/>
        <v>0</v>
      </c>
      <c r="F25" s="41">
        <f t="shared" si="6"/>
        <v>0</v>
      </c>
      <c r="G25" s="41">
        <f t="shared" si="7"/>
        <v>0</v>
      </c>
    </row>
    <row r="26" spans="1:7" x14ac:dyDescent="0.2">
      <c r="A26" s="9" t="s">
        <v>179</v>
      </c>
      <c r="B26" s="8" t="s">
        <v>171</v>
      </c>
      <c r="C26" s="40">
        <v>0</v>
      </c>
      <c r="D26" s="40">
        <f t="shared" si="4"/>
        <v>0</v>
      </c>
      <c r="E26" s="41">
        <f t="shared" si="5"/>
        <v>0</v>
      </c>
      <c r="F26" s="41">
        <f t="shared" si="6"/>
        <v>0</v>
      </c>
      <c r="G26" s="41">
        <f t="shared" si="7"/>
        <v>0</v>
      </c>
    </row>
    <row r="27" spans="1:7" ht="76.5" x14ac:dyDescent="0.2">
      <c r="A27" s="9" t="s">
        <v>180</v>
      </c>
      <c r="B27" s="8" t="s">
        <v>172</v>
      </c>
      <c r="C27" s="40">
        <v>0</v>
      </c>
      <c r="D27" s="40">
        <f t="shared" si="4"/>
        <v>0</v>
      </c>
      <c r="E27" s="41">
        <f t="shared" si="5"/>
        <v>0</v>
      </c>
      <c r="F27" s="41">
        <f t="shared" si="6"/>
        <v>0</v>
      </c>
      <c r="G27" s="41">
        <f t="shared" si="7"/>
        <v>0</v>
      </c>
    </row>
    <row r="28" spans="1:7" ht="25.5" x14ac:dyDescent="0.2">
      <c r="A28" s="9" t="s">
        <v>181</v>
      </c>
      <c r="B28" s="8" t="s">
        <v>173</v>
      </c>
      <c r="C28" s="40">
        <v>0</v>
      </c>
      <c r="D28" s="40">
        <f t="shared" si="4"/>
        <v>0</v>
      </c>
      <c r="E28" s="41">
        <f t="shared" si="5"/>
        <v>0</v>
      </c>
      <c r="F28" s="41">
        <f t="shared" si="6"/>
        <v>0</v>
      </c>
      <c r="G28" s="41">
        <f t="shared" si="7"/>
        <v>0</v>
      </c>
    </row>
    <row r="29" spans="1:7" ht="25.5" x14ac:dyDescent="0.2">
      <c r="A29" s="9" t="s">
        <v>182</v>
      </c>
      <c r="B29" s="8" t="s">
        <v>174</v>
      </c>
      <c r="C29" s="40">
        <v>0</v>
      </c>
      <c r="D29" s="40">
        <f t="shared" si="4"/>
        <v>0</v>
      </c>
      <c r="E29" s="41">
        <f t="shared" si="5"/>
        <v>0</v>
      </c>
      <c r="F29" s="41">
        <f t="shared" si="6"/>
        <v>0</v>
      </c>
      <c r="G29" s="41">
        <f t="shared" si="7"/>
        <v>0</v>
      </c>
    </row>
    <row r="30" spans="1:7" ht="38.25" x14ac:dyDescent="0.2">
      <c r="A30" s="9" t="s">
        <v>183</v>
      </c>
      <c r="B30" s="8" t="s">
        <v>175</v>
      </c>
      <c r="C30" s="40">
        <v>0</v>
      </c>
      <c r="D30" s="40">
        <f t="shared" si="4"/>
        <v>0</v>
      </c>
      <c r="E30" s="41">
        <f t="shared" si="5"/>
        <v>0</v>
      </c>
      <c r="F30" s="41">
        <f t="shared" si="6"/>
        <v>0</v>
      </c>
      <c r="G30" s="41">
        <f t="shared" si="7"/>
        <v>0</v>
      </c>
    </row>
    <row r="31" spans="1:7" ht="216.75" x14ac:dyDescent="0.2">
      <c r="A31" s="9" t="s">
        <v>184</v>
      </c>
      <c r="B31" s="8" t="s">
        <v>176</v>
      </c>
      <c r="C31" s="40">
        <v>0</v>
      </c>
      <c r="D31" s="40">
        <f t="shared" si="4"/>
        <v>0</v>
      </c>
      <c r="E31" s="41">
        <f t="shared" si="5"/>
        <v>0</v>
      </c>
      <c r="F31" s="41">
        <f t="shared" si="6"/>
        <v>0</v>
      </c>
      <c r="G31" s="41">
        <f t="shared" si="7"/>
        <v>0</v>
      </c>
    </row>
    <row r="32" spans="1:7" ht="38.25" x14ac:dyDescent="0.2">
      <c r="A32" s="9" t="s">
        <v>185</v>
      </c>
      <c r="B32" s="8" t="s">
        <v>177</v>
      </c>
      <c r="C32" s="40">
        <v>0</v>
      </c>
      <c r="D32" s="40">
        <f t="shared" si="4"/>
        <v>0</v>
      </c>
      <c r="E32" s="41">
        <f t="shared" si="5"/>
        <v>0</v>
      </c>
      <c r="F32" s="41">
        <f t="shared" si="6"/>
        <v>0</v>
      </c>
      <c r="G32" s="41">
        <f t="shared" si="7"/>
        <v>0</v>
      </c>
    </row>
    <row r="33" spans="1:7" ht="63.75" x14ac:dyDescent="0.2">
      <c r="A33" s="112">
        <v>1.3</v>
      </c>
      <c r="B33" s="122" t="s">
        <v>186</v>
      </c>
      <c r="C33" s="123">
        <f>C34+C35+C36+C37</f>
        <v>0</v>
      </c>
      <c r="D33" s="123">
        <f>D34+D35+D36+D37</f>
        <v>0</v>
      </c>
      <c r="E33" s="123">
        <f>E34+E35+E36+E37</f>
        <v>0</v>
      </c>
      <c r="F33" s="123">
        <f>F34+F35+F36+F37</f>
        <v>0</v>
      </c>
      <c r="G33" s="123">
        <f>G34+G35+G36+G37</f>
        <v>0</v>
      </c>
    </row>
    <row r="34" spans="1:7" ht="25.5" x14ac:dyDescent="0.2">
      <c r="A34" s="9"/>
      <c r="B34" s="8" t="s">
        <v>187</v>
      </c>
      <c r="C34" s="40">
        <v>0</v>
      </c>
      <c r="D34" s="40">
        <f>C34/$G$7</f>
        <v>0</v>
      </c>
      <c r="E34" s="41">
        <f>C34*0.19</f>
        <v>0</v>
      </c>
      <c r="F34" s="41">
        <f>C34+E34</f>
        <v>0</v>
      </c>
      <c r="G34" s="41">
        <f>F34/$G$7</f>
        <v>0</v>
      </c>
    </row>
    <row r="35" spans="1:7" ht="25.5" x14ac:dyDescent="0.2">
      <c r="A35" s="9"/>
      <c r="B35" s="8" t="s">
        <v>188</v>
      </c>
      <c r="C35" s="40">
        <v>0</v>
      </c>
      <c r="D35" s="40">
        <f>C35/$G$7</f>
        <v>0</v>
      </c>
      <c r="E35" s="41">
        <f>C35*0.19</f>
        <v>0</v>
      </c>
      <c r="F35" s="41">
        <f>C35+E35</f>
        <v>0</v>
      </c>
      <c r="G35" s="41">
        <f>F35/$G$7</f>
        <v>0</v>
      </c>
    </row>
    <row r="36" spans="1:7" ht="63.75" x14ac:dyDescent="0.2">
      <c r="A36" s="9"/>
      <c r="B36" s="8" t="s">
        <v>189</v>
      </c>
      <c r="C36" s="40">
        <v>0</v>
      </c>
      <c r="D36" s="40">
        <f>C36/$G$7</f>
        <v>0</v>
      </c>
      <c r="E36" s="41">
        <f>C36*0.19</f>
        <v>0</v>
      </c>
      <c r="F36" s="41">
        <f>C36+E36</f>
        <v>0</v>
      </c>
      <c r="G36" s="41">
        <f>F36/$G$7</f>
        <v>0</v>
      </c>
    </row>
    <row r="37" spans="1:7" ht="38.25" x14ac:dyDescent="0.2">
      <c r="A37" s="9"/>
      <c r="B37" s="8" t="s">
        <v>190</v>
      </c>
      <c r="C37" s="40">
        <v>0</v>
      </c>
      <c r="D37" s="40">
        <f>C37/$G$7</f>
        <v>0</v>
      </c>
      <c r="E37" s="41">
        <f>C37*0.19</f>
        <v>0</v>
      </c>
      <c r="F37" s="41">
        <f>C37+E37</f>
        <v>0</v>
      </c>
      <c r="G37" s="41">
        <f>F37/$G$7</f>
        <v>0</v>
      </c>
    </row>
    <row r="38" spans="1:7" s="124" customFormat="1" ht="76.5" x14ac:dyDescent="0.2">
      <c r="A38" s="112">
        <v>1.4</v>
      </c>
      <c r="B38" s="122" t="s">
        <v>191</v>
      </c>
      <c r="C38" s="123">
        <v>0</v>
      </c>
      <c r="D38" s="123">
        <f>C38/$G$7</f>
        <v>0</v>
      </c>
      <c r="E38" s="125">
        <f>C38*0.19</f>
        <v>0</v>
      </c>
      <c r="F38" s="125">
        <f>C38+E38</f>
        <v>0</v>
      </c>
      <c r="G38" s="125">
        <f>F38/$G$7</f>
        <v>0</v>
      </c>
    </row>
    <row r="39" spans="1:7" x14ac:dyDescent="0.2">
      <c r="A39" s="9"/>
      <c r="B39" s="34" t="s">
        <v>78</v>
      </c>
      <c r="C39" s="42">
        <f>C11+C18+C33+C38</f>
        <v>0</v>
      </c>
      <c r="D39" s="42">
        <f>D11+D18+D33+D38</f>
        <v>0</v>
      </c>
      <c r="E39" s="42">
        <f>E11+E18+E33+E38</f>
        <v>0</v>
      </c>
      <c r="F39" s="42">
        <f>F11+F18+F33+F38</f>
        <v>0</v>
      </c>
      <c r="G39" s="42">
        <f>G11+G18+G33+G38</f>
        <v>0</v>
      </c>
    </row>
    <row r="41" spans="1:7" x14ac:dyDescent="0.2">
      <c r="E41" s="32" t="s">
        <v>86</v>
      </c>
    </row>
    <row r="42" spans="1:7" x14ac:dyDescent="0.2">
      <c r="E42" s="10" t="str">
        <f>'Deviz Genral cu TVA'!F86</f>
        <v>ing. Beko Andras</v>
      </c>
    </row>
  </sheetData>
  <mergeCells count="8">
    <mergeCell ref="A10:G10"/>
    <mergeCell ref="A5:G5"/>
    <mergeCell ref="A6:G6"/>
    <mergeCell ref="A7:F7"/>
    <mergeCell ref="A8:A9"/>
    <mergeCell ref="B8:B9"/>
    <mergeCell ref="C8:D8"/>
    <mergeCell ref="F8:G8"/>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3"/>
  <sheetViews>
    <sheetView workbookViewId="0">
      <selection activeCell="A7" sqref="A7:F7"/>
    </sheetView>
  </sheetViews>
  <sheetFormatPr defaultRowHeight="12.75" x14ac:dyDescent="0.2"/>
  <cols>
    <col min="1" max="1" width="9.140625" style="10"/>
    <col min="2" max="2" width="15.85546875" style="10" customWidth="1"/>
    <col min="3" max="16384" width="9.140625" style="10"/>
  </cols>
  <sheetData>
    <row r="1" spans="1:7" x14ac:dyDescent="0.2">
      <c r="A1" s="10" t="str">
        <f>'Deviz Genral cu TVA'!B3</f>
        <v>Proiectant</v>
      </c>
      <c r="B1" s="10" t="str">
        <f>'Deviz Genral cu TVA'!C3</f>
        <v>SC TERM SRL</v>
      </c>
    </row>
    <row r="2" spans="1:7" x14ac:dyDescent="0.2">
      <c r="A2" s="10" t="str">
        <f>'Deviz Genral cu TVA'!B4</f>
        <v>Adresa</v>
      </c>
      <c r="B2" s="10" t="str">
        <f>'Deviz Genral cu TVA'!C4</f>
        <v>municipiul Oradea, str. Mimozei, nr. 6, ap. 4, jud. Bihor</v>
      </c>
    </row>
    <row r="3" spans="1:7" x14ac:dyDescent="0.2">
      <c r="A3" s="10" t="str">
        <f>'Deviz Genral cu TVA'!B5</f>
        <v>CUI</v>
      </c>
      <c r="B3" s="10" t="str">
        <f>'Deviz Genral cu TVA'!C5</f>
        <v>RO 9569400</v>
      </c>
    </row>
    <row r="5" spans="1:7" ht="32.25" customHeight="1" x14ac:dyDescent="0.2">
      <c r="A5" s="234" t="s">
        <v>70</v>
      </c>
      <c r="B5" s="234"/>
      <c r="C5" s="234"/>
      <c r="D5" s="234"/>
      <c r="E5" s="234"/>
      <c r="F5" s="234"/>
      <c r="G5" s="234"/>
    </row>
    <row r="6" spans="1:7" ht="41.25" customHeight="1" x14ac:dyDescent="0.2">
      <c r="A6" s="235" t="str">
        <f>'Deviz Genral cu TVA'!A9:G9</f>
        <v>REABILITARE ÎN VEDEREA EFICIENTIZĂRII ENERGETICE A ȘCOLII GIMNAZIALE “NESTOR PORUMB”, NR. 123-124, DIN LOCALITATEA TULCA, JUDEŢUL BIHOR</v>
      </c>
      <c r="B6" s="236"/>
      <c r="C6" s="236"/>
      <c r="D6" s="236"/>
      <c r="E6" s="236"/>
      <c r="F6" s="236"/>
      <c r="G6" s="237"/>
    </row>
    <row r="7" spans="1:7" x14ac:dyDescent="0.2">
      <c r="A7" s="238" t="s">
        <v>304</v>
      </c>
      <c r="B7" s="238"/>
      <c r="C7" s="238"/>
      <c r="D7" s="238"/>
      <c r="E7" s="238"/>
      <c r="F7" s="238"/>
      <c r="G7" s="26">
        <f>'Deviz Genral cu TVA'!C10</f>
        <v>4.9218999999999999</v>
      </c>
    </row>
    <row r="8" spans="1:7" ht="42.75" customHeight="1" x14ac:dyDescent="0.2">
      <c r="A8" s="233" t="s">
        <v>47</v>
      </c>
      <c r="B8" s="233" t="s">
        <v>48</v>
      </c>
      <c r="C8" s="239" t="s">
        <v>49</v>
      </c>
      <c r="D8" s="239"/>
      <c r="E8" s="7" t="s">
        <v>41</v>
      </c>
      <c r="F8" s="239" t="s">
        <v>251</v>
      </c>
      <c r="G8" s="239"/>
    </row>
    <row r="9" spans="1:7" x14ac:dyDescent="0.2">
      <c r="A9" s="233"/>
      <c r="B9" s="233"/>
      <c r="C9" s="6" t="s">
        <v>145</v>
      </c>
      <c r="D9" s="6" t="s">
        <v>146</v>
      </c>
      <c r="E9" s="6" t="s">
        <v>147</v>
      </c>
      <c r="F9" s="6" t="s">
        <v>147</v>
      </c>
      <c r="G9" s="6" t="s">
        <v>148</v>
      </c>
    </row>
    <row r="10" spans="1:7" x14ac:dyDescent="0.2">
      <c r="A10" s="233" t="s">
        <v>71</v>
      </c>
      <c r="B10" s="233"/>
      <c r="C10" s="233"/>
      <c r="D10" s="233"/>
      <c r="E10" s="233"/>
      <c r="F10" s="233"/>
      <c r="G10" s="233"/>
    </row>
    <row r="11" spans="1:7" ht="25.5" x14ac:dyDescent="0.2">
      <c r="A11" s="8" t="s">
        <v>158</v>
      </c>
      <c r="B11" s="8" t="s">
        <v>72</v>
      </c>
      <c r="C11" s="40">
        <v>0</v>
      </c>
      <c r="D11" s="40">
        <f>C11/$G$7</f>
        <v>0</v>
      </c>
      <c r="E11" s="41">
        <f>C11*0.19</f>
        <v>0</v>
      </c>
      <c r="F11" s="41">
        <f>C11+E11</f>
        <v>0</v>
      </c>
      <c r="G11" s="41">
        <f>F11/$G$7</f>
        <v>0</v>
      </c>
    </row>
    <row r="12" spans="1:7" x14ac:dyDescent="0.2">
      <c r="A12" s="8" t="s">
        <v>159</v>
      </c>
      <c r="B12" s="8" t="s">
        <v>73</v>
      </c>
      <c r="C12" s="40">
        <v>0</v>
      </c>
      <c r="D12" s="40">
        <f t="shared" ref="D12:D19" si="0">C12/$G$7</f>
        <v>0</v>
      </c>
      <c r="E12" s="41">
        <f t="shared" ref="E12:E19" si="1">C12*0.19</f>
        <v>0</v>
      </c>
      <c r="F12" s="41">
        <f t="shared" ref="F12:F19" si="2">C12+E12</f>
        <v>0</v>
      </c>
      <c r="G12" s="41">
        <f t="shared" ref="G12:G19" si="3">F12/$G$7</f>
        <v>0</v>
      </c>
    </row>
    <row r="13" spans="1:7" ht="25.5" x14ac:dyDescent="0.2">
      <c r="A13" s="8" t="s">
        <v>161</v>
      </c>
      <c r="B13" s="8" t="s">
        <v>74</v>
      </c>
      <c r="C13" s="40">
        <v>0</v>
      </c>
      <c r="D13" s="40">
        <f t="shared" si="0"/>
        <v>0</v>
      </c>
      <c r="E13" s="41">
        <f t="shared" si="1"/>
        <v>0</v>
      </c>
      <c r="F13" s="41">
        <f t="shared" si="2"/>
        <v>0</v>
      </c>
      <c r="G13" s="41">
        <f t="shared" si="3"/>
        <v>0</v>
      </c>
    </row>
    <row r="14" spans="1:7" x14ac:dyDescent="0.2">
      <c r="A14" s="8" t="s">
        <v>162</v>
      </c>
      <c r="B14" s="8" t="s">
        <v>192</v>
      </c>
      <c r="C14" s="40">
        <v>0</v>
      </c>
      <c r="D14" s="40">
        <f t="shared" si="0"/>
        <v>0</v>
      </c>
      <c r="E14" s="41">
        <f t="shared" si="1"/>
        <v>0</v>
      </c>
      <c r="F14" s="41">
        <f t="shared" si="2"/>
        <v>0</v>
      </c>
      <c r="G14" s="41">
        <f t="shared" si="3"/>
        <v>0</v>
      </c>
    </row>
    <row r="15" spans="1:7" x14ac:dyDescent="0.2">
      <c r="A15" s="9" t="s">
        <v>160</v>
      </c>
      <c r="B15" s="8" t="s">
        <v>193</v>
      </c>
      <c r="C15" s="40">
        <v>0</v>
      </c>
      <c r="D15" s="40">
        <f t="shared" si="0"/>
        <v>0</v>
      </c>
      <c r="E15" s="41">
        <f t="shared" si="1"/>
        <v>0</v>
      </c>
      <c r="F15" s="41">
        <f t="shared" si="2"/>
        <v>0</v>
      </c>
      <c r="G15" s="41">
        <f t="shared" si="3"/>
        <v>0</v>
      </c>
    </row>
    <row r="16" spans="1:7" x14ac:dyDescent="0.2">
      <c r="A16" s="8" t="s">
        <v>163</v>
      </c>
      <c r="B16" s="8" t="s">
        <v>75</v>
      </c>
      <c r="C16" s="40">
        <v>0</v>
      </c>
      <c r="D16" s="40">
        <f t="shared" si="0"/>
        <v>0</v>
      </c>
      <c r="E16" s="41">
        <f t="shared" si="1"/>
        <v>0</v>
      </c>
      <c r="F16" s="41">
        <f t="shared" si="2"/>
        <v>0</v>
      </c>
      <c r="G16" s="41">
        <f t="shared" si="3"/>
        <v>0</v>
      </c>
    </row>
    <row r="17" spans="1:7" x14ac:dyDescent="0.2">
      <c r="A17" s="9" t="s">
        <v>178</v>
      </c>
      <c r="B17" s="8" t="s">
        <v>76</v>
      </c>
      <c r="C17" s="40">
        <v>0</v>
      </c>
      <c r="D17" s="40">
        <f t="shared" si="0"/>
        <v>0</v>
      </c>
      <c r="E17" s="41">
        <f t="shared" si="1"/>
        <v>0</v>
      </c>
      <c r="F17" s="41">
        <f t="shared" si="2"/>
        <v>0</v>
      </c>
      <c r="G17" s="41">
        <f t="shared" si="3"/>
        <v>0</v>
      </c>
    </row>
    <row r="18" spans="1:7" ht="25.5" x14ac:dyDescent="0.2">
      <c r="A18" s="8" t="s">
        <v>179</v>
      </c>
      <c r="B18" s="8" t="s">
        <v>77</v>
      </c>
      <c r="C18" s="40">
        <v>0</v>
      </c>
      <c r="D18" s="40">
        <f t="shared" si="0"/>
        <v>0</v>
      </c>
      <c r="E18" s="41">
        <f t="shared" si="1"/>
        <v>0</v>
      </c>
      <c r="F18" s="41">
        <f t="shared" si="2"/>
        <v>0</v>
      </c>
      <c r="G18" s="41">
        <f t="shared" si="3"/>
        <v>0</v>
      </c>
    </row>
    <row r="19" spans="1:7" x14ac:dyDescent="0.2">
      <c r="A19" s="9" t="s">
        <v>180</v>
      </c>
      <c r="B19" s="8" t="s">
        <v>194</v>
      </c>
      <c r="C19" s="40">
        <v>0</v>
      </c>
      <c r="D19" s="40">
        <f t="shared" si="0"/>
        <v>0</v>
      </c>
      <c r="E19" s="41">
        <f t="shared" si="1"/>
        <v>0</v>
      </c>
      <c r="F19" s="41">
        <f t="shared" si="2"/>
        <v>0</v>
      </c>
      <c r="G19" s="41">
        <f t="shared" si="3"/>
        <v>0</v>
      </c>
    </row>
    <row r="20" spans="1:7" x14ac:dyDescent="0.2">
      <c r="A20" s="9"/>
      <c r="B20" s="17" t="s">
        <v>78</v>
      </c>
      <c r="C20" s="42">
        <f>'Deviz Genral cu TVA'!C25</f>
        <v>0</v>
      </c>
      <c r="D20" s="42">
        <f>'Deviz Genral cu TVA'!D25</f>
        <v>0</v>
      </c>
      <c r="E20" s="42">
        <f>'Deviz Genral cu TVA'!E25</f>
        <v>0</v>
      </c>
      <c r="F20" s="42">
        <f>'Deviz Genral cu TVA'!F25</f>
        <v>0</v>
      </c>
      <c r="G20" s="42">
        <f>'Deviz Genral cu TVA'!G25</f>
        <v>0</v>
      </c>
    </row>
    <row r="22" spans="1:7" x14ac:dyDescent="0.2">
      <c r="E22" s="32" t="s">
        <v>86</v>
      </c>
    </row>
    <row r="23" spans="1:7" x14ac:dyDescent="0.2">
      <c r="E23" s="10" t="str">
        <f>'Deviz Genral cu TVA'!F86</f>
        <v>ing. Beko Andras</v>
      </c>
    </row>
  </sheetData>
  <mergeCells count="8">
    <mergeCell ref="A10:G10"/>
    <mergeCell ref="A5:G5"/>
    <mergeCell ref="A6:G6"/>
    <mergeCell ref="A7:F7"/>
    <mergeCell ref="A8:A9"/>
    <mergeCell ref="B8:B9"/>
    <mergeCell ref="C8:D8"/>
    <mergeCell ref="F8:G8"/>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topLeftCell="A53" workbookViewId="0">
      <selection activeCell="C85" sqref="C85"/>
    </sheetView>
  </sheetViews>
  <sheetFormatPr defaultColWidth="13" defaultRowHeight="12.75" x14ac:dyDescent="0.2"/>
  <cols>
    <col min="1" max="1" width="6.5703125" style="10" customWidth="1"/>
    <col min="2" max="2" width="20.140625" style="10" customWidth="1"/>
    <col min="3" max="4" width="11.42578125" style="10" customWidth="1"/>
    <col min="5" max="5" width="10" style="10" customWidth="1"/>
    <col min="6" max="6" width="11.42578125" style="10" customWidth="1"/>
    <col min="7" max="7" width="10" style="10" customWidth="1"/>
    <col min="8" max="16384" width="13" style="10"/>
  </cols>
  <sheetData>
    <row r="1" spans="1:7" x14ac:dyDescent="0.2">
      <c r="B1" s="10" t="str">
        <f>'Deviz Genral cu TVA'!B3</f>
        <v>Proiectant</v>
      </c>
      <c r="C1" s="10" t="str">
        <f>'Deviz Genral cu TVA'!C3</f>
        <v>SC TERM SRL</v>
      </c>
    </row>
    <row r="2" spans="1:7" x14ac:dyDescent="0.2">
      <c r="B2" s="10" t="str">
        <f>'Deviz Genral cu TVA'!B4</f>
        <v>Adresa</v>
      </c>
      <c r="C2" s="10" t="str">
        <f>'Deviz Genral cu TVA'!C4</f>
        <v>municipiul Oradea, str. Mimozei, nr. 6, ap. 4, jud. Bihor</v>
      </c>
    </row>
    <row r="3" spans="1:7" x14ac:dyDescent="0.2">
      <c r="B3" s="10" t="str">
        <f>'Deviz Genral cu TVA'!B5</f>
        <v>CUI</v>
      </c>
      <c r="C3" s="10" t="str">
        <f>'Deviz Genral cu TVA'!C5</f>
        <v>RO 9569400</v>
      </c>
    </row>
    <row r="5" spans="1:7" ht="22.5" customHeight="1" x14ac:dyDescent="0.2">
      <c r="A5" s="234" t="s">
        <v>46</v>
      </c>
      <c r="B5" s="234"/>
      <c r="C5" s="234"/>
      <c r="D5" s="234"/>
      <c r="E5" s="234"/>
      <c r="F5" s="234"/>
      <c r="G5" s="234"/>
    </row>
    <row r="6" spans="1:7" ht="27" customHeight="1" x14ac:dyDescent="0.2">
      <c r="A6" s="234" t="str">
        <f>'Deviz Genral cu TVA'!A9:G9</f>
        <v>REABILITARE ÎN VEDEREA EFICIENTIZĂRII ENERGETICE A ȘCOLII GIMNAZIALE “NESTOR PORUMB”, NR. 123-124, DIN LOCALITATEA TULCA, JUDEŢUL BIHOR</v>
      </c>
      <c r="B6" s="234"/>
      <c r="C6" s="234"/>
      <c r="D6" s="234"/>
      <c r="E6" s="234"/>
      <c r="F6" s="234"/>
      <c r="G6" s="234"/>
    </row>
    <row r="7" spans="1:7" x14ac:dyDescent="0.2">
      <c r="A7" s="238" t="s">
        <v>305</v>
      </c>
      <c r="B7" s="238"/>
      <c r="C7" s="238"/>
      <c r="D7" s="238"/>
      <c r="E7" s="238"/>
      <c r="F7" s="238"/>
      <c r="G7" s="33">
        <f>'Deviz Genral cu TVA'!C10</f>
        <v>4.9218999999999999</v>
      </c>
    </row>
    <row r="8" spans="1:7" ht="31.5" customHeight="1" x14ac:dyDescent="0.2">
      <c r="A8" s="233" t="s">
        <v>47</v>
      </c>
      <c r="B8" s="233" t="s">
        <v>48</v>
      </c>
      <c r="C8" s="239" t="s">
        <v>49</v>
      </c>
      <c r="D8" s="239"/>
      <c r="E8" s="7" t="s">
        <v>41</v>
      </c>
      <c r="F8" s="239" t="s">
        <v>251</v>
      </c>
      <c r="G8" s="239"/>
    </row>
    <row r="9" spans="1:7" x14ac:dyDescent="0.2">
      <c r="A9" s="233"/>
      <c r="B9" s="233"/>
      <c r="C9" s="6" t="s">
        <v>145</v>
      </c>
      <c r="D9" s="6" t="s">
        <v>148</v>
      </c>
      <c r="E9" s="6" t="s">
        <v>147</v>
      </c>
      <c r="F9" s="6" t="s">
        <v>145</v>
      </c>
      <c r="G9" s="6" t="s">
        <v>149</v>
      </c>
    </row>
    <row r="10" spans="1:7" x14ac:dyDescent="0.2">
      <c r="A10" s="241" t="s">
        <v>195</v>
      </c>
      <c r="B10" s="241"/>
      <c r="C10" s="241"/>
      <c r="D10" s="241"/>
      <c r="E10" s="241"/>
      <c r="F10" s="241"/>
      <c r="G10" s="241"/>
    </row>
    <row r="11" spans="1:7" x14ac:dyDescent="0.2">
      <c r="A11" s="47">
        <v>1</v>
      </c>
      <c r="B11" s="47" t="s">
        <v>85</v>
      </c>
      <c r="C11" s="47">
        <v>0</v>
      </c>
      <c r="D11" s="47">
        <f>C11/$G$7</f>
        <v>0</v>
      </c>
      <c r="E11" s="48">
        <f>C11*0.19</f>
        <v>0</v>
      </c>
      <c r="F11" s="48">
        <f>C11+E11</f>
        <v>0</v>
      </c>
      <c r="G11" s="48">
        <f>F11/$G$7</f>
        <v>0</v>
      </c>
    </row>
    <row r="12" spans="1:7" x14ac:dyDescent="0.2">
      <c r="A12" s="48">
        <v>2</v>
      </c>
      <c r="B12" s="47" t="s">
        <v>50</v>
      </c>
      <c r="C12" s="49">
        <f>'Deviz Genral cu TVA'!C28</f>
        <v>800</v>
      </c>
      <c r="D12" s="47">
        <f>C12/$G$7</f>
        <v>162.53885694548853</v>
      </c>
      <c r="E12" s="48">
        <f>C12*0.19</f>
        <v>152</v>
      </c>
      <c r="F12" s="48">
        <f>C12+E12</f>
        <v>952</v>
      </c>
      <c r="G12" s="48">
        <f>F12/$G$7</f>
        <v>193.42123976513136</v>
      </c>
    </row>
    <row r="13" spans="1:7" ht="25.5" x14ac:dyDescent="0.2">
      <c r="A13" s="48">
        <v>3</v>
      </c>
      <c r="B13" s="47" t="str">
        <f>'Deviz Genral cu TVA'!B29</f>
        <v>Raport privind impactul asupra mediului</v>
      </c>
      <c r="C13" s="49">
        <f>C16/3</f>
        <v>0</v>
      </c>
      <c r="D13" s="47">
        <f>C13/$G$7</f>
        <v>0</v>
      </c>
      <c r="E13" s="48">
        <f>C13*0.19</f>
        <v>0</v>
      </c>
      <c r="F13" s="48">
        <f>C13+E13</f>
        <v>0</v>
      </c>
      <c r="G13" s="48">
        <f>F13/$G$7</f>
        <v>0</v>
      </c>
    </row>
    <row r="14" spans="1:7" x14ac:dyDescent="0.2">
      <c r="A14" s="48">
        <v>4</v>
      </c>
      <c r="B14" s="47" t="str">
        <f>'Deviz Genral cu TVA'!B30</f>
        <v>Alte studii specifice</v>
      </c>
      <c r="C14" s="49">
        <f>C17/3</f>
        <v>0</v>
      </c>
      <c r="D14" s="47">
        <f>C14/$G$7</f>
        <v>0</v>
      </c>
      <c r="E14" s="48">
        <f>C14*0.19</f>
        <v>0</v>
      </c>
      <c r="F14" s="48">
        <f>C14+E14</f>
        <v>0</v>
      </c>
      <c r="G14" s="48">
        <f>F14/$G$7</f>
        <v>0</v>
      </c>
    </row>
    <row r="15" spans="1:7" x14ac:dyDescent="0.2">
      <c r="A15" s="48"/>
      <c r="B15" s="43" t="s">
        <v>51</v>
      </c>
      <c r="C15" s="43">
        <f>SUM(C11:C14)</f>
        <v>800</v>
      </c>
      <c r="D15" s="43">
        <f>SUM(D11:D14)</f>
        <v>162.53885694548853</v>
      </c>
      <c r="E15" s="43">
        <f>SUM(E11:E14)</f>
        <v>152</v>
      </c>
      <c r="F15" s="43">
        <f>SUM(F11:F14)</f>
        <v>952</v>
      </c>
      <c r="G15" s="43">
        <f>SUM(G11:G14)</f>
        <v>193.42123976513136</v>
      </c>
    </row>
    <row r="16" spans="1:7" x14ac:dyDescent="0.2">
      <c r="A16" s="242" t="s">
        <v>52</v>
      </c>
      <c r="B16" s="242"/>
      <c r="C16" s="242"/>
      <c r="D16" s="242"/>
      <c r="E16" s="242"/>
      <c r="F16" s="242"/>
      <c r="G16" s="242"/>
    </row>
    <row r="17" spans="1:7" ht="38.25" x14ac:dyDescent="0.2">
      <c r="A17" s="47" t="s">
        <v>158</v>
      </c>
      <c r="B17" s="47" t="s">
        <v>80</v>
      </c>
      <c r="C17" s="48">
        <v>0</v>
      </c>
      <c r="D17" s="47">
        <f t="shared" ref="D17:D24" si="0">C17/$G$7</f>
        <v>0</v>
      </c>
      <c r="E17" s="48">
        <f t="shared" ref="E17:E24" si="1">C17*0.19</f>
        <v>0</v>
      </c>
      <c r="F17" s="48">
        <f t="shared" ref="F17:F24" si="2">C17+E17</f>
        <v>0</v>
      </c>
      <c r="G17" s="48">
        <f>D17*1.19</f>
        <v>0</v>
      </c>
    </row>
    <row r="18" spans="1:7" ht="51" x14ac:dyDescent="0.2">
      <c r="A18" s="48" t="s">
        <v>159</v>
      </c>
      <c r="B18" s="48" t="s">
        <v>81</v>
      </c>
      <c r="C18" s="48">
        <v>0</v>
      </c>
      <c r="D18" s="47">
        <f t="shared" si="0"/>
        <v>0</v>
      </c>
      <c r="E18" s="48">
        <f t="shared" si="1"/>
        <v>0</v>
      </c>
      <c r="F18" s="48">
        <f t="shared" si="2"/>
        <v>0</v>
      </c>
      <c r="G18" s="48">
        <f t="shared" ref="G18:G25" si="3">D18*1.19</f>
        <v>0</v>
      </c>
    </row>
    <row r="19" spans="1:7" ht="113.25" customHeight="1" x14ac:dyDescent="0.2">
      <c r="A19" s="48" t="s">
        <v>161</v>
      </c>
      <c r="B19" s="48" t="s">
        <v>196</v>
      </c>
      <c r="C19" s="48">
        <v>0</v>
      </c>
      <c r="D19" s="47">
        <f t="shared" si="0"/>
        <v>0</v>
      </c>
      <c r="E19" s="48">
        <f t="shared" si="1"/>
        <v>0</v>
      </c>
      <c r="F19" s="48">
        <f t="shared" si="2"/>
        <v>0</v>
      </c>
      <c r="G19" s="48">
        <f t="shared" si="3"/>
        <v>0</v>
      </c>
    </row>
    <row r="20" spans="1:7" ht="38.25" x14ac:dyDescent="0.2">
      <c r="A20" s="48" t="s">
        <v>162</v>
      </c>
      <c r="B20" s="48" t="s">
        <v>82</v>
      </c>
      <c r="C20" s="48">
        <v>0</v>
      </c>
      <c r="D20" s="47">
        <f t="shared" si="0"/>
        <v>0</v>
      </c>
      <c r="E20" s="48">
        <f t="shared" si="1"/>
        <v>0</v>
      </c>
      <c r="F20" s="48">
        <f t="shared" si="2"/>
        <v>0</v>
      </c>
      <c r="G20" s="48">
        <f t="shared" si="3"/>
        <v>0</v>
      </c>
    </row>
    <row r="21" spans="1:7" ht="76.5" x14ac:dyDescent="0.2">
      <c r="A21" s="48" t="s">
        <v>160</v>
      </c>
      <c r="B21" s="48" t="s">
        <v>83</v>
      </c>
      <c r="C21" s="48">
        <v>0</v>
      </c>
      <c r="D21" s="47">
        <f t="shared" si="0"/>
        <v>0</v>
      </c>
      <c r="E21" s="48">
        <f t="shared" si="1"/>
        <v>0</v>
      </c>
      <c r="F21" s="48">
        <f t="shared" si="2"/>
        <v>0</v>
      </c>
      <c r="G21" s="48">
        <f t="shared" si="3"/>
        <v>0</v>
      </c>
    </row>
    <row r="22" spans="1:7" ht="63.75" x14ac:dyDescent="0.2">
      <c r="A22" s="48" t="s">
        <v>163</v>
      </c>
      <c r="B22" s="48" t="s">
        <v>197</v>
      </c>
      <c r="C22" s="48">
        <v>0</v>
      </c>
      <c r="D22" s="47">
        <f t="shared" si="0"/>
        <v>0</v>
      </c>
      <c r="E22" s="48">
        <f t="shared" si="1"/>
        <v>0</v>
      </c>
      <c r="F22" s="48">
        <f t="shared" si="2"/>
        <v>0</v>
      </c>
      <c r="G22" s="48">
        <f t="shared" si="3"/>
        <v>0</v>
      </c>
    </row>
    <row r="23" spans="1:7" ht="25.5" x14ac:dyDescent="0.2">
      <c r="A23" s="48" t="s">
        <v>178</v>
      </c>
      <c r="B23" s="48" t="s">
        <v>198</v>
      </c>
      <c r="C23" s="48">
        <v>0</v>
      </c>
      <c r="D23" s="47">
        <f t="shared" si="0"/>
        <v>0</v>
      </c>
      <c r="E23" s="48">
        <f t="shared" si="1"/>
        <v>0</v>
      </c>
      <c r="F23" s="48">
        <f t="shared" si="2"/>
        <v>0</v>
      </c>
      <c r="G23" s="48">
        <f t="shared" si="3"/>
        <v>0</v>
      </c>
    </row>
    <row r="24" spans="1:7" ht="38.25" x14ac:dyDescent="0.2">
      <c r="A24" s="48" t="s">
        <v>179</v>
      </c>
      <c r="B24" s="48" t="s">
        <v>199</v>
      </c>
      <c r="C24" s="48">
        <v>0</v>
      </c>
      <c r="D24" s="47">
        <f t="shared" si="0"/>
        <v>0</v>
      </c>
      <c r="E24" s="48">
        <f t="shared" si="1"/>
        <v>0</v>
      </c>
      <c r="F24" s="48">
        <f t="shared" si="2"/>
        <v>0</v>
      </c>
      <c r="G24" s="48">
        <f t="shared" si="3"/>
        <v>0</v>
      </c>
    </row>
    <row r="25" spans="1:7" ht="25.5" x14ac:dyDescent="0.2">
      <c r="A25" s="48" t="s">
        <v>180</v>
      </c>
      <c r="B25" s="48" t="s">
        <v>200</v>
      </c>
      <c r="C25" s="48">
        <f>'Deviz Genral cu TVA'!C31</f>
        <v>10000</v>
      </c>
      <c r="D25" s="47">
        <f>C25/$G$7</f>
        <v>2031.7357118186067</v>
      </c>
      <c r="E25" s="48">
        <f>C25*0.19</f>
        <v>1900</v>
      </c>
      <c r="F25" s="48">
        <f>C25+E25</f>
        <v>11900</v>
      </c>
      <c r="G25" s="48">
        <f t="shared" si="3"/>
        <v>2417.765497064142</v>
      </c>
    </row>
    <row r="26" spans="1:7" x14ac:dyDescent="0.2">
      <c r="A26" s="50"/>
      <c r="B26" s="51" t="s">
        <v>53</v>
      </c>
      <c r="C26" s="51">
        <f>SUM(C17:C25)</f>
        <v>10000</v>
      </c>
      <c r="D26" s="51">
        <f>SUM(D17:D25)</f>
        <v>2031.7357118186067</v>
      </c>
      <c r="E26" s="51">
        <f>SUM(E17:E25)</f>
        <v>1900</v>
      </c>
      <c r="F26" s="51">
        <f>SUM(F17:F25)</f>
        <v>11900</v>
      </c>
      <c r="G26" s="51">
        <f>SUM(G17:G25)</f>
        <v>2417.765497064142</v>
      </c>
    </row>
    <row r="27" spans="1:7" ht="41.25" customHeight="1" x14ac:dyDescent="0.2">
      <c r="A27" s="243" t="s">
        <v>201</v>
      </c>
      <c r="B27" s="244"/>
      <c r="C27" s="244"/>
      <c r="D27" s="244"/>
      <c r="E27" s="244"/>
      <c r="F27" s="244"/>
      <c r="G27" s="245"/>
    </row>
    <row r="28" spans="1:7" ht="152.25" customHeight="1" x14ac:dyDescent="0.2">
      <c r="A28" s="50">
        <v>1</v>
      </c>
      <c r="B28" s="52" t="s">
        <v>202</v>
      </c>
      <c r="C28" s="52">
        <f>'Deviz Genral cu TVA'!C32</f>
        <v>8403.36</v>
      </c>
      <c r="D28" s="52">
        <f>C28/$G$7</f>
        <v>1707.3406611268008</v>
      </c>
      <c r="E28" s="52">
        <f>C28*0.19</f>
        <v>1596.6384</v>
      </c>
      <c r="F28" s="52">
        <f>C28+E28</f>
        <v>9999.9984000000004</v>
      </c>
      <c r="G28" s="52">
        <f>D28*1.19</f>
        <v>2031.7353867408929</v>
      </c>
    </row>
    <row r="29" spans="1:7" ht="26.25" customHeight="1" x14ac:dyDescent="0.2">
      <c r="A29" s="50"/>
      <c r="B29" s="51" t="s">
        <v>54</v>
      </c>
      <c r="C29" s="51">
        <f>SUM(C28)</f>
        <v>8403.36</v>
      </c>
      <c r="D29" s="51">
        <f>SUM(D28)</f>
        <v>1707.3406611268008</v>
      </c>
      <c r="E29" s="51">
        <f>SUM(E28)</f>
        <v>1596.6384</v>
      </c>
      <c r="F29" s="51">
        <f>SUM(F28)</f>
        <v>9999.9984000000004</v>
      </c>
      <c r="G29" s="51">
        <f>SUM(G28)</f>
        <v>2031.7353867408929</v>
      </c>
    </row>
    <row r="30" spans="1:7" ht="31.5" customHeight="1" x14ac:dyDescent="0.2">
      <c r="A30" s="243" t="s">
        <v>203</v>
      </c>
      <c r="B30" s="244"/>
      <c r="C30" s="244"/>
      <c r="D30" s="244"/>
      <c r="E30" s="244"/>
      <c r="F30" s="244"/>
      <c r="G30" s="245"/>
    </row>
    <row r="31" spans="1:7" ht="57" customHeight="1" x14ac:dyDescent="0.2">
      <c r="A31" s="50">
        <v>1</v>
      </c>
      <c r="B31" s="52" t="s">
        <v>204</v>
      </c>
      <c r="C31" s="52">
        <f>'Deviz Genral cu TVA'!C33</f>
        <v>3361.3440000000001</v>
      </c>
      <c r="D31" s="52">
        <f>C31/$G$7</f>
        <v>682.93626445072027</v>
      </c>
      <c r="E31" s="52">
        <f>C31*0.19</f>
        <v>638.65535999999997</v>
      </c>
      <c r="F31" s="52">
        <f>C31+E31</f>
        <v>3999.9993599999998</v>
      </c>
      <c r="G31" s="52">
        <f>D31*1.19</f>
        <v>812.69415469635715</v>
      </c>
    </row>
    <row r="32" spans="1:7" ht="26.25" customHeight="1" x14ac:dyDescent="0.2">
      <c r="A32" s="50"/>
      <c r="B32" s="51" t="s">
        <v>215</v>
      </c>
      <c r="C32" s="51">
        <f>SUM(C31)</f>
        <v>3361.3440000000001</v>
      </c>
      <c r="D32" s="51">
        <f>SUM(D31)</f>
        <v>682.93626445072027</v>
      </c>
      <c r="E32" s="51">
        <f>SUM(E31)</f>
        <v>638.65535999999997</v>
      </c>
      <c r="F32" s="51">
        <f>SUM(F31)</f>
        <v>3999.9993599999998</v>
      </c>
      <c r="G32" s="51">
        <f>SUM(G31)</f>
        <v>812.69415469635715</v>
      </c>
    </row>
    <row r="33" spans="1:7" x14ac:dyDescent="0.2">
      <c r="A33" s="240" t="s">
        <v>205</v>
      </c>
      <c r="B33" s="240"/>
      <c r="C33" s="240"/>
      <c r="D33" s="240"/>
      <c r="E33" s="240"/>
      <c r="F33" s="240"/>
      <c r="G33" s="240"/>
    </row>
    <row r="34" spans="1:7" x14ac:dyDescent="0.2">
      <c r="A34" s="53" t="s">
        <v>105</v>
      </c>
      <c r="B34" s="47" t="s">
        <v>293</v>
      </c>
      <c r="C34" s="47">
        <v>0</v>
      </c>
      <c r="D34" s="47">
        <f t="shared" ref="D34:D39" si="4">C34/$G$7</f>
        <v>0</v>
      </c>
      <c r="E34" s="48">
        <f t="shared" ref="E34:E39" si="5">C34*0.19</f>
        <v>0</v>
      </c>
      <c r="F34" s="48">
        <f t="shared" ref="F34:F39" si="6">C34+E34</f>
        <v>0</v>
      </c>
      <c r="G34" s="48">
        <f t="shared" ref="G34:G39" si="7">D34*1.19</f>
        <v>0</v>
      </c>
    </row>
    <row r="35" spans="1:7" s="11" customFormat="1" ht="25.5" x14ac:dyDescent="0.2">
      <c r="A35" s="47" t="s">
        <v>106</v>
      </c>
      <c r="B35" s="47" t="s">
        <v>206</v>
      </c>
      <c r="C35" s="47">
        <v>0</v>
      </c>
      <c r="D35" s="47">
        <f t="shared" si="4"/>
        <v>0</v>
      </c>
      <c r="E35" s="48">
        <f t="shared" si="5"/>
        <v>0</v>
      </c>
      <c r="F35" s="48">
        <f t="shared" si="6"/>
        <v>0</v>
      </c>
      <c r="G35" s="48">
        <f t="shared" si="7"/>
        <v>0</v>
      </c>
    </row>
    <row r="36" spans="1:7" s="11" customFormat="1" ht="63.75" x14ac:dyDescent="0.2">
      <c r="A36" s="48" t="s">
        <v>107</v>
      </c>
      <c r="B36" s="48" t="s">
        <v>207</v>
      </c>
      <c r="C36" s="47">
        <f>'Deviz Genral cu TVA'!C37</f>
        <v>48300</v>
      </c>
      <c r="D36" s="47">
        <f>'Deviz Genral cu TVA'!D37</f>
        <v>9813.2834880838709</v>
      </c>
      <c r="E36" s="47">
        <f>'Deviz Genral cu TVA'!E37</f>
        <v>9177</v>
      </c>
      <c r="F36" s="47">
        <f>'Deviz Genral cu TVA'!F37</f>
        <v>57477</v>
      </c>
      <c r="G36" s="47">
        <f>'Deviz Genral cu TVA'!G37</f>
        <v>9813.2834880838709</v>
      </c>
    </row>
    <row r="37" spans="1:7" s="11" customFormat="1" ht="63.75" x14ac:dyDescent="0.2">
      <c r="A37" s="48" t="s">
        <v>108</v>
      </c>
      <c r="B37" s="48" t="s">
        <v>208</v>
      </c>
      <c r="C37" s="47">
        <f>'Deviz Genral cu TVA'!C38</f>
        <v>3500</v>
      </c>
      <c r="D37" s="47">
        <f t="shared" si="4"/>
        <v>711.10749913651227</v>
      </c>
      <c r="E37" s="48">
        <f t="shared" si="5"/>
        <v>665</v>
      </c>
      <c r="F37" s="48">
        <f t="shared" si="6"/>
        <v>4165</v>
      </c>
      <c r="G37" s="48">
        <f t="shared" si="7"/>
        <v>846.21792397244951</v>
      </c>
    </row>
    <row r="38" spans="1:7" s="11" customFormat="1" ht="51" x14ac:dyDescent="0.2">
      <c r="A38" s="48" t="s">
        <v>109</v>
      </c>
      <c r="B38" s="48" t="s">
        <v>209</v>
      </c>
      <c r="C38" s="47">
        <f>'Deviz Genral cu TVA'!C39</f>
        <v>5000</v>
      </c>
      <c r="D38" s="47">
        <f t="shared" si="4"/>
        <v>1015.8678559093033</v>
      </c>
      <c r="E38" s="48">
        <f t="shared" si="5"/>
        <v>950</v>
      </c>
      <c r="F38" s="48">
        <f t="shared" si="6"/>
        <v>5950</v>
      </c>
      <c r="G38" s="48">
        <f t="shared" si="7"/>
        <v>1208.882748532071</v>
      </c>
    </row>
    <row r="39" spans="1:7" s="11" customFormat="1" ht="25.5" x14ac:dyDescent="0.2">
      <c r="A39" s="48" t="s">
        <v>110</v>
      </c>
      <c r="B39" s="48" t="s">
        <v>210</v>
      </c>
      <c r="C39" s="47">
        <f>'Deviz Genral cu TVA'!C40</f>
        <v>76624.139200000005</v>
      </c>
      <c r="D39" s="47">
        <f t="shared" si="4"/>
        <v>15568.000000000002</v>
      </c>
      <c r="E39" s="48">
        <f t="shared" si="5"/>
        <v>14558.586448000002</v>
      </c>
      <c r="F39" s="48">
        <f t="shared" si="6"/>
        <v>91182.725648000007</v>
      </c>
      <c r="G39" s="48">
        <f t="shared" si="7"/>
        <v>18525.920000000002</v>
      </c>
    </row>
    <row r="40" spans="1:7" x14ac:dyDescent="0.2">
      <c r="A40" s="54"/>
      <c r="B40" s="55" t="s">
        <v>227</v>
      </c>
      <c r="C40" s="55">
        <f>SUM(C34:C39)</f>
        <v>133424.13920000001</v>
      </c>
      <c r="D40" s="55">
        <f>SUM(D34:D39)</f>
        <v>27108.25884312969</v>
      </c>
      <c r="E40" s="55">
        <f>SUM(E34:E39)</f>
        <v>25350.586448000002</v>
      </c>
      <c r="F40" s="55">
        <f>SUM(F34:F39)</f>
        <v>158774.72564800002</v>
      </c>
      <c r="G40" s="55">
        <f>SUM(G34:G39)</f>
        <v>30394.304160588392</v>
      </c>
    </row>
    <row r="41" spans="1:7" x14ac:dyDescent="0.2">
      <c r="A41" s="240" t="s">
        <v>211</v>
      </c>
      <c r="B41" s="240"/>
      <c r="C41" s="240"/>
      <c r="D41" s="240"/>
      <c r="E41" s="240"/>
      <c r="F41" s="240"/>
      <c r="G41" s="240"/>
    </row>
    <row r="42" spans="1:7" ht="96" customHeight="1" x14ac:dyDescent="0.2">
      <c r="A42" s="48" t="s">
        <v>158</v>
      </c>
      <c r="B42" s="48" t="s">
        <v>216</v>
      </c>
      <c r="C42" s="48">
        <v>0</v>
      </c>
      <c r="D42" s="48">
        <f>C42/$G$7</f>
        <v>0</v>
      </c>
      <c r="E42" s="48">
        <f>C42*0.19</f>
        <v>0</v>
      </c>
      <c r="F42" s="48">
        <f>C42+E42</f>
        <v>0</v>
      </c>
      <c r="G42" s="48">
        <f>F42/$G$7</f>
        <v>0</v>
      </c>
    </row>
    <row r="43" spans="1:7" ht="80.25" customHeight="1" x14ac:dyDescent="0.2">
      <c r="A43" s="48" t="s">
        <v>159</v>
      </c>
      <c r="B43" s="48" t="s">
        <v>212</v>
      </c>
      <c r="C43" s="48">
        <v>0</v>
      </c>
      <c r="D43" s="48">
        <f>C43/$G$7</f>
        <v>0</v>
      </c>
      <c r="E43" s="48">
        <f>C43*0.19</f>
        <v>0</v>
      </c>
      <c r="F43" s="48">
        <f>C43+E43</f>
        <v>0</v>
      </c>
      <c r="G43" s="48">
        <f>F43/$G$7</f>
        <v>0</v>
      </c>
    </row>
    <row r="44" spans="1:7" ht="87.75" customHeight="1" x14ac:dyDescent="0.2">
      <c r="A44" s="48" t="s">
        <v>161</v>
      </c>
      <c r="B44" s="48" t="s">
        <v>213</v>
      </c>
      <c r="C44" s="48">
        <f>'Deviz Genral cu TVA'!C35</f>
        <v>0</v>
      </c>
      <c r="D44" s="48">
        <f>C44/$G$7</f>
        <v>0</v>
      </c>
      <c r="E44" s="48">
        <f>C44*0.19</f>
        <v>0</v>
      </c>
      <c r="F44" s="48">
        <f>C44+E44</f>
        <v>0</v>
      </c>
      <c r="G44" s="48">
        <f>F44/$G$7</f>
        <v>0</v>
      </c>
    </row>
    <row r="45" spans="1:7" ht="80.25" customHeight="1" x14ac:dyDescent="0.2">
      <c r="A45" s="48" t="s">
        <v>162</v>
      </c>
      <c r="B45" s="48" t="s">
        <v>214</v>
      </c>
      <c r="C45" s="48">
        <f>'Deviz Genral cu TVA'!C41</f>
        <v>15000</v>
      </c>
      <c r="D45" s="48">
        <f>C45/$G$7</f>
        <v>3047.6035677279101</v>
      </c>
      <c r="E45" s="48">
        <f>C45*0.19</f>
        <v>2850</v>
      </c>
      <c r="F45" s="48">
        <f>C45+E45</f>
        <v>17850</v>
      </c>
      <c r="G45" s="48">
        <f>F45/$G$7</f>
        <v>3626.6482455962127</v>
      </c>
    </row>
    <row r="46" spans="1:7" x14ac:dyDescent="0.2">
      <c r="A46" s="54"/>
      <c r="B46" s="55" t="s">
        <v>55</v>
      </c>
      <c r="C46" s="55">
        <f>SUM(C42:C45)</f>
        <v>15000</v>
      </c>
      <c r="D46" s="55">
        <f>SUM(D42:D45)</f>
        <v>3047.6035677279101</v>
      </c>
      <c r="E46" s="55">
        <f>SUM(E42:E45)</f>
        <v>2850</v>
      </c>
      <c r="F46" s="55">
        <f>SUM(F42:F45)</f>
        <v>17850</v>
      </c>
      <c r="G46" s="55">
        <f>SUM(G42:G45)</f>
        <v>3626.6482455962127</v>
      </c>
    </row>
    <row r="47" spans="1:7" x14ac:dyDescent="0.2">
      <c r="A47" s="240" t="s">
        <v>217</v>
      </c>
      <c r="B47" s="240"/>
      <c r="C47" s="240"/>
      <c r="D47" s="240"/>
      <c r="E47" s="240"/>
      <c r="F47" s="240"/>
      <c r="G47" s="240"/>
    </row>
    <row r="48" spans="1:7" ht="51" customHeight="1" x14ac:dyDescent="0.2">
      <c r="A48" s="43" t="s">
        <v>116</v>
      </c>
      <c r="B48" s="48" t="s">
        <v>218</v>
      </c>
      <c r="C48" s="48">
        <f>'Deviz Genral cu TVA'!C43</f>
        <v>75799.745039999994</v>
      </c>
      <c r="D48" s="48">
        <f>C48/G7</f>
        <v>15400.504894451329</v>
      </c>
      <c r="E48" s="48">
        <f>C48*0.19</f>
        <v>14401.951557599999</v>
      </c>
      <c r="F48" s="48">
        <f>C48+E48</f>
        <v>90201.696597599992</v>
      </c>
      <c r="G48" s="48">
        <f>D48*1.19</f>
        <v>18326.600824397079</v>
      </c>
    </row>
    <row r="49" spans="1:9" x14ac:dyDescent="0.2">
      <c r="A49" s="48" t="s">
        <v>117</v>
      </c>
      <c r="B49" s="48" t="s">
        <v>219</v>
      </c>
      <c r="C49" s="48">
        <v>0</v>
      </c>
      <c r="D49" s="48">
        <f>C49/G7</f>
        <v>0</v>
      </c>
      <c r="E49" s="48">
        <f>C49*0.19</f>
        <v>0</v>
      </c>
      <c r="F49" s="48">
        <f>C49+E49</f>
        <v>0</v>
      </c>
      <c r="G49" s="48">
        <f>D49*1.19</f>
        <v>0</v>
      </c>
    </row>
    <row r="50" spans="1:9" x14ac:dyDescent="0.2">
      <c r="A50" s="54"/>
      <c r="B50" s="55" t="s">
        <v>220</v>
      </c>
      <c r="C50" s="55">
        <f>SUM(C48:C49)</f>
        <v>75799.745039999994</v>
      </c>
      <c r="D50" s="55">
        <f>SUM(D48:D49)</f>
        <v>15400.504894451329</v>
      </c>
      <c r="E50" s="55">
        <f>SUM(E48:E49)</f>
        <v>14401.951557599999</v>
      </c>
      <c r="F50" s="55">
        <f>SUM(F48:F49)</f>
        <v>90201.696597599992</v>
      </c>
      <c r="G50" s="55">
        <f>SUM(G48:G49)</f>
        <v>18326.600824397079</v>
      </c>
    </row>
    <row r="51" spans="1:9" x14ac:dyDescent="0.2">
      <c r="A51" s="240" t="s">
        <v>221</v>
      </c>
      <c r="B51" s="240"/>
      <c r="C51" s="240"/>
      <c r="D51" s="240"/>
      <c r="E51" s="240"/>
      <c r="F51" s="240"/>
      <c r="G51" s="240"/>
    </row>
    <row r="52" spans="1:9" ht="40.5" customHeight="1" x14ac:dyDescent="0.2">
      <c r="A52" s="47" t="s">
        <v>121</v>
      </c>
      <c r="B52" s="47" t="s">
        <v>222</v>
      </c>
      <c r="C52" s="47">
        <f>C53+C54</f>
        <v>2000</v>
      </c>
      <c r="D52" s="47">
        <f>D53+D54</f>
        <v>406.34714236372133</v>
      </c>
      <c r="E52" s="47">
        <f>E53+E54</f>
        <v>380</v>
      </c>
      <c r="F52" s="47">
        <f>F53+F54</f>
        <v>2380</v>
      </c>
      <c r="G52" s="47">
        <f>G53+G54</f>
        <v>483.55309941282837</v>
      </c>
    </row>
    <row r="53" spans="1:9" ht="26.25" customHeight="1" x14ac:dyDescent="0.2">
      <c r="A53" s="47" t="s">
        <v>158</v>
      </c>
      <c r="B53" s="47" t="s">
        <v>223</v>
      </c>
      <c r="C53" s="47">
        <f>'Deviz Genral cu TVA'!C47</f>
        <v>1500</v>
      </c>
      <c r="D53" s="47">
        <f>C53/$G$7</f>
        <v>304.760356772791</v>
      </c>
      <c r="E53" s="47">
        <f>C53*0.19</f>
        <v>285</v>
      </c>
      <c r="F53" s="47">
        <f>C53+E53</f>
        <v>1785</v>
      </c>
      <c r="G53" s="47">
        <f>D53*1.19</f>
        <v>362.66482455962125</v>
      </c>
    </row>
    <row r="54" spans="1:9" ht="90.75" customHeight="1" x14ac:dyDescent="0.2">
      <c r="A54" s="47" t="s">
        <v>159</v>
      </c>
      <c r="B54" s="47" t="s">
        <v>224</v>
      </c>
      <c r="C54" s="47">
        <f>'Deviz Genral cu TVA'!C48</f>
        <v>500</v>
      </c>
      <c r="D54" s="47">
        <f>C54/$G$7</f>
        <v>101.58678559093033</v>
      </c>
      <c r="E54" s="47">
        <f>C54*0.19</f>
        <v>95</v>
      </c>
      <c r="F54" s="47">
        <f>C54+E54</f>
        <v>595</v>
      </c>
      <c r="G54" s="47">
        <f>D54*1.19</f>
        <v>120.88827485320709</v>
      </c>
    </row>
    <row r="55" spans="1:9" ht="116.25" customHeight="1" x14ac:dyDescent="0.2">
      <c r="A55" s="47" t="s">
        <v>122</v>
      </c>
      <c r="B55" s="47" t="s">
        <v>225</v>
      </c>
      <c r="C55" s="47">
        <f>'Deviz Genral cu TVA'!C49</f>
        <v>40581.803360000005</v>
      </c>
      <c r="D55" s="47">
        <f>C55/$G$7</f>
        <v>8245.1499136512339</v>
      </c>
      <c r="E55" s="47">
        <f>C55*0.19</f>
        <v>7710.5426384000011</v>
      </c>
      <c r="F55" s="47">
        <f>C55+E55</f>
        <v>48292.345998400007</v>
      </c>
      <c r="G55" s="47">
        <f>D55*1.19</f>
        <v>9811.7283972449677</v>
      </c>
    </row>
    <row r="56" spans="1:9" x14ac:dyDescent="0.2">
      <c r="A56" s="54"/>
      <c r="B56" s="55" t="s">
        <v>226</v>
      </c>
      <c r="C56" s="55">
        <f>C52+C55</f>
        <v>42581.803360000005</v>
      </c>
      <c r="D56" s="55">
        <f>D52+D55</f>
        <v>8651.4970560149559</v>
      </c>
      <c r="E56" s="55">
        <f>E52+E55</f>
        <v>8090.5426384000011</v>
      </c>
      <c r="F56" s="55">
        <f>F52+F55</f>
        <v>50672.345998400007</v>
      </c>
      <c r="G56" s="55">
        <f>G52+G55</f>
        <v>10295.281496657795</v>
      </c>
      <c r="I56" s="12"/>
    </row>
    <row r="57" spans="1:9" x14ac:dyDescent="0.2">
      <c r="A57" s="48"/>
      <c r="B57" s="43" t="s">
        <v>56</v>
      </c>
      <c r="C57" s="43">
        <f>C15+C26+C29+C32+C40+C46+C50+C56</f>
        <v>289370.39160000003</v>
      </c>
      <c r="D57" s="43">
        <f>D15+D26+D29+D32+D40+D46+D50+D56</f>
        <v>58792.415855665502</v>
      </c>
      <c r="E57" s="43">
        <f>E15+E26+E29+E32+E40+E46+E50+E56+0.01</f>
        <v>54980.384404000004</v>
      </c>
      <c r="F57" s="43">
        <f>F15+F26+F29+F32+F40+F46+F50+F56</f>
        <v>344350.76600400003</v>
      </c>
      <c r="G57" s="43">
        <f>G15+G26+G29+G32+G40+G46+G50+G56</f>
        <v>68098.451005505995</v>
      </c>
    </row>
    <row r="58" spans="1:9" x14ac:dyDescent="0.2">
      <c r="F58" s="10" t="s">
        <v>45</v>
      </c>
    </row>
    <row r="59" spans="1:9" x14ac:dyDescent="0.2">
      <c r="F59" s="10" t="str">
        <f>'Deviz Genral cu TVA'!F86</f>
        <v>ing. Beko Andras</v>
      </c>
    </row>
  </sheetData>
  <mergeCells count="15">
    <mergeCell ref="A5:G5"/>
    <mergeCell ref="A6:G6"/>
    <mergeCell ref="A7:F7"/>
    <mergeCell ref="A8:A9"/>
    <mergeCell ref="B8:B9"/>
    <mergeCell ref="C8:D8"/>
    <mergeCell ref="F8:G8"/>
    <mergeCell ref="A33:G33"/>
    <mergeCell ref="A41:G41"/>
    <mergeCell ref="A51:G51"/>
    <mergeCell ref="A10:G10"/>
    <mergeCell ref="A16:G16"/>
    <mergeCell ref="A47:G47"/>
    <mergeCell ref="A27:G27"/>
    <mergeCell ref="A30:G30"/>
  </mergeCells>
  <pageMargins left="0.7" right="0.7" top="0.75" bottom="0.75" header="0.3" footer="0.3"/>
  <pageSetup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05"/>
  <sheetViews>
    <sheetView workbookViewId="0">
      <selection activeCell="I20" sqref="I20"/>
    </sheetView>
  </sheetViews>
  <sheetFormatPr defaultRowHeight="12.75" x14ac:dyDescent="0.2"/>
  <cols>
    <col min="1" max="1" width="5.42578125" style="3" customWidth="1"/>
    <col min="2" max="2" width="23.85546875" style="3" customWidth="1"/>
    <col min="3" max="3" width="11.85546875" style="4" customWidth="1"/>
    <col min="4" max="7" width="12.140625" style="4" customWidth="1"/>
    <col min="8" max="8" width="9.140625" style="3"/>
    <col min="9" max="9" width="11" style="3" customWidth="1"/>
    <col min="10" max="10" width="11.140625" style="3" customWidth="1"/>
    <col min="11" max="11" width="12.85546875" style="3" customWidth="1"/>
    <col min="12" max="12" width="13.5703125" style="3" customWidth="1"/>
    <col min="13" max="13" width="9.140625" style="3"/>
    <col min="14" max="14" width="11.5703125" style="3" bestFit="1" customWidth="1"/>
    <col min="15" max="16384" width="9.140625" style="3"/>
  </cols>
  <sheetData>
    <row r="1" spans="1:10" ht="25.5" customHeight="1" x14ac:dyDescent="0.2">
      <c r="B1" s="3" t="str">
        <f>'Deviz Genral cu TVA'!B3</f>
        <v>Proiectant</v>
      </c>
      <c r="C1" s="248" t="str">
        <f>'cap3'!C1</f>
        <v>SC TERM SRL</v>
      </c>
      <c r="D1" s="248"/>
      <c r="E1" s="248"/>
      <c r="F1" s="248"/>
    </row>
    <row r="2" spans="1:10" x14ac:dyDescent="0.2">
      <c r="B2" s="3" t="str">
        <f>'Deviz Genral cu TVA'!B4</f>
        <v>Adresa</v>
      </c>
      <c r="C2" s="45" t="str">
        <f>'cap3'!C2</f>
        <v>municipiul Oradea, str. Mimozei, nr. 6, ap. 4, jud. Bihor</v>
      </c>
      <c r="D2" s="45"/>
      <c r="E2" s="45"/>
      <c r="F2" s="45"/>
    </row>
    <row r="3" spans="1:10" x14ac:dyDescent="0.2">
      <c r="B3" s="3" t="str">
        <f>'Deviz Genral cu TVA'!B5</f>
        <v>CUI</v>
      </c>
      <c r="C3" s="44" t="str">
        <f>'cap3'!C3</f>
        <v>RO 9569400</v>
      </c>
    </row>
    <row r="4" spans="1:10" x14ac:dyDescent="0.2">
      <c r="B4" s="3" t="s">
        <v>228</v>
      </c>
    </row>
    <row r="5" spans="1:10" ht="26.25" customHeight="1" x14ac:dyDescent="0.2">
      <c r="A5" s="249" t="str">
        <f>'Deviz Genral cu TVA'!A9:G9</f>
        <v>REABILITARE ÎN VEDEREA EFICIENTIZĂRII ENERGETICE A ȘCOLII GIMNAZIALE “NESTOR PORUMB”, NR. 123-124, DIN LOCALITATEA TULCA, JUDEŢUL BIHOR</v>
      </c>
      <c r="B5" s="249"/>
      <c r="C5" s="249"/>
      <c r="D5" s="249"/>
      <c r="E5" s="249"/>
      <c r="F5" s="249"/>
      <c r="G5" s="249"/>
    </row>
    <row r="6" spans="1:10" ht="27.75" customHeight="1" x14ac:dyDescent="0.2">
      <c r="A6" s="2"/>
      <c r="B6" s="249" t="s">
        <v>306</v>
      </c>
      <c r="C6" s="249"/>
      <c r="D6" s="249"/>
      <c r="E6" s="249"/>
      <c r="F6" s="249"/>
      <c r="G6" s="13"/>
    </row>
    <row r="7" spans="1:10" ht="12.75" customHeight="1" x14ac:dyDescent="0.2">
      <c r="A7" s="238" t="s">
        <v>274</v>
      </c>
      <c r="B7" s="238"/>
      <c r="C7" s="238"/>
      <c r="D7" s="238"/>
      <c r="E7" s="14"/>
      <c r="G7" s="33">
        <f>'Deviz Genral cu TVA'!C10</f>
        <v>4.9218999999999999</v>
      </c>
    </row>
    <row r="8" spans="1:10" ht="38.25" x14ac:dyDescent="0.2">
      <c r="A8" s="233" t="s">
        <v>57</v>
      </c>
      <c r="B8" s="5" t="s">
        <v>58</v>
      </c>
      <c r="C8" s="246" t="s">
        <v>59</v>
      </c>
      <c r="D8" s="247"/>
      <c r="E8" s="6" t="s">
        <v>41</v>
      </c>
      <c r="F8" s="246" t="s">
        <v>60</v>
      </c>
      <c r="G8" s="247"/>
    </row>
    <row r="9" spans="1:10" x14ac:dyDescent="0.2">
      <c r="A9" s="233"/>
      <c r="B9" s="5"/>
      <c r="C9" s="6" t="s">
        <v>145</v>
      </c>
      <c r="D9" s="6" t="s">
        <v>146</v>
      </c>
      <c r="E9" s="6" t="s">
        <v>147</v>
      </c>
      <c r="F9" s="6" t="s">
        <v>147</v>
      </c>
      <c r="G9" s="6" t="s">
        <v>148</v>
      </c>
    </row>
    <row r="10" spans="1:10" x14ac:dyDescent="0.2">
      <c r="A10" s="5">
        <v>1</v>
      </c>
      <c r="B10" s="5">
        <v>2</v>
      </c>
      <c r="C10" s="15">
        <v>3</v>
      </c>
      <c r="D10" s="15">
        <v>4</v>
      </c>
      <c r="E10" s="15">
        <v>5</v>
      </c>
      <c r="F10" s="15">
        <v>6</v>
      </c>
      <c r="G10" s="15">
        <v>7</v>
      </c>
    </row>
    <row r="11" spans="1:10" ht="25.5" customHeight="1" x14ac:dyDescent="0.2">
      <c r="A11" s="250" t="s">
        <v>229</v>
      </c>
      <c r="B11" s="251"/>
      <c r="C11" s="251"/>
      <c r="D11" s="251"/>
      <c r="E11" s="251"/>
      <c r="F11" s="251"/>
      <c r="G11" s="252"/>
    </row>
    <row r="12" spans="1:10" ht="39.75" customHeight="1" x14ac:dyDescent="0.2">
      <c r="A12" s="9">
        <v>4.0999999999999996</v>
      </c>
      <c r="B12" s="9" t="s">
        <v>230</v>
      </c>
      <c r="C12" s="48">
        <f>C13+C14+C15+C16</f>
        <v>1929079</v>
      </c>
      <c r="D12" s="48">
        <f>D13+D14+D15+D16</f>
        <v>391937.86952193256</v>
      </c>
      <c r="E12" s="48">
        <f>E13+E14+E15+E16</f>
        <v>366525.01</v>
      </c>
      <c r="F12" s="48">
        <f>F13+F14+F15+F16</f>
        <v>2295604.0099999998</v>
      </c>
      <c r="G12" s="48">
        <f>G13+G14+G15+G16</f>
        <v>466406.06473109976</v>
      </c>
    </row>
    <row r="13" spans="1:10" ht="69.75" customHeight="1" x14ac:dyDescent="0.2">
      <c r="A13" s="9" t="s">
        <v>236</v>
      </c>
      <c r="B13" s="9" t="s">
        <v>231</v>
      </c>
      <c r="C13" s="48">
        <f>'CAP4 TIP I'!C13+'CAP4 TIP II'!C13</f>
        <v>0</v>
      </c>
      <c r="D13" s="48">
        <f>C13/$G$7</f>
        <v>0</v>
      </c>
      <c r="E13" s="48">
        <f>C13*0.19</f>
        <v>0</v>
      </c>
      <c r="F13" s="48">
        <f>C13+E13</f>
        <v>0</v>
      </c>
      <c r="G13" s="48">
        <f>F13/$G$7</f>
        <v>0</v>
      </c>
    </row>
    <row r="14" spans="1:10" ht="39.75" customHeight="1" x14ac:dyDescent="0.2">
      <c r="A14" s="9" t="s">
        <v>252</v>
      </c>
      <c r="B14" s="9" t="s">
        <v>232</v>
      </c>
      <c r="C14" s="48">
        <f>'CAP4 TIP I'!C14+'CAP4 TIP II'!C14</f>
        <v>86125</v>
      </c>
      <c r="D14" s="48">
        <f>C14/$G$7</f>
        <v>17498.323818037748</v>
      </c>
      <c r="E14" s="48">
        <f>C14*0.19</f>
        <v>16363.75</v>
      </c>
      <c r="F14" s="48">
        <f>C14+E14</f>
        <v>102488.75</v>
      </c>
      <c r="G14" s="48">
        <f>F14/$G$7</f>
        <v>20823.005343464923</v>
      </c>
      <c r="J14" s="115">
        <f>'CAP4 TIP I'!C14+'CAP4 TIP II'!C14</f>
        <v>86125</v>
      </c>
    </row>
    <row r="15" spans="1:10" ht="39.75" customHeight="1" x14ac:dyDescent="0.2">
      <c r="A15" s="9" t="s">
        <v>253</v>
      </c>
      <c r="B15" s="9" t="s">
        <v>233</v>
      </c>
      <c r="C15" s="48">
        <f>'CAP4 TIP I'!C15+'CAP4 TIP II'!C15</f>
        <v>1492075</v>
      </c>
      <c r="D15" s="48">
        <f>C15/$G$7</f>
        <v>303150.20622117474</v>
      </c>
      <c r="E15" s="48">
        <f>C15*0.19</f>
        <v>283494.25</v>
      </c>
      <c r="F15" s="48">
        <f>C15+E15</f>
        <v>1775569.25</v>
      </c>
      <c r="G15" s="48">
        <f>F15/$G$7</f>
        <v>360748.74540319794</v>
      </c>
      <c r="J15" s="115">
        <f>'CAP4 TIP I'!C15+'CAP4 TIP II'!C15</f>
        <v>1492075</v>
      </c>
    </row>
    <row r="16" spans="1:10" ht="39.75" customHeight="1" x14ac:dyDescent="0.2">
      <c r="A16" s="9" t="s">
        <v>254</v>
      </c>
      <c r="B16" s="9" t="s">
        <v>234</v>
      </c>
      <c r="C16" s="48">
        <f>'CAP4 TIP I'!C16+'CAP4 TIP II'!C16</f>
        <v>350879</v>
      </c>
      <c r="D16" s="48">
        <f>C16/$G$7</f>
        <v>71289.339482720083</v>
      </c>
      <c r="E16" s="48">
        <f>C16*0.19</f>
        <v>66667.009999999995</v>
      </c>
      <c r="F16" s="48">
        <f>C16+E16</f>
        <v>417546.01</v>
      </c>
      <c r="G16" s="48">
        <f>F16/$G$7</f>
        <v>84834.313984436914</v>
      </c>
      <c r="J16" s="115">
        <f>'CAP4 TIP I'!C16+'CAP4 TIP II'!C16</f>
        <v>350879</v>
      </c>
    </row>
    <row r="17" spans="1:12" ht="39.75" customHeight="1" x14ac:dyDescent="0.2">
      <c r="A17" s="35"/>
      <c r="B17" s="36" t="s">
        <v>235</v>
      </c>
      <c r="C17" s="56">
        <f>C12</f>
        <v>1929079</v>
      </c>
      <c r="D17" s="56">
        <f>D12</f>
        <v>391937.86952193256</v>
      </c>
      <c r="E17" s="56">
        <f>E12</f>
        <v>366525.01</v>
      </c>
      <c r="F17" s="56">
        <f>F12</f>
        <v>2295604.0099999998</v>
      </c>
      <c r="G17" s="56">
        <f>G12</f>
        <v>466406.06473109976</v>
      </c>
    </row>
    <row r="18" spans="1:12" ht="35.25" customHeight="1" x14ac:dyDescent="0.2">
      <c r="A18" s="9">
        <v>4.2</v>
      </c>
      <c r="B18" s="9" t="s">
        <v>237</v>
      </c>
      <c r="C18" s="48">
        <f>'CAP4 TIP I'!C24+'CAP4 TIP II'!C18</f>
        <v>100011.16800000001</v>
      </c>
      <c r="D18" s="48">
        <f>'CAP4 TIP I'!D24+'CAP4 TIP II'!D18</f>
        <v>20319.626160629028</v>
      </c>
      <c r="E18" s="48">
        <f>'CAP4 TIP I'!E24+'CAP4 TIP II'!E18</f>
        <v>19002.121920000001</v>
      </c>
      <c r="F18" s="48">
        <f>'CAP4 TIP I'!F24+'CAP4 TIP II'!F18</f>
        <v>119013.28992000001</v>
      </c>
      <c r="G18" s="48">
        <f>F18/$G$7</f>
        <v>24180.355131148543</v>
      </c>
      <c r="J18" s="115">
        <f>'CAP4 TIP I'!C24+'CAP4 TIP II'!C18</f>
        <v>100011.16800000001</v>
      </c>
    </row>
    <row r="19" spans="1:12" ht="35.25" customHeight="1" x14ac:dyDescent="0.2">
      <c r="A19" s="16"/>
      <c r="B19" s="17" t="s">
        <v>238</v>
      </c>
      <c r="C19" s="55">
        <f>SUM(C18)</f>
        <v>100011.16800000001</v>
      </c>
      <c r="D19" s="55">
        <f>SUM(D18)</f>
        <v>20319.626160629028</v>
      </c>
      <c r="E19" s="55">
        <f>SUM(E18)</f>
        <v>19002.121920000001</v>
      </c>
      <c r="F19" s="55">
        <f>SUM(F18)</f>
        <v>119013.28992000001</v>
      </c>
      <c r="G19" s="55">
        <f>SUM(G18)</f>
        <v>24180.355131148543</v>
      </c>
    </row>
    <row r="20" spans="1:12" ht="41.25" customHeight="1" x14ac:dyDescent="0.2">
      <c r="A20" s="37">
        <v>4.3</v>
      </c>
      <c r="B20" s="37" t="s">
        <v>239</v>
      </c>
      <c r="C20" s="48">
        <f>'CAP4 TIP I'!C26+'CAP4 TIP II'!C20</f>
        <v>497568</v>
      </c>
      <c r="D20" s="48">
        <f>'CAP4 TIP I'!D26+'CAP4 TIP II'!D20</f>
        <v>101092.66746581605</v>
      </c>
      <c r="E20" s="48">
        <f>'CAP4 TIP I'!E26+'CAP4 TIP II'!E20</f>
        <v>94537.919999999998</v>
      </c>
      <c r="F20" s="48">
        <f>'CAP4 TIP I'!F26+'CAP4 TIP II'!F20</f>
        <v>592105.92000000004</v>
      </c>
      <c r="G20" s="48">
        <f>'CAP4 TIP I'!G26+'CAP4 TIP II'!G20</f>
        <v>120300.2742843211</v>
      </c>
      <c r="J20" s="115">
        <f>'CAP4 TIP I'!C26+'CAP4 TIP II'!C20</f>
        <v>497568</v>
      </c>
    </row>
    <row r="21" spans="1:12" ht="57.75" customHeight="1" x14ac:dyDescent="0.2">
      <c r="A21" s="9">
        <v>4.4000000000000004</v>
      </c>
      <c r="B21" s="9" t="s">
        <v>240</v>
      </c>
      <c r="C21" s="48">
        <f>'CAP4 TIP I'!C27+'CAP4 TIP II'!C21</f>
        <v>0</v>
      </c>
      <c r="D21" s="48">
        <f>C21/$G$7</f>
        <v>0</v>
      </c>
      <c r="E21" s="48">
        <f>C21*0.19</f>
        <v>0</v>
      </c>
      <c r="F21" s="48">
        <f>C21+E21</f>
        <v>0</v>
      </c>
      <c r="G21" s="48">
        <f>F21/$G$7</f>
        <v>0</v>
      </c>
    </row>
    <row r="22" spans="1:12" ht="32.25" customHeight="1" x14ac:dyDescent="0.2">
      <c r="A22" s="9">
        <v>4.5</v>
      </c>
      <c r="B22" s="9" t="s">
        <v>43</v>
      </c>
      <c r="C22" s="48">
        <v>0</v>
      </c>
      <c r="D22" s="48">
        <f>C22/$G$7</f>
        <v>0</v>
      </c>
      <c r="E22" s="48">
        <f>C22*0.19</f>
        <v>0</v>
      </c>
      <c r="F22" s="48">
        <f>C22+E22</f>
        <v>0</v>
      </c>
      <c r="G22" s="48">
        <f>F22/$G$7</f>
        <v>0</v>
      </c>
    </row>
    <row r="23" spans="1:12" ht="32.25" customHeight="1" x14ac:dyDescent="0.2">
      <c r="A23" s="9">
        <v>4.5999999999999996</v>
      </c>
      <c r="B23" s="9" t="s">
        <v>241</v>
      </c>
      <c r="C23" s="48">
        <v>0</v>
      </c>
      <c r="D23" s="48">
        <f>C23/$G$7</f>
        <v>0</v>
      </c>
      <c r="E23" s="48">
        <f>C23*0.19</f>
        <v>0</v>
      </c>
      <c r="F23" s="48">
        <f>C23+E23</f>
        <v>0</v>
      </c>
      <c r="G23" s="48">
        <f>F23/$G$7</f>
        <v>0</v>
      </c>
    </row>
    <row r="24" spans="1:12" ht="32.25" customHeight="1" x14ac:dyDescent="0.2">
      <c r="A24" s="16"/>
      <c r="B24" s="17" t="s">
        <v>242</v>
      </c>
      <c r="C24" s="55">
        <f>SUM(C20:C23)</f>
        <v>497568</v>
      </c>
      <c r="D24" s="126">
        <f>SUM(D20:D23)</f>
        <v>101092.66746581605</v>
      </c>
      <c r="E24" s="126">
        <f>SUM(E20:E23)</f>
        <v>94537.919999999998</v>
      </c>
      <c r="F24" s="126">
        <f>SUM(F20:F23)</f>
        <v>592105.92000000004</v>
      </c>
      <c r="G24" s="126">
        <f>SUM(G20:G23)</f>
        <v>120300.2742843211</v>
      </c>
    </row>
    <row r="25" spans="1:12" ht="25.5" x14ac:dyDescent="0.2">
      <c r="A25" s="9"/>
      <c r="B25" s="5" t="s">
        <v>61</v>
      </c>
      <c r="C25" s="43">
        <f>C17+C19+C24</f>
        <v>2526658.1680000001</v>
      </c>
      <c r="D25" s="43">
        <f>D17+D19+D24</f>
        <v>513350.16314837767</v>
      </c>
      <c r="E25" s="43">
        <f>E17+E19+E24</f>
        <v>480065.05192</v>
      </c>
      <c r="F25" s="43">
        <f>F17+F19+F24</f>
        <v>3006723.2199199996</v>
      </c>
      <c r="G25" s="43">
        <f>G17+G19+G24</f>
        <v>610886.69414656935</v>
      </c>
    </row>
    <row r="26" spans="1:12" x14ac:dyDescent="0.2">
      <c r="A26" s="18"/>
      <c r="B26" s="19"/>
      <c r="C26" s="20"/>
      <c r="D26" s="20"/>
      <c r="E26" s="20"/>
      <c r="F26" s="30" t="s">
        <v>45</v>
      </c>
      <c r="G26" s="20"/>
      <c r="I26" s="115">
        <f>'CAP4 TIP I'!C31+'CAP4 TIP II'!C25</f>
        <v>2526658.1680000001</v>
      </c>
      <c r="J26" s="115">
        <f>'CAP4 TIP I'!D31+'CAP4 TIP II'!D25</f>
        <v>513350.16314837767</v>
      </c>
      <c r="K26" s="115">
        <f>'CAP4 TIP I'!E31+'CAP4 TIP II'!E25</f>
        <v>480065.05192</v>
      </c>
      <c r="L26" s="115">
        <f>'CAP4 TIP I'!F31+'CAP4 TIP II'!F25</f>
        <v>3006723.2199200001</v>
      </c>
    </row>
    <row r="27" spans="1:12" ht="18.75" customHeight="1" x14ac:dyDescent="0.2">
      <c r="A27" s="18"/>
      <c r="B27" s="19"/>
      <c r="C27" s="20"/>
      <c r="D27" s="20"/>
      <c r="E27" s="20"/>
      <c r="F27" s="248" t="str">
        <f>'Deviz Genral cu TVA'!F86</f>
        <v>ing. Beko Andras</v>
      </c>
      <c r="G27" s="248"/>
    </row>
    <row r="29" spans="1:12" ht="12.75" customHeight="1" x14ac:dyDescent="0.2">
      <c r="A29" s="234"/>
      <c r="B29" s="234"/>
      <c r="C29" s="234"/>
      <c r="D29" s="234"/>
      <c r="E29" s="234"/>
      <c r="F29" s="234"/>
      <c r="G29" s="234"/>
    </row>
    <row r="30" spans="1:12" ht="18.75" customHeight="1" x14ac:dyDescent="0.2">
      <c r="B30" s="234"/>
      <c r="C30" s="234"/>
      <c r="D30" s="234"/>
      <c r="E30" s="234"/>
      <c r="F30" s="234"/>
      <c r="G30" s="234"/>
    </row>
    <row r="31" spans="1:12" ht="12.75" customHeight="1" x14ac:dyDescent="0.2">
      <c r="A31" s="238"/>
      <c r="B31" s="238"/>
      <c r="C31" s="238"/>
      <c r="D31" s="238"/>
      <c r="E31" s="238"/>
      <c r="F31" s="238"/>
      <c r="G31" s="238"/>
    </row>
    <row r="36" spans="1:7" ht="12.75" customHeight="1" x14ac:dyDescent="0.2">
      <c r="A36" s="234"/>
      <c r="B36" s="234"/>
      <c r="C36" s="234"/>
      <c r="D36" s="234"/>
      <c r="E36" s="234"/>
      <c r="F36" s="234"/>
      <c r="G36" s="234"/>
    </row>
    <row r="37" spans="1:7" ht="12.75" customHeight="1" x14ac:dyDescent="0.2">
      <c r="A37" s="234"/>
      <c r="B37" s="234"/>
      <c r="C37" s="234"/>
      <c r="D37" s="234"/>
      <c r="E37" s="234"/>
      <c r="F37" s="234"/>
      <c r="G37" s="234"/>
    </row>
    <row r="38" spans="1:7" ht="12.75" customHeight="1" x14ac:dyDescent="0.2">
      <c r="A38" s="238"/>
      <c r="B38" s="238"/>
      <c r="C38" s="238"/>
      <c r="D38" s="238"/>
      <c r="E38" s="238"/>
      <c r="F38" s="238"/>
      <c r="G38" s="238"/>
    </row>
    <row r="39" spans="1:7" ht="25.5" customHeight="1" x14ac:dyDescent="0.2">
      <c r="A39" s="233"/>
      <c r="B39" s="5"/>
      <c r="C39" s="233"/>
      <c r="D39" s="233"/>
      <c r="E39" s="5"/>
      <c r="F39" s="233"/>
      <c r="G39" s="233"/>
    </row>
    <row r="40" spans="1:7" x14ac:dyDescent="0.2">
      <c r="A40" s="233"/>
      <c r="B40" s="5"/>
      <c r="C40" s="5"/>
      <c r="D40" s="5"/>
      <c r="E40" s="5"/>
      <c r="F40" s="5"/>
      <c r="G40" s="5"/>
    </row>
    <row r="41" spans="1:7" x14ac:dyDescent="0.2">
      <c r="A41" s="5"/>
      <c r="B41" s="5"/>
      <c r="C41" s="5"/>
      <c r="D41" s="5"/>
      <c r="E41" s="5"/>
      <c r="F41" s="5"/>
      <c r="G41" s="5"/>
    </row>
    <row r="42" spans="1:7" x14ac:dyDescent="0.2">
      <c r="A42" s="9"/>
      <c r="B42" s="5"/>
      <c r="C42" s="5"/>
      <c r="D42" s="5"/>
      <c r="E42" s="5"/>
      <c r="F42" s="5"/>
      <c r="G42" s="5"/>
    </row>
    <row r="43" spans="1:7" x14ac:dyDescent="0.2">
      <c r="A43" s="9"/>
      <c r="B43" s="9"/>
      <c r="C43" s="7"/>
      <c r="D43" s="7"/>
      <c r="E43" s="7"/>
      <c r="F43" s="7"/>
      <c r="G43" s="7"/>
    </row>
    <row r="44" spans="1:7" x14ac:dyDescent="0.2">
      <c r="A44" s="9"/>
      <c r="B44" s="9"/>
      <c r="C44" s="7"/>
      <c r="D44" s="7"/>
      <c r="E44" s="7"/>
      <c r="F44" s="7"/>
      <c r="G44" s="7"/>
    </row>
    <row r="45" spans="1:7" x14ac:dyDescent="0.2">
      <c r="A45" s="9"/>
      <c r="B45" s="9"/>
      <c r="C45" s="7"/>
      <c r="D45" s="7"/>
      <c r="E45" s="7"/>
      <c r="F45" s="7"/>
      <c r="G45" s="7"/>
    </row>
    <row r="46" spans="1:7" x14ac:dyDescent="0.2">
      <c r="A46" s="9"/>
      <c r="B46" s="9"/>
      <c r="C46" s="7"/>
      <c r="D46" s="7"/>
      <c r="E46" s="7"/>
      <c r="F46" s="7"/>
      <c r="G46" s="7"/>
    </row>
    <row r="47" spans="1:7" x14ac:dyDescent="0.2">
      <c r="A47" s="9"/>
      <c r="B47" s="9"/>
      <c r="C47" s="7"/>
      <c r="D47" s="7"/>
      <c r="E47" s="7"/>
      <c r="F47" s="7"/>
      <c r="G47" s="7"/>
    </row>
    <row r="48" spans="1:7" x14ac:dyDescent="0.2">
      <c r="A48" s="9"/>
      <c r="B48" s="9"/>
      <c r="C48" s="7"/>
      <c r="D48" s="7"/>
      <c r="E48" s="7"/>
      <c r="F48" s="7"/>
      <c r="G48" s="7"/>
    </row>
    <row r="49" spans="1:8" x14ac:dyDescent="0.2">
      <c r="A49" s="9"/>
      <c r="B49" s="9"/>
      <c r="C49" s="7"/>
      <c r="D49" s="7"/>
      <c r="E49" s="7"/>
      <c r="F49" s="7"/>
      <c r="G49" s="7"/>
      <c r="H49" s="2"/>
    </row>
    <row r="50" spans="1:8" x14ac:dyDescent="0.2">
      <c r="A50" s="9"/>
      <c r="B50" s="5"/>
      <c r="C50" s="6"/>
      <c r="D50" s="6"/>
      <c r="E50" s="6"/>
      <c r="F50" s="6"/>
      <c r="G50" s="6"/>
    </row>
    <row r="51" spans="1:8" x14ac:dyDescent="0.2">
      <c r="A51" s="9"/>
      <c r="B51" s="5"/>
      <c r="C51" s="7"/>
      <c r="D51" s="7"/>
      <c r="E51" s="7"/>
      <c r="F51" s="7"/>
      <c r="G51" s="7"/>
    </row>
    <row r="52" spans="1:8" x14ac:dyDescent="0.2">
      <c r="A52" s="9"/>
      <c r="B52" s="9"/>
      <c r="C52" s="7"/>
      <c r="D52" s="7"/>
      <c r="E52" s="7"/>
      <c r="F52" s="7"/>
      <c r="G52" s="7"/>
    </row>
    <row r="53" spans="1:8" x14ac:dyDescent="0.2">
      <c r="A53" s="9"/>
      <c r="B53" s="5"/>
      <c r="C53" s="6"/>
      <c r="D53" s="6"/>
      <c r="E53" s="6"/>
      <c r="F53" s="6"/>
      <c r="G53" s="6"/>
    </row>
    <row r="54" spans="1:8" x14ac:dyDescent="0.2">
      <c r="A54" s="9"/>
      <c r="B54" s="5"/>
      <c r="C54" s="7"/>
      <c r="D54" s="7"/>
      <c r="E54" s="7"/>
      <c r="F54" s="7"/>
      <c r="G54" s="7"/>
    </row>
    <row r="55" spans="1:8" x14ac:dyDescent="0.2">
      <c r="A55" s="9"/>
      <c r="B55" s="9"/>
      <c r="C55" s="21"/>
      <c r="D55" s="21"/>
      <c r="E55" s="21"/>
      <c r="F55" s="21"/>
      <c r="G55" s="21"/>
    </row>
    <row r="56" spans="1:8" x14ac:dyDescent="0.2">
      <c r="A56" s="9"/>
      <c r="B56" s="9"/>
      <c r="C56" s="7"/>
      <c r="D56" s="21"/>
      <c r="E56" s="7"/>
      <c r="F56" s="7"/>
      <c r="G56" s="21"/>
    </row>
    <row r="57" spans="1:8" x14ac:dyDescent="0.2">
      <c r="A57" s="9"/>
      <c r="B57" s="9"/>
      <c r="C57" s="7"/>
      <c r="D57" s="21"/>
      <c r="E57" s="7"/>
      <c r="F57" s="7"/>
      <c r="G57" s="21"/>
    </row>
    <row r="58" spans="1:8" x14ac:dyDescent="0.2">
      <c r="A58" s="9"/>
      <c r="B58" s="5"/>
      <c r="C58" s="6"/>
      <c r="D58" s="6"/>
      <c r="E58" s="6"/>
      <c r="F58" s="6"/>
      <c r="G58" s="6"/>
    </row>
    <row r="59" spans="1:8" x14ac:dyDescent="0.2">
      <c r="A59" s="9"/>
      <c r="B59" s="5"/>
      <c r="C59" s="6"/>
      <c r="D59" s="6"/>
      <c r="E59" s="6"/>
      <c r="F59" s="6"/>
      <c r="G59" s="6"/>
    </row>
    <row r="60" spans="1:8" x14ac:dyDescent="0.2">
      <c r="C60" s="3"/>
      <c r="D60" s="3"/>
      <c r="E60" s="3"/>
      <c r="F60" s="3"/>
      <c r="G60" s="3"/>
    </row>
    <row r="61" spans="1:8" ht="12.75" customHeight="1" x14ac:dyDescent="0.2">
      <c r="A61" s="234"/>
      <c r="B61" s="234"/>
      <c r="C61" s="234"/>
      <c r="D61" s="234"/>
      <c r="E61" s="234"/>
      <c r="F61" s="234"/>
      <c r="G61" s="234"/>
    </row>
    <row r="62" spans="1:8" ht="24.75" customHeight="1" x14ac:dyDescent="0.2">
      <c r="B62" s="234"/>
      <c r="C62" s="234"/>
      <c r="D62" s="234"/>
      <c r="E62" s="234"/>
      <c r="F62" s="234"/>
    </row>
    <row r="63" spans="1:8" ht="12.75" customHeight="1" x14ac:dyDescent="0.2">
      <c r="A63" s="238"/>
      <c r="B63" s="238"/>
      <c r="C63" s="238"/>
      <c r="D63" s="238"/>
      <c r="E63" s="238"/>
      <c r="F63" s="238"/>
    </row>
    <row r="64" spans="1:8" x14ac:dyDescent="0.2">
      <c r="A64" s="233"/>
      <c r="B64" s="5"/>
      <c r="C64" s="246"/>
      <c r="D64" s="247"/>
      <c r="E64" s="6"/>
      <c r="F64" s="246"/>
      <c r="G64" s="247"/>
    </row>
    <row r="65" spans="1:7" x14ac:dyDescent="0.2">
      <c r="A65" s="233"/>
      <c r="B65" s="5"/>
      <c r="C65" s="6"/>
      <c r="D65" s="6"/>
      <c r="E65" s="6"/>
      <c r="F65" s="6"/>
      <c r="G65" s="6"/>
    </row>
    <row r="66" spans="1:7" x14ac:dyDescent="0.2">
      <c r="A66" s="5"/>
      <c r="B66" s="5"/>
      <c r="C66" s="6"/>
      <c r="D66" s="6"/>
      <c r="E66" s="6"/>
      <c r="F66" s="6"/>
      <c r="G66" s="6"/>
    </row>
    <row r="67" spans="1:7" x14ac:dyDescent="0.2">
      <c r="A67" s="9"/>
      <c r="B67" s="5"/>
      <c r="C67" s="6"/>
      <c r="D67" s="6"/>
      <c r="E67" s="6"/>
      <c r="F67" s="6"/>
      <c r="G67" s="6"/>
    </row>
    <row r="68" spans="1:7" x14ac:dyDescent="0.2">
      <c r="A68" s="9"/>
      <c r="B68" s="9"/>
      <c r="C68" s="7"/>
      <c r="D68" s="7"/>
      <c r="E68" s="7"/>
      <c r="F68" s="7"/>
      <c r="G68" s="7"/>
    </row>
    <row r="69" spans="1:7" x14ac:dyDescent="0.2">
      <c r="A69" s="9"/>
      <c r="B69" s="9"/>
      <c r="C69" s="7"/>
      <c r="D69" s="7"/>
      <c r="E69" s="7"/>
      <c r="F69" s="7"/>
      <c r="G69" s="7"/>
    </row>
    <row r="70" spans="1:7" x14ac:dyDescent="0.2">
      <c r="A70" s="9"/>
      <c r="B70" s="9"/>
      <c r="C70" s="7"/>
      <c r="D70" s="7"/>
      <c r="E70" s="7"/>
      <c r="F70" s="7"/>
      <c r="G70" s="7"/>
    </row>
    <row r="71" spans="1:7" x14ac:dyDescent="0.2">
      <c r="A71" s="9"/>
      <c r="B71" s="9"/>
      <c r="C71" s="7"/>
      <c r="D71" s="7"/>
      <c r="E71" s="7"/>
      <c r="F71" s="7"/>
      <c r="G71" s="7"/>
    </row>
    <row r="72" spans="1:7" x14ac:dyDescent="0.2">
      <c r="A72" s="9"/>
      <c r="B72" s="9"/>
      <c r="C72" s="7"/>
      <c r="D72" s="7"/>
      <c r="E72" s="7"/>
      <c r="F72" s="7"/>
      <c r="G72" s="7"/>
    </row>
    <row r="73" spans="1:7" ht="45.75" customHeight="1" x14ac:dyDescent="0.2">
      <c r="A73" s="9"/>
      <c r="B73" s="9"/>
      <c r="C73" s="7"/>
      <c r="D73" s="7"/>
      <c r="E73" s="7"/>
      <c r="F73" s="7"/>
      <c r="G73" s="7"/>
    </row>
    <row r="74" spans="1:7" x14ac:dyDescent="0.2">
      <c r="A74" s="9"/>
      <c r="B74" s="9"/>
      <c r="C74" s="7"/>
      <c r="D74" s="7"/>
      <c r="E74" s="7"/>
      <c r="F74" s="7"/>
      <c r="G74" s="7"/>
    </row>
    <row r="75" spans="1:7" x14ac:dyDescent="0.2">
      <c r="A75" s="9"/>
      <c r="B75" s="5"/>
      <c r="C75" s="6"/>
      <c r="D75" s="6"/>
      <c r="E75" s="6"/>
      <c r="F75" s="6"/>
      <c r="G75" s="6"/>
    </row>
    <row r="76" spans="1:7" x14ac:dyDescent="0.2">
      <c r="A76" s="9"/>
      <c r="B76" s="5"/>
      <c r="C76" s="7"/>
      <c r="D76" s="7"/>
      <c r="E76" s="7"/>
      <c r="F76" s="7"/>
      <c r="G76" s="7"/>
    </row>
    <row r="77" spans="1:7" x14ac:dyDescent="0.2">
      <c r="A77" s="9"/>
      <c r="B77" s="9"/>
      <c r="C77" s="7"/>
      <c r="D77" s="7"/>
      <c r="E77" s="7"/>
      <c r="F77" s="7"/>
      <c r="G77" s="7"/>
    </row>
    <row r="78" spans="1:7" x14ac:dyDescent="0.2">
      <c r="A78" s="9"/>
      <c r="B78" s="5"/>
      <c r="C78" s="6"/>
      <c r="D78" s="6"/>
      <c r="E78" s="6"/>
      <c r="F78" s="6"/>
      <c r="G78" s="6"/>
    </row>
    <row r="79" spans="1:7" x14ac:dyDescent="0.2">
      <c r="A79" s="9"/>
      <c r="B79" s="5"/>
      <c r="C79" s="7"/>
      <c r="D79" s="7"/>
      <c r="E79" s="7"/>
      <c r="F79" s="7"/>
      <c r="G79" s="7"/>
    </row>
    <row r="80" spans="1:7" x14ac:dyDescent="0.2">
      <c r="A80" s="9"/>
      <c r="B80" s="9"/>
      <c r="C80" s="7"/>
      <c r="D80" s="7"/>
      <c r="E80" s="7"/>
      <c r="F80" s="7"/>
      <c r="G80" s="7"/>
    </row>
    <row r="81" spans="1:7" x14ac:dyDescent="0.2">
      <c r="A81" s="9"/>
      <c r="B81" s="9"/>
      <c r="C81" s="7"/>
      <c r="D81" s="7"/>
      <c r="E81" s="7"/>
      <c r="F81" s="7"/>
      <c r="G81" s="7"/>
    </row>
    <row r="82" spans="1:7" x14ac:dyDescent="0.2">
      <c r="A82" s="9"/>
      <c r="B82" s="9"/>
      <c r="C82" s="7"/>
      <c r="D82" s="7"/>
      <c r="E82" s="7"/>
      <c r="F82" s="7"/>
      <c r="G82" s="7"/>
    </row>
    <row r="83" spans="1:7" x14ac:dyDescent="0.2">
      <c r="A83" s="9"/>
      <c r="B83" s="5"/>
      <c r="C83" s="6"/>
      <c r="D83" s="6"/>
      <c r="E83" s="6"/>
      <c r="F83" s="6"/>
      <c r="G83" s="6"/>
    </row>
    <row r="84" spans="1:7" x14ac:dyDescent="0.2">
      <c r="A84" s="9"/>
      <c r="B84" s="5"/>
      <c r="C84" s="6"/>
      <c r="D84" s="6"/>
      <c r="E84" s="6"/>
      <c r="F84" s="6"/>
      <c r="G84" s="6"/>
    </row>
    <row r="85" spans="1:7" x14ac:dyDescent="0.2">
      <c r="A85" s="18"/>
      <c r="B85" s="19"/>
      <c r="C85" s="20"/>
      <c r="D85" s="20"/>
      <c r="E85" s="20"/>
      <c r="F85" s="20"/>
      <c r="G85" s="20"/>
    </row>
    <row r="87" spans="1:7" ht="12.75" customHeight="1" x14ac:dyDescent="0.2">
      <c r="A87" s="234"/>
      <c r="B87" s="234"/>
      <c r="C87" s="234"/>
      <c r="D87" s="234"/>
      <c r="E87" s="234"/>
      <c r="F87" s="234"/>
      <c r="G87" s="234"/>
    </row>
    <row r="88" spans="1:7" ht="12.75" customHeight="1" x14ac:dyDescent="0.2">
      <c r="A88" s="234"/>
      <c r="B88" s="234"/>
      <c r="C88" s="234"/>
      <c r="D88" s="234"/>
      <c r="E88" s="234"/>
      <c r="F88" s="234"/>
    </row>
    <row r="89" spans="1:7" ht="12.75" customHeight="1" x14ac:dyDescent="0.2">
      <c r="A89" s="238"/>
      <c r="B89" s="238"/>
      <c r="C89" s="238"/>
      <c r="D89" s="238"/>
      <c r="E89" s="238"/>
      <c r="F89" s="238"/>
    </row>
    <row r="90" spans="1:7" x14ac:dyDescent="0.2">
      <c r="A90" s="233"/>
      <c r="B90" s="5"/>
      <c r="C90" s="246"/>
      <c r="D90" s="247"/>
      <c r="E90" s="6"/>
      <c r="F90" s="246"/>
      <c r="G90" s="247"/>
    </row>
    <row r="91" spans="1:7" x14ac:dyDescent="0.2">
      <c r="A91" s="233"/>
      <c r="B91" s="5"/>
      <c r="C91" s="6"/>
      <c r="D91" s="6"/>
      <c r="E91" s="6"/>
      <c r="F91" s="6"/>
      <c r="G91" s="6"/>
    </row>
    <row r="92" spans="1:7" x14ac:dyDescent="0.2">
      <c r="A92" s="5"/>
      <c r="B92" s="5"/>
      <c r="C92" s="6"/>
      <c r="D92" s="6"/>
      <c r="E92" s="6"/>
      <c r="F92" s="6"/>
      <c r="G92" s="6"/>
    </row>
    <row r="93" spans="1:7" x14ac:dyDescent="0.2">
      <c r="A93" s="9"/>
      <c r="B93" s="5"/>
      <c r="C93" s="6"/>
      <c r="D93" s="6"/>
      <c r="E93" s="6"/>
      <c r="F93" s="6"/>
      <c r="G93" s="6"/>
    </row>
    <row r="94" spans="1:7" x14ac:dyDescent="0.2">
      <c r="A94" s="9"/>
      <c r="B94" s="9"/>
      <c r="C94" s="7"/>
      <c r="D94" s="7"/>
      <c r="E94" s="7"/>
      <c r="F94" s="7"/>
      <c r="G94" s="7"/>
    </row>
    <row r="95" spans="1:7" x14ac:dyDescent="0.2">
      <c r="B95" s="9"/>
      <c r="C95" s="7"/>
      <c r="D95" s="7"/>
      <c r="E95" s="7"/>
      <c r="F95" s="7"/>
      <c r="G95" s="7"/>
    </row>
    <row r="96" spans="1:7" x14ac:dyDescent="0.2">
      <c r="A96" s="9"/>
      <c r="B96" s="5"/>
      <c r="C96" s="6"/>
      <c r="D96" s="6"/>
      <c r="E96" s="6"/>
      <c r="F96" s="6"/>
      <c r="G96" s="6"/>
    </row>
    <row r="97" spans="1:7" x14ac:dyDescent="0.2">
      <c r="A97" s="9"/>
      <c r="B97" s="5"/>
      <c r="C97" s="7"/>
      <c r="D97" s="7"/>
      <c r="E97" s="7"/>
      <c r="F97" s="7"/>
      <c r="G97" s="7"/>
    </row>
    <row r="98" spans="1:7" x14ac:dyDescent="0.2">
      <c r="A98" s="9"/>
      <c r="B98" s="9"/>
      <c r="C98" s="7"/>
      <c r="D98" s="7"/>
      <c r="E98" s="7"/>
      <c r="F98" s="7"/>
      <c r="G98" s="7"/>
    </row>
    <row r="99" spans="1:7" x14ac:dyDescent="0.2">
      <c r="A99" s="9"/>
      <c r="B99" s="5"/>
      <c r="C99" s="6"/>
      <c r="D99" s="6"/>
      <c r="E99" s="6"/>
      <c r="F99" s="6"/>
      <c r="G99" s="6"/>
    </row>
    <row r="100" spans="1:7" x14ac:dyDescent="0.2">
      <c r="A100" s="9"/>
      <c r="B100" s="5"/>
      <c r="C100" s="7"/>
      <c r="D100" s="7"/>
      <c r="E100" s="7"/>
      <c r="F100" s="7"/>
      <c r="G100" s="7"/>
    </row>
    <row r="101" spans="1:7" x14ac:dyDescent="0.2">
      <c r="A101" s="9"/>
      <c r="B101" s="9"/>
      <c r="C101" s="7"/>
      <c r="D101" s="7"/>
      <c r="E101" s="7"/>
      <c r="F101" s="7"/>
      <c r="G101" s="7"/>
    </row>
    <row r="102" spans="1:7" x14ac:dyDescent="0.2">
      <c r="A102" s="9"/>
      <c r="B102" s="9"/>
      <c r="C102" s="7"/>
      <c r="D102" s="7"/>
      <c r="E102" s="7"/>
      <c r="F102" s="7"/>
      <c r="G102" s="7"/>
    </row>
    <row r="103" spans="1:7" x14ac:dyDescent="0.2">
      <c r="A103" s="9"/>
      <c r="B103" s="9"/>
      <c r="C103" s="7"/>
      <c r="D103" s="7"/>
      <c r="E103" s="7"/>
      <c r="F103" s="7"/>
      <c r="G103" s="7"/>
    </row>
    <row r="104" spans="1:7" x14ac:dyDescent="0.2">
      <c r="A104" s="9"/>
      <c r="B104" s="5"/>
      <c r="C104" s="6"/>
      <c r="D104" s="6"/>
      <c r="E104" s="6"/>
      <c r="F104" s="6"/>
      <c r="G104" s="6"/>
    </row>
    <row r="105" spans="1:7" x14ac:dyDescent="0.2">
      <c r="A105" s="9"/>
      <c r="B105" s="5"/>
      <c r="C105" s="6"/>
      <c r="D105" s="6"/>
      <c r="E105" s="6"/>
      <c r="F105" s="6"/>
      <c r="G105" s="6"/>
    </row>
  </sheetData>
  <mergeCells count="30">
    <mergeCell ref="C1:F1"/>
    <mergeCell ref="F27:G27"/>
    <mergeCell ref="A29:G29"/>
    <mergeCell ref="B30:G30"/>
    <mergeCell ref="A31:G31"/>
    <mergeCell ref="A5:G5"/>
    <mergeCell ref="B6:F6"/>
    <mergeCell ref="A7:D7"/>
    <mergeCell ref="A8:A9"/>
    <mergeCell ref="C8:D8"/>
    <mergeCell ref="F8:G8"/>
    <mergeCell ref="A11:G11"/>
    <mergeCell ref="A64:A65"/>
    <mergeCell ref="C64:D64"/>
    <mergeCell ref="F64:G64"/>
    <mergeCell ref="A36:G36"/>
    <mergeCell ref="A37:G37"/>
    <mergeCell ref="A38:G38"/>
    <mergeCell ref="A39:A40"/>
    <mergeCell ref="C39:D39"/>
    <mergeCell ref="F39:G39"/>
    <mergeCell ref="A61:G61"/>
    <mergeCell ref="B62:F62"/>
    <mergeCell ref="A63:F63"/>
    <mergeCell ref="A87:G87"/>
    <mergeCell ref="A88:F88"/>
    <mergeCell ref="A89:F89"/>
    <mergeCell ref="A90:A91"/>
    <mergeCell ref="C90:D90"/>
    <mergeCell ref="F90:G90"/>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11"/>
  <sheetViews>
    <sheetView topLeftCell="A19" workbookViewId="0">
      <selection activeCell="G40" sqref="G40"/>
    </sheetView>
  </sheetViews>
  <sheetFormatPr defaultRowHeight="12.75" x14ac:dyDescent="0.2"/>
  <cols>
    <col min="1" max="1" width="5.42578125" style="3" customWidth="1"/>
    <col min="2" max="2" width="23.85546875" style="3" customWidth="1"/>
    <col min="3" max="3" width="11.85546875" style="4" customWidth="1"/>
    <col min="4" max="7" width="12.140625" style="4" customWidth="1"/>
    <col min="8" max="9" width="9.140625" style="3"/>
    <col min="10" max="10" width="10.5703125" style="3" bestFit="1" customWidth="1"/>
    <col min="11" max="11" width="13.85546875" style="3" customWidth="1"/>
    <col min="12" max="12" width="11.5703125" style="3" bestFit="1" customWidth="1"/>
    <col min="13" max="16384" width="9.140625" style="3"/>
  </cols>
  <sheetData>
    <row r="1" spans="1:12" ht="25.5" customHeight="1" x14ac:dyDescent="0.2">
      <c r="B1" s="3" t="str">
        <f>'Deviz Genral cu TVA'!B3</f>
        <v>Proiectant</v>
      </c>
      <c r="C1" s="248" t="str">
        <f>'cap3'!C1</f>
        <v>SC TERM SRL</v>
      </c>
      <c r="D1" s="248"/>
      <c r="E1" s="248"/>
      <c r="F1" s="248"/>
    </row>
    <row r="2" spans="1:12" x14ac:dyDescent="0.2">
      <c r="B2" s="3" t="str">
        <f>'Deviz Genral cu TVA'!B4</f>
        <v>Adresa</v>
      </c>
      <c r="C2" s="45" t="str">
        <f>'cap3'!C2</f>
        <v>municipiul Oradea, str. Mimozei, nr. 6, ap. 4, jud. Bihor</v>
      </c>
      <c r="D2" s="45"/>
      <c r="E2" s="45"/>
      <c r="F2" s="45"/>
    </row>
    <row r="3" spans="1:12" x14ac:dyDescent="0.2">
      <c r="B3" s="3" t="str">
        <f>'Deviz Genral cu TVA'!B5</f>
        <v>CUI</v>
      </c>
      <c r="C3" s="44" t="str">
        <f>'cap3'!C3</f>
        <v>RO 9569400</v>
      </c>
    </row>
    <row r="4" spans="1:12" x14ac:dyDescent="0.2">
      <c r="B4" s="3" t="s">
        <v>228</v>
      </c>
    </row>
    <row r="5" spans="1:12" ht="27" customHeight="1" x14ac:dyDescent="0.2">
      <c r="A5" s="249" t="str">
        <f>'Deviz Genral cu TVA'!A9:G9</f>
        <v>REABILITARE ÎN VEDEREA EFICIENTIZĂRII ENERGETICE A ȘCOLII GIMNAZIALE “NESTOR PORUMB”, NR. 123-124, DIN LOCALITATEA TULCA, JUDEŢUL BIHOR</v>
      </c>
      <c r="B5" s="249"/>
      <c r="C5" s="249"/>
      <c r="D5" s="249"/>
      <c r="E5" s="249"/>
      <c r="F5" s="249"/>
      <c r="G5" s="249"/>
    </row>
    <row r="6" spans="1:12" ht="26.25" customHeight="1" x14ac:dyDescent="0.2">
      <c r="A6" s="2"/>
      <c r="B6" s="249" t="s">
        <v>307</v>
      </c>
      <c r="C6" s="249"/>
      <c r="D6" s="249"/>
      <c r="E6" s="249"/>
      <c r="F6" s="249"/>
      <c r="G6" s="13"/>
    </row>
    <row r="7" spans="1:12" ht="12.75" customHeight="1" x14ac:dyDescent="0.2">
      <c r="A7" s="238" t="s">
        <v>275</v>
      </c>
      <c r="B7" s="238"/>
      <c r="C7" s="238"/>
      <c r="D7" s="238"/>
      <c r="E7" s="14"/>
      <c r="G7" s="33">
        <f>'Deviz Genral cu TVA'!C10</f>
        <v>4.9218999999999999</v>
      </c>
    </row>
    <row r="8" spans="1:12" ht="38.25" x14ac:dyDescent="0.2">
      <c r="A8" s="233" t="s">
        <v>57</v>
      </c>
      <c r="B8" s="5" t="s">
        <v>58</v>
      </c>
      <c r="C8" s="246" t="s">
        <v>59</v>
      </c>
      <c r="D8" s="247"/>
      <c r="E8" s="6" t="s">
        <v>41</v>
      </c>
      <c r="F8" s="246" t="s">
        <v>60</v>
      </c>
      <c r="G8" s="247"/>
    </row>
    <row r="9" spans="1:12" x14ac:dyDescent="0.2">
      <c r="A9" s="233"/>
      <c r="B9" s="5"/>
      <c r="C9" s="6" t="s">
        <v>145</v>
      </c>
      <c r="D9" s="6" t="s">
        <v>146</v>
      </c>
      <c r="E9" s="6" t="s">
        <v>147</v>
      </c>
      <c r="F9" s="6" t="s">
        <v>147</v>
      </c>
      <c r="G9" s="6" t="s">
        <v>148</v>
      </c>
    </row>
    <row r="10" spans="1:12" x14ac:dyDescent="0.2">
      <c r="A10" s="5">
        <v>1</v>
      </c>
      <c r="B10" s="5">
        <v>2</v>
      </c>
      <c r="C10" s="15">
        <v>3</v>
      </c>
      <c r="D10" s="15">
        <v>4</v>
      </c>
      <c r="E10" s="15">
        <v>5</v>
      </c>
      <c r="F10" s="15">
        <v>6</v>
      </c>
      <c r="G10" s="15">
        <v>7</v>
      </c>
    </row>
    <row r="11" spans="1:12" ht="25.5" customHeight="1" x14ac:dyDescent="0.2">
      <c r="A11" s="250" t="s">
        <v>229</v>
      </c>
      <c r="B11" s="251"/>
      <c r="C11" s="251"/>
      <c r="D11" s="251"/>
      <c r="E11" s="251"/>
      <c r="F11" s="251"/>
      <c r="G11" s="252"/>
    </row>
    <row r="12" spans="1:12" ht="39.75" customHeight="1" x14ac:dyDescent="0.2">
      <c r="A12" s="16">
        <v>4.0999999999999996</v>
      </c>
      <c r="B12" s="16" t="s">
        <v>230</v>
      </c>
      <c r="C12" s="54">
        <f>C13+C14+C15+C16</f>
        <v>1841240</v>
      </c>
      <c r="D12" s="54">
        <f>D13+D14+D15+D16</f>
        <v>374091.30620288913</v>
      </c>
      <c r="E12" s="54">
        <f>E13+E14+E15+E16</f>
        <v>349835.60000000003</v>
      </c>
      <c r="F12" s="54">
        <f>F13+F14+F15+F16</f>
        <v>2191075.6</v>
      </c>
      <c r="G12" s="54">
        <f>G13+G14+G15+G16</f>
        <v>445168.6543814381</v>
      </c>
    </row>
    <row r="13" spans="1:12" ht="69.75" customHeight="1" x14ac:dyDescent="0.2">
      <c r="A13" s="9" t="s">
        <v>236</v>
      </c>
      <c r="B13" s="9" t="s">
        <v>231</v>
      </c>
      <c r="C13" s="48">
        <v>0</v>
      </c>
      <c r="D13" s="48">
        <f>C13/$G$7</f>
        <v>0</v>
      </c>
      <c r="E13" s="48">
        <f t="shared" ref="E13:E22" si="0">C13*0.19</f>
        <v>0</v>
      </c>
      <c r="F13" s="48">
        <f t="shared" ref="F13:F22" si="1">C13+E13</f>
        <v>0</v>
      </c>
      <c r="G13" s="48">
        <f>F13/$G$7</f>
        <v>0</v>
      </c>
    </row>
    <row r="14" spans="1:12" ht="39.75" customHeight="1" x14ac:dyDescent="0.2">
      <c r="A14" s="9" t="s">
        <v>252</v>
      </c>
      <c r="B14" s="9" t="s">
        <v>232</v>
      </c>
      <c r="C14" s="48">
        <v>86125</v>
      </c>
      <c r="D14" s="48">
        <f>C14/$G$7</f>
        <v>17498.323818037748</v>
      </c>
      <c r="E14" s="48">
        <f t="shared" si="0"/>
        <v>16363.75</v>
      </c>
      <c r="F14" s="48">
        <f t="shared" si="1"/>
        <v>102488.75</v>
      </c>
      <c r="G14" s="48">
        <f>F14/$G$7</f>
        <v>20823.005343464923</v>
      </c>
    </row>
    <row r="15" spans="1:12" s="120" customFormat="1" ht="39.75" customHeight="1" x14ac:dyDescent="0.2">
      <c r="A15" s="112" t="s">
        <v>253</v>
      </c>
      <c r="B15" s="112" t="s">
        <v>233</v>
      </c>
      <c r="C15" s="50">
        <v>1404236</v>
      </c>
      <c r="D15" s="50">
        <f>C15/$G$7</f>
        <v>285303.64290213131</v>
      </c>
      <c r="E15" s="50">
        <f t="shared" si="0"/>
        <v>266804.84000000003</v>
      </c>
      <c r="F15" s="50">
        <f t="shared" si="1"/>
        <v>1671040.84</v>
      </c>
      <c r="G15" s="50">
        <f>F15/$G$7</f>
        <v>339511.33505353628</v>
      </c>
    </row>
    <row r="16" spans="1:12" s="120" customFormat="1" ht="39.75" customHeight="1" x14ac:dyDescent="0.2">
      <c r="A16" s="112" t="s">
        <v>254</v>
      </c>
      <c r="B16" s="112" t="s">
        <v>234</v>
      </c>
      <c r="C16" s="50">
        <f>C18+C20+C22</f>
        <v>350879</v>
      </c>
      <c r="D16" s="50">
        <f>C16/$G$7</f>
        <v>71289.339482720083</v>
      </c>
      <c r="E16" s="50">
        <f t="shared" si="0"/>
        <v>66667.009999999995</v>
      </c>
      <c r="F16" s="50">
        <f t="shared" si="1"/>
        <v>417546.01</v>
      </c>
      <c r="G16" s="50">
        <f>F16/$G$7</f>
        <v>84834.313984436914</v>
      </c>
      <c r="L16" s="121"/>
    </row>
    <row r="17" spans="1:11" ht="39.75" customHeight="1" x14ac:dyDescent="0.2">
      <c r="A17" s="113" t="s">
        <v>158</v>
      </c>
      <c r="B17" s="113" t="s">
        <v>276</v>
      </c>
      <c r="C17" s="114">
        <f>C18</f>
        <v>87425</v>
      </c>
      <c r="D17" s="114">
        <f t="shared" ref="D17:D22" si="2">C17/$G$7</f>
        <v>17762.449460574167</v>
      </c>
      <c r="E17" s="114">
        <f t="shared" si="0"/>
        <v>16610.75</v>
      </c>
      <c r="F17" s="114">
        <f t="shared" si="1"/>
        <v>104035.75</v>
      </c>
      <c r="G17" s="114">
        <f t="shared" ref="G17:G22" si="3">F17/$G$7</f>
        <v>21137.31485808326</v>
      </c>
    </row>
    <row r="18" spans="1:11" ht="39.75" customHeight="1" x14ac:dyDescent="0.2">
      <c r="A18" s="9"/>
      <c r="B18" s="9" t="s">
        <v>277</v>
      </c>
      <c r="C18" s="50">
        <v>87425</v>
      </c>
      <c r="D18" s="50">
        <f t="shared" si="2"/>
        <v>17762.449460574167</v>
      </c>
      <c r="E18" s="50">
        <f t="shared" si="0"/>
        <v>16610.75</v>
      </c>
      <c r="F18" s="50">
        <f t="shared" si="1"/>
        <v>104035.75</v>
      </c>
      <c r="G18" s="50">
        <f t="shared" si="3"/>
        <v>21137.31485808326</v>
      </c>
    </row>
    <row r="19" spans="1:11" ht="39.75" customHeight="1" x14ac:dyDescent="0.2">
      <c r="A19" s="113" t="s">
        <v>159</v>
      </c>
      <c r="B19" s="113" t="s">
        <v>278</v>
      </c>
      <c r="C19" s="114">
        <f>C20</f>
        <v>71569</v>
      </c>
      <c r="D19" s="114">
        <f t="shared" si="2"/>
        <v>14540.929315914585</v>
      </c>
      <c r="E19" s="114">
        <f t="shared" si="0"/>
        <v>13598.11</v>
      </c>
      <c r="F19" s="114">
        <f t="shared" si="1"/>
        <v>85167.11</v>
      </c>
      <c r="G19" s="114">
        <f t="shared" si="3"/>
        <v>17303.705885938358</v>
      </c>
    </row>
    <row r="20" spans="1:11" ht="39.75" customHeight="1" x14ac:dyDescent="0.2">
      <c r="A20" s="9"/>
      <c r="B20" s="112" t="str">
        <f>B18</f>
        <v>Masuri de crestere a eficientei energetice tip I</v>
      </c>
      <c r="C20" s="48">
        <v>71569</v>
      </c>
      <c r="D20" s="48">
        <f t="shared" si="2"/>
        <v>14540.929315914585</v>
      </c>
      <c r="E20" s="48">
        <f t="shared" si="0"/>
        <v>13598.11</v>
      </c>
      <c r="F20" s="48">
        <f t="shared" si="1"/>
        <v>85167.11</v>
      </c>
      <c r="G20" s="48">
        <f t="shared" si="3"/>
        <v>17303.705885938358</v>
      </c>
      <c r="J20" s="115"/>
    </row>
    <row r="21" spans="1:11" ht="39.75" customHeight="1" x14ac:dyDescent="0.2">
      <c r="A21" s="113" t="s">
        <v>161</v>
      </c>
      <c r="B21" s="113" t="s">
        <v>279</v>
      </c>
      <c r="C21" s="114">
        <f>C22</f>
        <v>191885</v>
      </c>
      <c r="D21" s="114">
        <f t="shared" si="2"/>
        <v>38985.960706231337</v>
      </c>
      <c r="E21" s="114">
        <f t="shared" si="0"/>
        <v>36458.15</v>
      </c>
      <c r="F21" s="114">
        <f t="shared" si="1"/>
        <v>228343.15</v>
      </c>
      <c r="G21" s="114">
        <f t="shared" si="3"/>
        <v>46393.293240415289</v>
      </c>
    </row>
    <row r="22" spans="1:11" ht="39.75" customHeight="1" x14ac:dyDescent="0.2">
      <c r="A22" s="9"/>
      <c r="B22" s="112" t="str">
        <f>B20</f>
        <v>Masuri de crestere a eficientei energetice tip I</v>
      </c>
      <c r="C22" s="50">
        <v>191885</v>
      </c>
      <c r="D22" s="48">
        <f t="shared" si="2"/>
        <v>38985.960706231337</v>
      </c>
      <c r="E22" s="48">
        <f t="shared" si="0"/>
        <v>36458.15</v>
      </c>
      <c r="F22" s="48">
        <f t="shared" si="1"/>
        <v>228343.15</v>
      </c>
      <c r="G22" s="48">
        <f t="shared" si="3"/>
        <v>46393.293240415289</v>
      </c>
    </row>
    <row r="23" spans="1:11" ht="39.75" customHeight="1" x14ac:dyDescent="0.2">
      <c r="A23" s="35"/>
      <c r="B23" s="36" t="s">
        <v>235</v>
      </c>
      <c r="C23" s="56">
        <f>C12</f>
        <v>1841240</v>
      </c>
      <c r="D23" s="56">
        <f>D12</f>
        <v>374091.30620288913</v>
      </c>
      <c r="E23" s="56">
        <f>E12</f>
        <v>349835.60000000003</v>
      </c>
      <c r="F23" s="56">
        <f>F12</f>
        <v>2191075.6</v>
      </c>
      <c r="G23" s="56">
        <f>G12</f>
        <v>445168.6543814381</v>
      </c>
    </row>
    <row r="24" spans="1:11" ht="35.25" customHeight="1" x14ac:dyDescent="0.2">
      <c r="A24" s="9">
        <v>4.2</v>
      </c>
      <c r="B24" s="9" t="s">
        <v>237</v>
      </c>
      <c r="C24" s="48">
        <f>C26*20.1%</f>
        <v>100011.16800000001</v>
      </c>
      <c r="D24" s="7">
        <f>C24/$G$7</f>
        <v>20319.626160629028</v>
      </c>
      <c r="E24" s="48">
        <f>C24*0.19</f>
        <v>19002.121920000001</v>
      </c>
      <c r="F24" s="48">
        <f>C24+E24</f>
        <v>119013.28992000001</v>
      </c>
      <c r="G24" s="48">
        <f>F24/$G$7</f>
        <v>24180.355131148543</v>
      </c>
    </row>
    <row r="25" spans="1:11" ht="35.25" customHeight="1" x14ac:dyDescent="0.2">
      <c r="A25" s="16"/>
      <c r="B25" s="34" t="s">
        <v>238</v>
      </c>
      <c r="C25" s="111">
        <f>SUM(C24)</f>
        <v>100011.16800000001</v>
      </c>
      <c r="D25" s="111">
        <f>SUM(D24)</f>
        <v>20319.626160629028</v>
      </c>
      <c r="E25" s="111">
        <f>SUM(E24)</f>
        <v>19002.121920000001</v>
      </c>
      <c r="F25" s="111">
        <f>SUM(F24)</f>
        <v>119013.28992000001</v>
      </c>
      <c r="G25" s="111">
        <f>SUM(G24)</f>
        <v>24180.355131148543</v>
      </c>
    </row>
    <row r="26" spans="1:11" ht="41.25" customHeight="1" x14ac:dyDescent="0.2">
      <c r="A26" s="37">
        <v>4.3</v>
      </c>
      <c r="B26" s="37" t="s">
        <v>239</v>
      </c>
      <c r="C26" s="48">
        <v>497568</v>
      </c>
      <c r="D26" s="48">
        <f>C26/$G$7</f>
        <v>101092.66746581605</v>
      </c>
      <c r="E26" s="48">
        <f>C26*0.19</f>
        <v>94537.919999999998</v>
      </c>
      <c r="F26" s="48">
        <f>C26+E26</f>
        <v>592105.92000000004</v>
      </c>
      <c r="G26" s="48">
        <f>F26/$G$7</f>
        <v>120300.2742843211</v>
      </c>
      <c r="J26" s="44" t="s">
        <v>295</v>
      </c>
      <c r="K26" s="3" t="s">
        <v>302</v>
      </c>
    </row>
    <row r="27" spans="1:11" ht="57.75" customHeight="1" x14ac:dyDescent="0.2">
      <c r="A27" s="9">
        <v>4.4000000000000004</v>
      </c>
      <c r="B27" s="9" t="s">
        <v>240</v>
      </c>
      <c r="C27" s="48">
        <v>0</v>
      </c>
      <c r="D27" s="48">
        <f>C27/$G$7</f>
        <v>0</v>
      </c>
      <c r="E27" s="48">
        <f>C27*0.19</f>
        <v>0</v>
      </c>
      <c r="F27" s="48">
        <f>C27+E27</f>
        <v>0</v>
      </c>
      <c r="G27" s="48">
        <f>F27/$G$7</f>
        <v>0</v>
      </c>
    </row>
    <row r="28" spans="1:11" ht="32.25" customHeight="1" x14ac:dyDescent="0.2">
      <c r="A28" s="9">
        <v>4.5</v>
      </c>
      <c r="B28" s="9" t="s">
        <v>43</v>
      </c>
      <c r="C28" s="48">
        <v>0</v>
      </c>
      <c r="D28" s="48">
        <f>C28/$G$7</f>
        <v>0</v>
      </c>
      <c r="E28" s="48">
        <f>C28*0.19</f>
        <v>0</v>
      </c>
      <c r="F28" s="48">
        <f>C28+E28</f>
        <v>0</v>
      </c>
      <c r="G28" s="48">
        <f>F28/$G$7</f>
        <v>0</v>
      </c>
    </row>
    <row r="29" spans="1:11" ht="32.25" customHeight="1" x14ac:dyDescent="0.2">
      <c r="A29" s="9">
        <v>4.5999999999999996</v>
      </c>
      <c r="B29" s="9" t="s">
        <v>241</v>
      </c>
      <c r="C29" s="48">
        <v>0</v>
      </c>
      <c r="D29" s="48">
        <f>C29/$G$7</f>
        <v>0</v>
      </c>
      <c r="E29" s="48">
        <f>C29*0.19</f>
        <v>0</v>
      </c>
      <c r="F29" s="48">
        <f>C29+E29</f>
        <v>0</v>
      </c>
      <c r="G29" s="48">
        <f>F29/$G$7</f>
        <v>0</v>
      </c>
    </row>
    <row r="30" spans="1:11" ht="32.25" customHeight="1" x14ac:dyDescent="0.2">
      <c r="A30" s="16"/>
      <c r="B30" s="34" t="s">
        <v>242</v>
      </c>
      <c r="C30" s="111">
        <f>SUM(C26:C29)</f>
        <v>497568</v>
      </c>
      <c r="D30" s="111">
        <f>SUM(D26:D29)</f>
        <v>101092.66746581605</v>
      </c>
      <c r="E30" s="111">
        <f>SUM(E26:E29)</f>
        <v>94537.919999999998</v>
      </c>
      <c r="F30" s="111">
        <f>SUM(F26:F29)</f>
        <v>592105.92000000004</v>
      </c>
      <c r="G30" s="111">
        <f>SUM(G26:G29)</f>
        <v>120300.2742843211</v>
      </c>
    </row>
    <row r="31" spans="1:11" ht="25.5" x14ac:dyDescent="0.2">
      <c r="A31" s="9"/>
      <c r="B31" s="5" t="s">
        <v>61</v>
      </c>
      <c r="C31" s="43">
        <f>C23+C25+C30</f>
        <v>2438819.1680000001</v>
      </c>
      <c r="D31" s="43">
        <f>D23+D25+D30</f>
        <v>495503.59982933418</v>
      </c>
      <c r="E31" s="43">
        <f>E23+E25+E30</f>
        <v>463375.64192000002</v>
      </c>
      <c r="F31" s="43">
        <f>F23+F25+F30</f>
        <v>2902194.8099199999</v>
      </c>
      <c r="G31" s="43">
        <f>G23+G25+G30</f>
        <v>589649.28379690775</v>
      </c>
    </row>
    <row r="32" spans="1:11" x14ac:dyDescent="0.2">
      <c r="A32" s="18"/>
      <c r="B32" s="19"/>
      <c r="C32" s="20"/>
      <c r="D32" s="20"/>
      <c r="E32" s="20"/>
      <c r="F32" s="30" t="s">
        <v>45</v>
      </c>
      <c r="G32" s="20"/>
    </row>
    <row r="33" spans="1:7" ht="18.75" customHeight="1" x14ac:dyDescent="0.2">
      <c r="A33" s="18"/>
      <c r="B33" s="19"/>
      <c r="C33" s="20"/>
      <c r="D33" s="20"/>
      <c r="E33" s="20"/>
      <c r="F33" s="248" t="str">
        <f>'Deviz Genral cu TVA'!F86</f>
        <v>ing. Beko Andras</v>
      </c>
      <c r="G33" s="248"/>
    </row>
    <row r="35" spans="1:7" ht="12.75" customHeight="1" x14ac:dyDescent="0.2">
      <c r="A35" s="234"/>
      <c r="B35" s="234"/>
      <c r="C35" s="234"/>
      <c r="D35" s="234"/>
      <c r="E35" s="234"/>
      <c r="F35" s="234"/>
      <c r="G35" s="234"/>
    </row>
    <row r="36" spans="1:7" ht="18.75" customHeight="1" x14ac:dyDescent="0.2">
      <c r="B36" s="234"/>
      <c r="C36" s="234"/>
      <c r="D36" s="234"/>
      <c r="E36" s="234"/>
      <c r="F36" s="234"/>
      <c r="G36" s="234"/>
    </row>
    <row r="37" spans="1:7" ht="12.75" customHeight="1" x14ac:dyDescent="0.2">
      <c r="A37" s="238"/>
      <c r="B37" s="238"/>
      <c r="C37" s="238"/>
      <c r="D37" s="238"/>
      <c r="E37" s="238"/>
      <c r="F37" s="238"/>
      <c r="G37" s="238"/>
    </row>
    <row r="42" spans="1:7" ht="12.75" customHeight="1" x14ac:dyDescent="0.2">
      <c r="A42" s="234"/>
      <c r="B42" s="234"/>
      <c r="C42" s="234"/>
      <c r="D42" s="234"/>
      <c r="E42" s="234"/>
      <c r="F42" s="234"/>
      <c r="G42" s="234"/>
    </row>
    <row r="43" spans="1:7" ht="12.75" customHeight="1" x14ac:dyDescent="0.2">
      <c r="A43" s="234"/>
      <c r="B43" s="234"/>
      <c r="C43" s="234"/>
      <c r="D43" s="234"/>
      <c r="E43" s="234"/>
      <c r="F43" s="234"/>
      <c r="G43" s="234"/>
    </row>
    <row r="44" spans="1:7" ht="12.75" customHeight="1" x14ac:dyDescent="0.2">
      <c r="A44" s="238"/>
      <c r="B44" s="238"/>
      <c r="C44" s="238"/>
      <c r="D44" s="238"/>
      <c r="E44" s="238"/>
      <c r="F44" s="238"/>
      <c r="G44" s="238"/>
    </row>
    <row r="45" spans="1:7" ht="25.5" customHeight="1" x14ac:dyDescent="0.2">
      <c r="A45" s="233"/>
      <c r="B45" s="5"/>
      <c r="C45" s="233"/>
      <c r="D45" s="233"/>
      <c r="E45" s="5"/>
      <c r="F45" s="233"/>
      <c r="G45" s="233"/>
    </row>
    <row r="46" spans="1:7" x14ac:dyDescent="0.2">
      <c r="A46" s="233"/>
      <c r="B46" s="5"/>
      <c r="C46" s="5"/>
      <c r="D46" s="5"/>
      <c r="E46" s="5"/>
      <c r="F46" s="5"/>
      <c r="G46" s="5"/>
    </row>
    <row r="47" spans="1:7" x14ac:dyDescent="0.2">
      <c r="A47" s="5"/>
      <c r="B47" s="5"/>
      <c r="C47" s="5"/>
      <c r="D47" s="5"/>
      <c r="E47" s="5"/>
      <c r="F47" s="5"/>
      <c r="G47" s="5"/>
    </row>
    <row r="48" spans="1:7" x14ac:dyDescent="0.2">
      <c r="A48" s="9"/>
      <c r="B48" s="5"/>
      <c r="C48" s="5"/>
      <c r="D48" s="5"/>
      <c r="E48" s="5"/>
      <c r="F48" s="5"/>
      <c r="G48" s="5"/>
    </row>
    <row r="49" spans="1:8" x14ac:dyDescent="0.2">
      <c r="A49" s="9"/>
      <c r="B49" s="9"/>
      <c r="C49" s="7"/>
      <c r="D49" s="7"/>
      <c r="E49" s="7"/>
      <c r="F49" s="7"/>
      <c r="G49" s="7"/>
    </row>
    <row r="50" spans="1:8" x14ac:dyDescent="0.2">
      <c r="A50" s="9"/>
      <c r="B50" s="9"/>
      <c r="C50" s="7"/>
      <c r="D50" s="7"/>
      <c r="E50" s="7"/>
      <c r="F50" s="7"/>
      <c r="G50" s="7"/>
    </row>
    <row r="51" spans="1:8" x14ac:dyDescent="0.2">
      <c r="A51" s="9"/>
      <c r="B51" s="9"/>
      <c r="C51" s="7"/>
      <c r="D51" s="7"/>
      <c r="E51" s="7"/>
      <c r="F51" s="7"/>
      <c r="G51" s="7"/>
    </row>
    <row r="52" spans="1:8" x14ac:dyDescent="0.2">
      <c r="A52" s="9"/>
      <c r="B52" s="9"/>
      <c r="C52" s="7"/>
      <c r="D52" s="7"/>
      <c r="E52" s="7"/>
      <c r="F52" s="7"/>
      <c r="G52" s="7"/>
    </row>
    <row r="53" spans="1:8" x14ac:dyDescent="0.2">
      <c r="A53" s="9"/>
      <c r="B53" s="9"/>
      <c r="C53" s="7"/>
      <c r="D53" s="7"/>
      <c r="E53" s="7"/>
      <c r="F53" s="7"/>
      <c r="G53" s="7"/>
    </row>
    <row r="54" spans="1:8" x14ac:dyDescent="0.2">
      <c r="A54" s="9"/>
      <c r="B54" s="9"/>
      <c r="C54" s="7"/>
      <c r="D54" s="7"/>
      <c r="E54" s="7"/>
      <c r="F54" s="7"/>
      <c r="G54" s="7"/>
    </row>
    <row r="55" spans="1:8" x14ac:dyDescent="0.2">
      <c r="A55" s="9"/>
      <c r="B55" s="9"/>
      <c r="C55" s="7"/>
      <c r="D55" s="7"/>
      <c r="E55" s="7"/>
      <c r="F55" s="7"/>
      <c r="G55" s="7"/>
      <c r="H55" s="2"/>
    </row>
    <row r="56" spans="1:8" x14ac:dyDescent="0.2">
      <c r="A56" s="9"/>
      <c r="B56" s="5"/>
      <c r="C56" s="6"/>
      <c r="D56" s="6"/>
      <c r="E56" s="6"/>
      <c r="F56" s="6"/>
      <c r="G56" s="6"/>
    </row>
    <row r="57" spans="1:8" x14ac:dyDescent="0.2">
      <c r="A57" s="9"/>
      <c r="B57" s="5"/>
      <c r="C57" s="7"/>
      <c r="D57" s="7"/>
      <c r="E57" s="7"/>
      <c r="F57" s="7"/>
      <c r="G57" s="7"/>
    </row>
    <row r="58" spans="1:8" x14ac:dyDescent="0.2">
      <c r="A58" s="9"/>
      <c r="B58" s="9"/>
      <c r="C58" s="7"/>
      <c r="D58" s="7"/>
      <c r="E58" s="7"/>
      <c r="F58" s="7"/>
      <c r="G58" s="7"/>
    </row>
    <row r="59" spans="1:8" x14ac:dyDescent="0.2">
      <c r="A59" s="9"/>
      <c r="B59" s="5"/>
      <c r="C59" s="6"/>
      <c r="D59" s="6"/>
      <c r="E59" s="6"/>
      <c r="F59" s="6"/>
      <c r="G59" s="6"/>
    </row>
    <row r="60" spans="1:8" x14ac:dyDescent="0.2">
      <c r="A60" s="9"/>
      <c r="B60" s="5"/>
      <c r="C60" s="7"/>
      <c r="D60" s="7"/>
      <c r="E60" s="7"/>
      <c r="F60" s="7"/>
      <c r="G60" s="7"/>
    </row>
    <row r="61" spans="1:8" x14ac:dyDescent="0.2">
      <c r="A61" s="9"/>
      <c r="B61" s="9"/>
      <c r="C61" s="21"/>
      <c r="D61" s="21"/>
      <c r="E61" s="21"/>
      <c r="F61" s="21"/>
      <c r="G61" s="21"/>
    </row>
    <row r="62" spans="1:8" x14ac:dyDescent="0.2">
      <c r="A62" s="9"/>
      <c r="B62" s="9"/>
      <c r="C62" s="7"/>
      <c r="D62" s="21"/>
      <c r="E62" s="7"/>
      <c r="F62" s="7"/>
      <c r="G62" s="21"/>
    </row>
    <row r="63" spans="1:8" x14ac:dyDescent="0.2">
      <c r="A63" s="9"/>
      <c r="B63" s="9"/>
      <c r="C63" s="7"/>
      <c r="D63" s="21"/>
      <c r="E63" s="7"/>
      <c r="F63" s="7"/>
      <c r="G63" s="21"/>
    </row>
    <row r="64" spans="1:8" x14ac:dyDescent="0.2">
      <c r="A64" s="9"/>
      <c r="B64" s="5"/>
      <c r="C64" s="6"/>
      <c r="D64" s="6"/>
      <c r="E64" s="6"/>
      <c r="F64" s="6"/>
      <c r="G64" s="6"/>
    </row>
    <row r="65" spans="1:7" x14ac:dyDescent="0.2">
      <c r="A65" s="9"/>
      <c r="B65" s="5"/>
      <c r="C65" s="6"/>
      <c r="D65" s="6"/>
      <c r="E65" s="6"/>
      <c r="F65" s="6"/>
      <c r="G65" s="6"/>
    </row>
    <row r="66" spans="1:7" x14ac:dyDescent="0.2">
      <c r="C66" s="3"/>
      <c r="D66" s="3"/>
      <c r="E66" s="3"/>
      <c r="F66" s="3"/>
      <c r="G66" s="3"/>
    </row>
    <row r="67" spans="1:7" ht="12.75" customHeight="1" x14ac:dyDescent="0.2">
      <c r="A67" s="234"/>
      <c r="B67" s="234"/>
      <c r="C67" s="234"/>
      <c r="D67" s="234"/>
      <c r="E67" s="234"/>
      <c r="F67" s="234"/>
      <c r="G67" s="234"/>
    </row>
    <row r="68" spans="1:7" ht="24.75" customHeight="1" x14ac:dyDescent="0.2">
      <c r="B68" s="234"/>
      <c r="C68" s="234"/>
      <c r="D68" s="234"/>
      <c r="E68" s="234"/>
      <c r="F68" s="234"/>
    </row>
    <row r="69" spans="1:7" ht="12.75" customHeight="1" x14ac:dyDescent="0.2">
      <c r="A69" s="238"/>
      <c r="B69" s="238"/>
      <c r="C69" s="238"/>
      <c r="D69" s="238"/>
      <c r="E69" s="238"/>
      <c r="F69" s="238"/>
    </row>
    <row r="70" spans="1:7" x14ac:dyDescent="0.2">
      <c r="A70" s="233"/>
      <c r="B70" s="5"/>
      <c r="C70" s="246"/>
      <c r="D70" s="247"/>
      <c r="E70" s="6"/>
      <c r="F70" s="246"/>
      <c r="G70" s="247"/>
    </row>
    <row r="71" spans="1:7" x14ac:dyDescent="0.2">
      <c r="A71" s="233"/>
      <c r="B71" s="5"/>
      <c r="C71" s="6"/>
      <c r="D71" s="6"/>
      <c r="E71" s="6"/>
      <c r="F71" s="6"/>
      <c r="G71" s="6"/>
    </row>
    <row r="72" spans="1:7" x14ac:dyDescent="0.2">
      <c r="A72" s="5"/>
      <c r="B72" s="5"/>
      <c r="C72" s="6"/>
      <c r="D72" s="6"/>
      <c r="E72" s="6"/>
      <c r="F72" s="6"/>
      <c r="G72" s="6"/>
    </row>
    <row r="73" spans="1:7" x14ac:dyDescent="0.2">
      <c r="A73" s="9"/>
      <c r="B73" s="5"/>
      <c r="C73" s="6"/>
      <c r="D73" s="6"/>
      <c r="E73" s="6"/>
      <c r="F73" s="6"/>
      <c r="G73" s="6"/>
    </row>
    <row r="74" spans="1:7" x14ac:dyDescent="0.2">
      <c r="A74" s="9"/>
      <c r="B74" s="9"/>
      <c r="C74" s="7"/>
      <c r="D74" s="7"/>
      <c r="E74" s="7"/>
      <c r="F74" s="7"/>
      <c r="G74" s="7"/>
    </row>
    <row r="75" spans="1:7" x14ac:dyDescent="0.2">
      <c r="A75" s="9"/>
      <c r="B75" s="9"/>
      <c r="C75" s="7"/>
      <c r="D75" s="7"/>
      <c r="E75" s="7"/>
      <c r="F75" s="7"/>
      <c r="G75" s="7"/>
    </row>
    <row r="76" spans="1:7" x14ac:dyDescent="0.2">
      <c r="A76" s="9"/>
      <c r="B76" s="9"/>
      <c r="C76" s="7"/>
      <c r="D76" s="7"/>
      <c r="E76" s="7"/>
      <c r="F76" s="7"/>
      <c r="G76" s="7"/>
    </row>
    <row r="77" spans="1:7" x14ac:dyDescent="0.2">
      <c r="A77" s="9"/>
      <c r="B77" s="9"/>
      <c r="C77" s="7"/>
      <c r="D77" s="7"/>
      <c r="E77" s="7"/>
      <c r="F77" s="7"/>
      <c r="G77" s="7"/>
    </row>
    <row r="78" spans="1:7" x14ac:dyDescent="0.2">
      <c r="A78" s="9"/>
      <c r="B78" s="9"/>
      <c r="C78" s="7"/>
      <c r="D78" s="7"/>
      <c r="E78" s="7"/>
      <c r="F78" s="7"/>
      <c r="G78" s="7"/>
    </row>
    <row r="79" spans="1:7" ht="45.75" customHeight="1" x14ac:dyDescent="0.2">
      <c r="A79" s="9"/>
      <c r="B79" s="9"/>
      <c r="C79" s="7"/>
      <c r="D79" s="7"/>
      <c r="E79" s="7"/>
      <c r="F79" s="7"/>
      <c r="G79" s="7"/>
    </row>
    <row r="80" spans="1:7" x14ac:dyDescent="0.2">
      <c r="A80" s="9"/>
      <c r="B80" s="9"/>
      <c r="C80" s="7"/>
      <c r="D80" s="7"/>
      <c r="E80" s="7"/>
      <c r="F80" s="7"/>
      <c r="G80" s="7"/>
    </row>
    <row r="81" spans="1:7" x14ac:dyDescent="0.2">
      <c r="A81" s="9"/>
      <c r="B81" s="5"/>
      <c r="C81" s="6"/>
      <c r="D81" s="6"/>
      <c r="E81" s="6"/>
      <c r="F81" s="6"/>
      <c r="G81" s="6"/>
    </row>
    <row r="82" spans="1:7" x14ac:dyDescent="0.2">
      <c r="A82" s="9"/>
      <c r="B82" s="5"/>
      <c r="C82" s="7"/>
      <c r="D82" s="7"/>
      <c r="E82" s="7"/>
      <c r="F82" s="7"/>
      <c r="G82" s="7"/>
    </row>
    <row r="83" spans="1:7" x14ac:dyDescent="0.2">
      <c r="A83" s="9"/>
      <c r="B83" s="9"/>
      <c r="C83" s="7"/>
      <c r="D83" s="7"/>
      <c r="E83" s="7"/>
      <c r="F83" s="7"/>
      <c r="G83" s="7"/>
    </row>
    <row r="84" spans="1:7" x14ac:dyDescent="0.2">
      <c r="A84" s="9"/>
      <c r="B84" s="5"/>
      <c r="C84" s="6"/>
      <c r="D84" s="6"/>
      <c r="E84" s="6"/>
      <c r="F84" s="6"/>
      <c r="G84" s="6"/>
    </row>
    <row r="85" spans="1:7" x14ac:dyDescent="0.2">
      <c r="A85" s="9"/>
      <c r="B85" s="5"/>
      <c r="C85" s="7"/>
      <c r="D85" s="7"/>
      <c r="E85" s="7"/>
      <c r="F85" s="7"/>
      <c r="G85" s="7"/>
    </row>
    <row r="86" spans="1:7" x14ac:dyDescent="0.2">
      <c r="A86" s="9"/>
      <c r="B86" s="9"/>
      <c r="C86" s="7"/>
      <c r="D86" s="7"/>
      <c r="E86" s="7"/>
      <c r="F86" s="7"/>
      <c r="G86" s="7"/>
    </row>
    <row r="87" spans="1:7" x14ac:dyDescent="0.2">
      <c r="A87" s="9"/>
      <c r="B87" s="9"/>
      <c r="C87" s="7"/>
      <c r="D87" s="7"/>
      <c r="E87" s="7"/>
      <c r="F87" s="7"/>
      <c r="G87" s="7"/>
    </row>
    <row r="88" spans="1:7" x14ac:dyDescent="0.2">
      <c r="A88" s="9"/>
      <c r="B88" s="9"/>
      <c r="C88" s="7"/>
      <c r="D88" s="7"/>
      <c r="E88" s="7"/>
      <c r="F88" s="7"/>
      <c r="G88" s="7"/>
    </row>
    <row r="89" spans="1:7" x14ac:dyDescent="0.2">
      <c r="A89" s="9"/>
      <c r="B89" s="5"/>
      <c r="C89" s="6"/>
      <c r="D89" s="6"/>
      <c r="E89" s="6"/>
      <c r="F89" s="6"/>
      <c r="G89" s="6"/>
    </row>
    <row r="90" spans="1:7" x14ac:dyDescent="0.2">
      <c r="A90" s="9"/>
      <c r="B90" s="5"/>
      <c r="C90" s="6"/>
      <c r="D90" s="6"/>
      <c r="E90" s="6"/>
      <c r="F90" s="6"/>
      <c r="G90" s="6"/>
    </row>
    <row r="91" spans="1:7" x14ac:dyDescent="0.2">
      <c r="A91" s="18"/>
      <c r="B91" s="19"/>
      <c r="C91" s="20"/>
      <c r="D91" s="20"/>
      <c r="E91" s="20"/>
      <c r="F91" s="20"/>
      <c r="G91" s="20"/>
    </row>
    <row r="93" spans="1:7" ht="12.75" customHeight="1" x14ac:dyDescent="0.2">
      <c r="A93" s="234"/>
      <c r="B93" s="234"/>
      <c r="C93" s="234"/>
      <c r="D93" s="234"/>
      <c r="E93" s="234"/>
      <c r="F93" s="234"/>
      <c r="G93" s="234"/>
    </row>
    <row r="94" spans="1:7" ht="12.75" customHeight="1" x14ac:dyDescent="0.2">
      <c r="A94" s="234"/>
      <c r="B94" s="234"/>
      <c r="C94" s="234"/>
      <c r="D94" s="234"/>
      <c r="E94" s="234"/>
      <c r="F94" s="234"/>
    </row>
    <row r="95" spans="1:7" ht="12.75" customHeight="1" x14ac:dyDescent="0.2">
      <c r="A95" s="238"/>
      <c r="B95" s="238"/>
      <c r="C95" s="238"/>
      <c r="D95" s="238"/>
      <c r="E95" s="238"/>
      <c r="F95" s="238"/>
    </row>
    <row r="96" spans="1:7" x14ac:dyDescent="0.2">
      <c r="A96" s="233"/>
      <c r="B96" s="5"/>
      <c r="C96" s="246"/>
      <c r="D96" s="247"/>
      <c r="E96" s="6"/>
      <c r="F96" s="246"/>
      <c r="G96" s="247"/>
    </row>
    <row r="97" spans="1:7" x14ac:dyDescent="0.2">
      <c r="A97" s="233"/>
      <c r="B97" s="5"/>
      <c r="C97" s="6"/>
      <c r="D97" s="6"/>
      <c r="E97" s="6"/>
      <c r="F97" s="6"/>
      <c r="G97" s="6"/>
    </row>
    <row r="98" spans="1:7" x14ac:dyDescent="0.2">
      <c r="A98" s="5"/>
      <c r="B98" s="5"/>
      <c r="C98" s="6"/>
      <c r="D98" s="6"/>
      <c r="E98" s="6"/>
      <c r="F98" s="6"/>
      <c r="G98" s="6"/>
    </row>
    <row r="99" spans="1:7" x14ac:dyDescent="0.2">
      <c r="A99" s="9"/>
      <c r="B99" s="5"/>
      <c r="C99" s="6"/>
      <c r="D99" s="6"/>
      <c r="E99" s="6"/>
      <c r="F99" s="6"/>
      <c r="G99" s="6"/>
    </row>
    <row r="100" spans="1:7" x14ac:dyDescent="0.2">
      <c r="A100" s="9"/>
      <c r="B100" s="9"/>
      <c r="C100" s="7"/>
      <c r="D100" s="7"/>
      <c r="E100" s="7"/>
      <c r="F100" s="7"/>
      <c r="G100" s="7"/>
    </row>
    <row r="101" spans="1:7" x14ac:dyDescent="0.2">
      <c r="B101" s="9"/>
      <c r="C101" s="7"/>
      <c r="D101" s="7"/>
      <c r="E101" s="7"/>
      <c r="F101" s="7"/>
      <c r="G101" s="7"/>
    </row>
    <row r="102" spans="1:7" x14ac:dyDescent="0.2">
      <c r="A102" s="9"/>
      <c r="B102" s="5"/>
      <c r="C102" s="6"/>
      <c r="D102" s="6"/>
      <c r="E102" s="6"/>
      <c r="F102" s="6"/>
      <c r="G102" s="6"/>
    </row>
    <row r="103" spans="1:7" x14ac:dyDescent="0.2">
      <c r="A103" s="9"/>
      <c r="B103" s="5"/>
      <c r="C103" s="7"/>
      <c r="D103" s="7"/>
      <c r="E103" s="7"/>
      <c r="F103" s="7"/>
      <c r="G103" s="7"/>
    </row>
    <row r="104" spans="1:7" x14ac:dyDescent="0.2">
      <c r="A104" s="9"/>
      <c r="B104" s="9"/>
      <c r="C104" s="7"/>
      <c r="D104" s="7"/>
      <c r="E104" s="7"/>
      <c r="F104" s="7"/>
      <c r="G104" s="7"/>
    </row>
    <row r="105" spans="1:7" x14ac:dyDescent="0.2">
      <c r="A105" s="9"/>
      <c r="B105" s="5"/>
      <c r="C105" s="6"/>
      <c r="D105" s="6"/>
      <c r="E105" s="6"/>
      <c r="F105" s="6"/>
      <c r="G105" s="6"/>
    </row>
    <row r="106" spans="1:7" x14ac:dyDescent="0.2">
      <c r="A106" s="9"/>
      <c r="B106" s="5"/>
      <c r="C106" s="7"/>
      <c r="D106" s="7"/>
      <c r="E106" s="7"/>
      <c r="F106" s="7"/>
      <c r="G106" s="7"/>
    </row>
    <row r="107" spans="1:7" x14ac:dyDescent="0.2">
      <c r="A107" s="9"/>
      <c r="B107" s="9"/>
      <c r="C107" s="7"/>
      <c r="D107" s="7"/>
      <c r="E107" s="7"/>
      <c r="F107" s="7"/>
      <c r="G107" s="7"/>
    </row>
    <row r="108" spans="1:7" x14ac:dyDescent="0.2">
      <c r="A108" s="9"/>
      <c r="B108" s="9"/>
      <c r="C108" s="7"/>
      <c r="D108" s="7"/>
      <c r="E108" s="7"/>
      <c r="F108" s="7"/>
      <c r="G108" s="7"/>
    </row>
    <row r="109" spans="1:7" x14ac:dyDescent="0.2">
      <c r="A109" s="9"/>
      <c r="B109" s="9"/>
      <c r="C109" s="7"/>
      <c r="D109" s="7"/>
      <c r="E109" s="7"/>
      <c r="F109" s="7"/>
      <c r="G109" s="7"/>
    </row>
    <row r="110" spans="1:7" x14ac:dyDescent="0.2">
      <c r="A110" s="9"/>
      <c r="B110" s="5"/>
      <c r="C110" s="6"/>
      <c r="D110" s="6"/>
      <c r="E110" s="6"/>
      <c r="F110" s="6"/>
      <c r="G110" s="6"/>
    </row>
    <row r="111" spans="1:7" x14ac:dyDescent="0.2">
      <c r="A111" s="9"/>
      <c r="B111" s="5"/>
      <c r="C111" s="6"/>
      <c r="D111" s="6"/>
      <c r="E111" s="6"/>
      <c r="F111" s="6"/>
      <c r="G111" s="6"/>
    </row>
  </sheetData>
  <mergeCells count="30">
    <mergeCell ref="A94:F94"/>
    <mergeCell ref="A95:F95"/>
    <mergeCell ref="A96:A97"/>
    <mergeCell ref="C96:D96"/>
    <mergeCell ref="F96:G96"/>
    <mergeCell ref="A42:G42"/>
    <mergeCell ref="A93:G93"/>
    <mergeCell ref="A43:G43"/>
    <mergeCell ref="A44:G44"/>
    <mergeCell ref="A45:A46"/>
    <mergeCell ref="C45:D45"/>
    <mergeCell ref="F45:G45"/>
    <mergeCell ref="A67:G67"/>
    <mergeCell ref="B68:F68"/>
    <mergeCell ref="A69:F69"/>
    <mergeCell ref="A70:A71"/>
    <mergeCell ref="C70:D70"/>
    <mergeCell ref="F70:G70"/>
    <mergeCell ref="A11:G11"/>
    <mergeCell ref="F33:G33"/>
    <mergeCell ref="A35:G35"/>
    <mergeCell ref="B36:G36"/>
    <mergeCell ref="A37:G37"/>
    <mergeCell ref="C1:F1"/>
    <mergeCell ref="A5:G5"/>
    <mergeCell ref="B6:F6"/>
    <mergeCell ref="A7:D7"/>
    <mergeCell ref="A8:A9"/>
    <mergeCell ref="C8:D8"/>
    <mergeCell ref="F8:G8"/>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5"/>
  <sheetViews>
    <sheetView workbookViewId="0">
      <selection activeCell="C16" sqref="C16"/>
    </sheetView>
  </sheetViews>
  <sheetFormatPr defaultRowHeight="12.75" x14ac:dyDescent="0.2"/>
  <cols>
    <col min="1" max="1" width="5.42578125" style="3" customWidth="1"/>
    <col min="2" max="2" width="23.85546875" style="3" customWidth="1"/>
    <col min="3" max="3" width="11.85546875" style="4" customWidth="1"/>
    <col min="4" max="7" width="12.140625" style="4" customWidth="1"/>
    <col min="8" max="11" width="9.140625" style="3"/>
    <col min="12" max="12" width="11.5703125" style="3" bestFit="1" customWidth="1"/>
    <col min="13" max="16384" width="9.140625" style="3"/>
  </cols>
  <sheetData>
    <row r="1" spans="1:7" ht="25.5" customHeight="1" x14ac:dyDescent="0.2">
      <c r="B1" s="3" t="str">
        <f>'Deviz Genral cu TVA'!B3</f>
        <v>Proiectant</v>
      </c>
      <c r="C1" s="248" t="str">
        <f>'cap3'!C1</f>
        <v>SC TERM SRL</v>
      </c>
      <c r="D1" s="248"/>
      <c r="E1" s="248"/>
      <c r="F1" s="248"/>
    </row>
    <row r="2" spans="1:7" x14ac:dyDescent="0.2">
      <c r="B2" s="3" t="str">
        <f>'Deviz Genral cu TVA'!B4</f>
        <v>Adresa</v>
      </c>
      <c r="C2" s="45" t="str">
        <f>'cap3'!C2</f>
        <v>municipiul Oradea, str. Mimozei, nr. 6, ap. 4, jud. Bihor</v>
      </c>
      <c r="D2" s="45"/>
      <c r="E2" s="45"/>
      <c r="F2" s="45"/>
    </row>
    <row r="3" spans="1:7" x14ac:dyDescent="0.2">
      <c r="B3" s="3" t="str">
        <f>'Deviz Genral cu TVA'!B5</f>
        <v>CUI</v>
      </c>
      <c r="C3" s="44" t="str">
        <f>'cap3'!C3</f>
        <v>RO 9569400</v>
      </c>
    </row>
    <row r="4" spans="1:7" x14ac:dyDescent="0.2">
      <c r="B4" s="3" t="s">
        <v>228</v>
      </c>
    </row>
    <row r="5" spans="1:7" ht="25.5" customHeight="1" x14ac:dyDescent="0.2">
      <c r="A5" s="249" t="str">
        <f>'Deviz Genral cu TVA'!A9:G9</f>
        <v>REABILITARE ÎN VEDEREA EFICIENTIZĂRII ENERGETICE A ȘCOLII GIMNAZIALE “NESTOR PORUMB”, NR. 123-124, DIN LOCALITATEA TULCA, JUDEŢUL BIHOR</v>
      </c>
      <c r="B5" s="249"/>
      <c r="C5" s="249"/>
      <c r="D5" s="249"/>
      <c r="E5" s="249"/>
      <c r="F5" s="249"/>
      <c r="G5" s="249"/>
    </row>
    <row r="6" spans="1:7" ht="25.5" customHeight="1" x14ac:dyDescent="0.2">
      <c r="A6" s="2"/>
      <c r="B6" s="249" t="s">
        <v>306</v>
      </c>
      <c r="C6" s="249"/>
      <c r="D6" s="249"/>
      <c r="E6" s="249"/>
      <c r="F6" s="249"/>
      <c r="G6" s="13"/>
    </row>
    <row r="7" spans="1:7" ht="12.75" customHeight="1" x14ac:dyDescent="0.2">
      <c r="A7" s="238" t="s">
        <v>280</v>
      </c>
      <c r="B7" s="238"/>
      <c r="C7" s="238"/>
      <c r="D7" s="238"/>
      <c r="E7" s="14"/>
      <c r="G7" s="33">
        <f>'Deviz Genral cu TVA'!C10</f>
        <v>4.9218999999999999</v>
      </c>
    </row>
    <row r="8" spans="1:7" ht="38.25" x14ac:dyDescent="0.2">
      <c r="A8" s="233" t="s">
        <v>57</v>
      </c>
      <c r="B8" s="5" t="s">
        <v>58</v>
      </c>
      <c r="C8" s="246" t="s">
        <v>59</v>
      </c>
      <c r="D8" s="247"/>
      <c r="E8" s="6" t="s">
        <v>41</v>
      </c>
      <c r="F8" s="246" t="s">
        <v>60</v>
      </c>
      <c r="G8" s="247"/>
    </row>
    <row r="9" spans="1:7" x14ac:dyDescent="0.2">
      <c r="A9" s="233"/>
      <c r="B9" s="5"/>
      <c r="C9" s="6" t="s">
        <v>145</v>
      </c>
      <c r="D9" s="6" t="s">
        <v>146</v>
      </c>
      <c r="E9" s="6" t="s">
        <v>147</v>
      </c>
      <c r="F9" s="6" t="s">
        <v>147</v>
      </c>
      <c r="G9" s="6" t="s">
        <v>148</v>
      </c>
    </row>
    <row r="10" spans="1:7" x14ac:dyDescent="0.2">
      <c r="A10" s="5">
        <v>1</v>
      </c>
      <c r="B10" s="5">
        <v>2</v>
      </c>
      <c r="C10" s="15">
        <v>3</v>
      </c>
      <c r="D10" s="15">
        <v>4</v>
      </c>
      <c r="E10" s="15">
        <v>5</v>
      </c>
      <c r="F10" s="15">
        <v>6</v>
      </c>
      <c r="G10" s="15">
        <v>7</v>
      </c>
    </row>
    <row r="11" spans="1:7" ht="25.5" customHeight="1" x14ac:dyDescent="0.2">
      <c r="A11" s="250" t="s">
        <v>229</v>
      </c>
      <c r="B11" s="251"/>
      <c r="C11" s="251"/>
      <c r="D11" s="251"/>
      <c r="E11" s="251"/>
      <c r="F11" s="251"/>
      <c r="G11" s="252"/>
    </row>
    <row r="12" spans="1:7" ht="39.75" customHeight="1" x14ac:dyDescent="0.2">
      <c r="A12" s="16">
        <v>4.0999999999999996</v>
      </c>
      <c r="B12" s="16" t="s">
        <v>230</v>
      </c>
      <c r="C12" s="54">
        <f>C13+C14+C15+C16</f>
        <v>87839</v>
      </c>
      <c r="D12" s="54">
        <f>D13+D14+D15+D16</f>
        <v>17846.56331904346</v>
      </c>
      <c r="E12" s="54">
        <f>E13+E14+E15+E16</f>
        <v>16689.41</v>
      </c>
      <c r="F12" s="54">
        <f>F13+F14+F15+F16</f>
        <v>104528.41</v>
      </c>
      <c r="G12" s="54">
        <f>G13+G14+G15+G16</f>
        <v>21237.410349661717</v>
      </c>
    </row>
    <row r="13" spans="1:7" ht="69.75" customHeight="1" x14ac:dyDescent="0.2">
      <c r="A13" s="9" t="s">
        <v>236</v>
      </c>
      <c r="B13" s="9" t="s">
        <v>231</v>
      </c>
      <c r="C13" s="48">
        <v>0</v>
      </c>
      <c r="D13" s="48">
        <f>C13/$G$7</f>
        <v>0</v>
      </c>
      <c r="E13" s="48">
        <f>C13*0.19</f>
        <v>0</v>
      </c>
      <c r="F13" s="48">
        <f>C13+E13</f>
        <v>0</v>
      </c>
      <c r="G13" s="48">
        <f>F13/$G$7</f>
        <v>0</v>
      </c>
    </row>
    <row r="14" spans="1:7" ht="39.75" customHeight="1" x14ac:dyDescent="0.2">
      <c r="A14" s="9" t="s">
        <v>252</v>
      </c>
      <c r="B14" s="9" t="s">
        <v>232</v>
      </c>
      <c r="C14" s="48">
        <v>0</v>
      </c>
      <c r="D14" s="48">
        <f>C14/$G$7</f>
        <v>0</v>
      </c>
      <c r="E14" s="48">
        <f>C14*0.19</f>
        <v>0</v>
      </c>
      <c r="F14" s="48">
        <f>C14+E14</f>
        <v>0</v>
      </c>
      <c r="G14" s="48">
        <f>F14/$G$7</f>
        <v>0</v>
      </c>
    </row>
    <row r="15" spans="1:7" ht="39.75" customHeight="1" x14ac:dyDescent="0.2">
      <c r="A15" s="112" t="s">
        <v>253</v>
      </c>
      <c r="B15" s="112" t="s">
        <v>233</v>
      </c>
      <c r="C15" s="50">
        <v>87839</v>
      </c>
      <c r="D15" s="50">
        <f>C15/$G$7</f>
        <v>17846.56331904346</v>
      </c>
      <c r="E15" s="50">
        <f>C15*0.19</f>
        <v>16689.41</v>
      </c>
      <c r="F15" s="50">
        <f>C15+E15</f>
        <v>104528.41</v>
      </c>
      <c r="G15" s="50">
        <f>F15/$G$7</f>
        <v>21237.410349661717</v>
      </c>
    </row>
    <row r="16" spans="1:7" s="120" customFormat="1" ht="39.75" customHeight="1" x14ac:dyDescent="0.2">
      <c r="A16" s="112" t="s">
        <v>254</v>
      </c>
      <c r="B16" s="112" t="s">
        <v>234</v>
      </c>
      <c r="C16" s="50">
        <v>0</v>
      </c>
      <c r="D16" s="50">
        <f>C16/$G$7</f>
        <v>0</v>
      </c>
      <c r="E16" s="50">
        <f>C16*0.19</f>
        <v>0</v>
      </c>
      <c r="F16" s="50">
        <f>C16+E16</f>
        <v>0</v>
      </c>
      <c r="G16" s="50">
        <f>F16/$G$7</f>
        <v>0</v>
      </c>
    </row>
    <row r="17" spans="1:9" ht="39.75" customHeight="1" x14ac:dyDescent="0.2">
      <c r="A17" s="35"/>
      <c r="B17" s="36" t="s">
        <v>235</v>
      </c>
      <c r="C17" s="56">
        <f>C12</f>
        <v>87839</v>
      </c>
      <c r="D17" s="56">
        <f>D12</f>
        <v>17846.56331904346</v>
      </c>
      <c r="E17" s="56">
        <f>E12</f>
        <v>16689.41</v>
      </c>
      <c r="F17" s="56">
        <f>F12</f>
        <v>104528.41</v>
      </c>
      <c r="G17" s="56">
        <f>G12</f>
        <v>21237.410349661717</v>
      </c>
    </row>
    <row r="18" spans="1:9" ht="35.25" customHeight="1" x14ac:dyDescent="0.2">
      <c r="A18" s="9">
        <v>4.2</v>
      </c>
      <c r="B18" s="9" t="s">
        <v>237</v>
      </c>
      <c r="C18" s="48">
        <v>0</v>
      </c>
      <c r="D18" s="48">
        <f>C18/$G$7</f>
        <v>0</v>
      </c>
      <c r="E18" s="48">
        <f>C18*0.19</f>
        <v>0</v>
      </c>
      <c r="F18" s="48">
        <f>C18+E18</f>
        <v>0</v>
      </c>
      <c r="G18" s="48">
        <f>F18/$G$7</f>
        <v>0</v>
      </c>
    </row>
    <row r="19" spans="1:9" ht="35.25" customHeight="1" x14ac:dyDescent="0.2">
      <c r="A19" s="16"/>
      <c r="B19" s="34" t="s">
        <v>238</v>
      </c>
      <c r="C19" s="111">
        <f>SUM(C18)</f>
        <v>0</v>
      </c>
      <c r="D19" s="111">
        <f>SUM(D18)</f>
        <v>0</v>
      </c>
      <c r="E19" s="111">
        <f>SUM(E18)</f>
        <v>0</v>
      </c>
      <c r="F19" s="111">
        <f>SUM(F18)</f>
        <v>0</v>
      </c>
      <c r="G19" s="111">
        <f>SUM(G18)</f>
        <v>0</v>
      </c>
    </row>
    <row r="20" spans="1:9" ht="41.25" customHeight="1" x14ac:dyDescent="0.2">
      <c r="A20" s="37">
        <v>4.3</v>
      </c>
      <c r="B20" s="37" t="s">
        <v>239</v>
      </c>
      <c r="C20" s="48">
        <v>0</v>
      </c>
      <c r="D20" s="48">
        <f>C20/$G$7</f>
        <v>0</v>
      </c>
      <c r="E20" s="48">
        <f>C20*0.19</f>
        <v>0</v>
      </c>
      <c r="F20" s="48">
        <f>C20+E20</f>
        <v>0</v>
      </c>
      <c r="G20" s="48">
        <f>F20/$G$7</f>
        <v>0</v>
      </c>
    </row>
    <row r="21" spans="1:9" ht="57.75" customHeight="1" x14ac:dyDescent="0.2">
      <c r="A21" s="9">
        <v>4.4000000000000004</v>
      </c>
      <c r="B21" s="9" t="s">
        <v>240</v>
      </c>
      <c r="C21" s="48">
        <v>0</v>
      </c>
      <c r="D21" s="48">
        <f>C21/$G$7</f>
        <v>0</v>
      </c>
      <c r="E21" s="48">
        <f>C21*0.19</f>
        <v>0</v>
      </c>
      <c r="F21" s="48">
        <f>C21+E21</f>
        <v>0</v>
      </c>
      <c r="G21" s="48">
        <f>F21/$G$7</f>
        <v>0</v>
      </c>
    </row>
    <row r="22" spans="1:9" ht="32.25" customHeight="1" x14ac:dyDescent="0.2">
      <c r="A22" s="9">
        <v>4.5</v>
      </c>
      <c r="B22" s="9" t="s">
        <v>43</v>
      </c>
      <c r="C22" s="48">
        <v>0</v>
      </c>
      <c r="D22" s="48">
        <f>C22/$G$7</f>
        <v>0</v>
      </c>
      <c r="E22" s="48">
        <f>C22*0.19</f>
        <v>0</v>
      </c>
      <c r="F22" s="48">
        <f>C22+E22</f>
        <v>0</v>
      </c>
      <c r="G22" s="48">
        <f>F22/$G$7</f>
        <v>0</v>
      </c>
    </row>
    <row r="23" spans="1:9" ht="32.25" customHeight="1" x14ac:dyDescent="0.2">
      <c r="A23" s="9">
        <v>4.5999999999999996</v>
      </c>
      <c r="B23" s="9" t="s">
        <v>241</v>
      </c>
      <c r="C23" s="48">
        <v>0</v>
      </c>
      <c r="D23" s="48">
        <f>C23/$G$7</f>
        <v>0</v>
      </c>
      <c r="E23" s="48">
        <f>C23*0.19</f>
        <v>0</v>
      </c>
      <c r="F23" s="48">
        <f>C23+E23</f>
        <v>0</v>
      </c>
      <c r="G23" s="48">
        <f>F23/$G$7</f>
        <v>0</v>
      </c>
    </row>
    <row r="24" spans="1:9" ht="32.25" customHeight="1" x14ac:dyDescent="0.2">
      <c r="A24" s="16"/>
      <c r="B24" s="34" t="s">
        <v>242</v>
      </c>
      <c r="C24" s="111">
        <f>SUM(C20:C23)</f>
        <v>0</v>
      </c>
      <c r="D24" s="111">
        <f>SUM(D20:D23)</f>
        <v>0</v>
      </c>
      <c r="E24" s="111">
        <f>SUM(E20:E23)</f>
        <v>0</v>
      </c>
      <c r="F24" s="111">
        <f>SUM(F20:F23)</f>
        <v>0</v>
      </c>
      <c r="G24" s="111">
        <f>SUM(G20:G23)</f>
        <v>0</v>
      </c>
    </row>
    <row r="25" spans="1:9" ht="25.5" x14ac:dyDescent="0.2">
      <c r="A25" s="9"/>
      <c r="B25" s="5" t="s">
        <v>61</v>
      </c>
      <c r="C25" s="43">
        <f>C17+C19+C24</f>
        <v>87839</v>
      </c>
      <c r="D25" s="43">
        <f>D17+D19+D24</f>
        <v>17846.56331904346</v>
      </c>
      <c r="E25" s="43">
        <f>E17+E19+E24</f>
        <v>16689.41</v>
      </c>
      <c r="F25" s="43">
        <f>F17+F19+F24</f>
        <v>104528.41</v>
      </c>
      <c r="G25" s="43">
        <f>G17+G19+G24</f>
        <v>21237.410349661717</v>
      </c>
      <c r="I25" s="115"/>
    </row>
    <row r="26" spans="1:9" x14ac:dyDescent="0.2">
      <c r="A26" s="18"/>
      <c r="B26" s="19"/>
      <c r="C26" s="20"/>
      <c r="D26" s="20"/>
      <c r="E26" s="20"/>
      <c r="F26" s="30" t="s">
        <v>45</v>
      </c>
      <c r="G26" s="20"/>
    </row>
    <row r="27" spans="1:9" ht="18.75" customHeight="1" x14ac:dyDescent="0.2">
      <c r="A27" s="18"/>
      <c r="B27" s="19"/>
      <c r="C27" s="20"/>
      <c r="D27" s="20"/>
      <c r="E27" s="20"/>
      <c r="F27" s="248" t="str">
        <f>'Deviz Genral cu TVA'!F86</f>
        <v>ing. Beko Andras</v>
      </c>
      <c r="G27" s="248"/>
    </row>
    <row r="29" spans="1:9" ht="12.75" customHeight="1" x14ac:dyDescent="0.2">
      <c r="A29" s="234"/>
      <c r="B29" s="234"/>
      <c r="C29" s="234"/>
      <c r="D29" s="234"/>
      <c r="E29" s="234"/>
      <c r="F29" s="234"/>
      <c r="G29" s="234"/>
    </row>
    <row r="30" spans="1:9" ht="18.75" customHeight="1" x14ac:dyDescent="0.2">
      <c r="B30" s="234"/>
      <c r="C30" s="234"/>
      <c r="D30" s="234"/>
      <c r="E30" s="234"/>
      <c r="F30" s="234"/>
      <c r="G30" s="234"/>
    </row>
    <row r="31" spans="1:9" ht="12.75" customHeight="1" x14ac:dyDescent="0.2">
      <c r="A31" s="238"/>
      <c r="B31" s="238"/>
      <c r="C31" s="238"/>
      <c r="D31" s="238"/>
      <c r="E31" s="238"/>
      <c r="F31" s="238"/>
      <c r="G31" s="238"/>
    </row>
    <row r="36" spans="1:7" ht="12.75" customHeight="1" x14ac:dyDescent="0.2">
      <c r="A36" s="234"/>
      <c r="B36" s="234"/>
      <c r="C36" s="234"/>
      <c r="D36" s="234"/>
      <c r="E36" s="234"/>
      <c r="F36" s="234"/>
      <c r="G36" s="234"/>
    </row>
    <row r="37" spans="1:7" ht="12.75" customHeight="1" x14ac:dyDescent="0.2">
      <c r="A37" s="234"/>
      <c r="B37" s="234"/>
      <c r="C37" s="234"/>
      <c r="D37" s="234"/>
      <c r="E37" s="234"/>
      <c r="F37" s="234"/>
      <c r="G37" s="234"/>
    </row>
    <row r="38" spans="1:7" ht="12.75" customHeight="1" x14ac:dyDescent="0.2">
      <c r="A38" s="238"/>
      <c r="B38" s="238"/>
      <c r="C38" s="238"/>
      <c r="D38" s="238"/>
      <c r="E38" s="238"/>
      <c r="F38" s="238"/>
      <c r="G38" s="238"/>
    </row>
    <row r="39" spans="1:7" ht="25.5" customHeight="1" x14ac:dyDescent="0.2">
      <c r="A39" s="233"/>
      <c r="B39" s="5"/>
      <c r="C39" s="233"/>
      <c r="D39" s="233"/>
      <c r="E39" s="5"/>
      <c r="F39" s="233"/>
      <c r="G39" s="233"/>
    </row>
    <row r="40" spans="1:7" x14ac:dyDescent="0.2">
      <c r="A40" s="233"/>
      <c r="B40" s="5"/>
      <c r="C40" s="5"/>
      <c r="D40" s="5"/>
      <c r="E40" s="5"/>
      <c r="F40" s="5"/>
      <c r="G40" s="5"/>
    </row>
    <row r="41" spans="1:7" x14ac:dyDescent="0.2">
      <c r="A41" s="5"/>
      <c r="B41" s="5"/>
      <c r="C41" s="5"/>
      <c r="D41" s="5"/>
      <c r="E41" s="5"/>
      <c r="F41" s="5"/>
      <c r="G41" s="5"/>
    </row>
    <row r="42" spans="1:7" x14ac:dyDescent="0.2">
      <c r="A42" s="9"/>
      <c r="B42" s="5"/>
      <c r="C42" s="5"/>
      <c r="D42" s="5"/>
      <c r="E42" s="5"/>
      <c r="F42" s="5"/>
      <c r="G42" s="5"/>
    </row>
    <row r="43" spans="1:7" x14ac:dyDescent="0.2">
      <c r="A43" s="9"/>
      <c r="B43" s="9"/>
      <c r="C43" s="7"/>
      <c r="D43" s="7"/>
      <c r="E43" s="7"/>
      <c r="F43" s="7"/>
      <c r="G43" s="7"/>
    </row>
    <row r="44" spans="1:7" x14ac:dyDescent="0.2">
      <c r="A44" s="9"/>
      <c r="B44" s="9"/>
      <c r="C44" s="7"/>
      <c r="D44" s="7"/>
      <c r="E44" s="7"/>
      <c r="F44" s="7"/>
      <c r="G44" s="7"/>
    </row>
    <row r="45" spans="1:7" x14ac:dyDescent="0.2">
      <c r="A45" s="9"/>
      <c r="B45" s="9"/>
      <c r="C45" s="7"/>
      <c r="D45" s="7"/>
      <c r="E45" s="7"/>
      <c r="F45" s="7"/>
      <c r="G45" s="7"/>
    </row>
    <row r="46" spans="1:7" x14ac:dyDescent="0.2">
      <c r="A46" s="9"/>
      <c r="B46" s="9"/>
      <c r="C46" s="7"/>
      <c r="D46" s="7"/>
      <c r="E46" s="7"/>
      <c r="F46" s="7"/>
      <c r="G46" s="7"/>
    </row>
    <row r="47" spans="1:7" x14ac:dyDescent="0.2">
      <c r="A47" s="9"/>
      <c r="B47" s="9"/>
      <c r="C47" s="7"/>
      <c r="D47" s="7"/>
      <c r="E47" s="7"/>
      <c r="F47" s="7"/>
      <c r="G47" s="7"/>
    </row>
    <row r="48" spans="1:7" x14ac:dyDescent="0.2">
      <c r="A48" s="9"/>
      <c r="B48" s="9"/>
      <c r="C48" s="7"/>
      <c r="D48" s="7"/>
      <c r="E48" s="7"/>
      <c r="F48" s="7"/>
      <c r="G48" s="7"/>
    </row>
    <row r="49" spans="1:8" x14ac:dyDescent="0.2">
      <c r="A49" s="9"/>
      <c r="B49" s="9"/>
      <c r="C49" s="7"/>
      <c r="D49" s="7"/>
      <c r="E49" s="7"/>
      <c r="F49" s="7"/>
      <c r="G49" s="7"/>
      <c r="H49" s="2"/>
    </row>
    <row r="50" spans="1:8" x14ac:dyDescent="0.2">
      <c r="A50" s="9"/>
      <c r="B50" s="5"/>
      <c r="C50" s="6"/>
      <c r="D50" s="6"/>
      <c r="E50" s="6"/>
      <c r="F50" s="6"/>
      <c r="G50" s="6"/>
    </row>
    <row r="51" spans="1:8" x14ac:dyDescent="0.2">
      <c r="A51" s="9"/>
      <c r="B51" s="5"/>
      <c r="C51" s="7"/>
      <c r="D51" s="7"/>
      <c r="E51" s="7"/>
      <c r="F51" s="7"/>
      <c r="G51" s="7"/>
    </row>
    <row r="52" spans="1:8" x14ac:dyDescent="0.2">
      <c r="A52" s="9"/>
      <c r="B52" s="9"/>
      <c r="C52" s="7"/>
      <c r="D52" s="7"/>
      <c r="E52" s="7"/>
      <c r="F52" s="7"/>
      <c r="G52" s="7"/>
    </row>
    <row r="53" spans="1:8" x14ac:dyDescent="0.2">
      <c r="A53" s="9"/>
      <c r="B53" s="5"/>
      <c r="C53" s="6"/>
      <c r="D53" s="6"/>
      <c r="E53" s="6"/>
      <c r="F53" s="6"/>
      <c r="G53" s="6"/>
    </row>
    <row r="54" spans="1:8" x14ac:dyDescent="0.2">
      <c r="A54" s="9"/>
      <c r="B54" s="5"/>
      <c r="C54" s="7"/>
      <c r="D54" s="7"/>
      <c r="E54" s="7"/>
      <c r="F54" s="7"/>
      <c r="G54" s="7"/>
    </row>
    <row r="55" spans="1:8" x14ac:dyDescent="0.2">
      <c r="A55" s="9"/>
      <c r="B55" s="9"/>
      <c r="C55" s="21"/>
      <c r="D55" s="21"/>
      <c r="E55" s="21"/>
      <c r="F55" s="21"/>
      <c r="G55" s="21"/>
    </row>
    <row r="56" spans="1:8" x14ac:dyDescent="0.2">
      <c r="A56" s="9"/>
      <c r="B56" s="9"/>
      <c r="C56" s="7"/>
      <c r="D56" s="21"/>
      <c r="E56" s="7"/>
      <c r="F56" s="7"/>
      <c r="G56" s="21"/>
    </row>
    <row r="57" spans="1:8" x14ac:dyDescent="0.2">
      <c r="A57" s="9"/>
      <c r="B57" s="9"/>
      <c r="C57" s="7"/>
      <c r="D57" s="21"/>
      <c r="E57" s="7"/>
      <c r="F57" s="7"/>
      <c r="G57" s="21"/>
    </row>
    <row r="58" spans="1:8" x14ac:dyDescent="0.2">
      <c r="A58" s="9"/>
      <c r="B58" s="5"/>
      <c r="C58" s="6"/>
      <c r="D58" s="6"/>
      <c r="E58" s="6"/>
      <c r="F58" s="6"/>
      <c r="G58" s="6"/>
    </row>
    <row r="59" spans="1:8" x14ac:dyDescent="0.2">
      <c r="A59" s="9"/>
      <c r="B59" s="5"/>
      <c r="C59" s="6"/>
      <c r="D59" s="6"/>
      <c r="E59" s="6"/>
      <c r="F59" s="6"/>
      <c r="G59" s="6"/>
    </row>
    <row r="60" spans="1:8" x14ac:dyDescent="0.2">
      <c r="C60" s="3"/>
      <c r="D60" s="3"/>
      <c r="E60" s="3"/>
      <c r="F60" s="3"/>
      <c r="G60" s="3"/>
    </row>
    <row r="61" spans="1:8" ht="12.75" customHeight="1" x14ac:dyDescent="0.2">
      <c r="A61" s="234"/>
      <c r="B61" s="234"/>
      <c r="C61" s="234"/>
      <c r="D61" s="234"/>
      <c r="E61" s="234"/>
      <c r="F61" s="234"/>
      <c r="G61" s="234"/>
    </row>
    <row r="62" spans="1:8" ht="24.75" customHeight="1" x14ac:dyDescent="0.2">
      <c r="B62" s="234"/>
      <c r="C62" s="234"/>
      <c r="D62" s="234"/>
      <c r="E62" s="234"/>
      <c r="F62" s="234"/>
    </row>
    <row r="63" spans="1:8" ht="12.75" customHeight="1" x14ac:dyDescent="0.2">
      <c r="A63" s="238"/>
      <c r="B63" s="238"/>
      <c r="C63" s="238"/>
      <c r="D63" s="238"/>
      <c r="E63" s="238"/>
      <c r="F63" s="238"/>
    </row>
    <row r="64" spans="1:8" x14ac:dyDescent="0.2">
      <c r="A64" s="233"/>
      <c r="B64" s="5"/>
      <c r="C64" s="246"/>
      <c r="D64" s="247"/>
      <c r="E64" s="6"/>
      <c r="F64" s="246"/>
      <c r="G64" s="247"/>
    </row>
    <row r="65" spans="1:7" x14ac:dyDescent="0.2">
      <c r="A65" s="233"/>
      <c r="B65" s="5"/>
      <c r="C65" s="6"/>
      <c r="D65" s="6"/>
      <c r="E65" s="6"/>
      <c r="F65" s="6"/>
      <c r="G65" s="6"/>
    </row>
    <row r="66" spans="1:7" x14ac:dyDescent="0.2">
      <c r="A66" s="5"/>
      <c r="B66" s="5"/>
      <c r="C66" s="6"/>
      <c r="D66" s="6"/>
      <c r="E66" s="6"/>
      <c r="F66" s="6"/>
      <c r="G66" s="6"/>
    </row>
    <row r="67" spans="1:7" x14ac:dyDescent="0.2">
      <c r="A67" s="9"/>
      <c r="B67" s="5"/>
      <c r="C67" s="6"/>
      <c r="D67" s="6"/>
      <c r="E67" s="6"/>
      <c r="F67" s="6"/>
      <c r="G67" s="6"/>
    </row>
    <row r="68" spans="1:7" x14ac:dyDescent="0.2">
      <c r="A68" s="9"/>
      <c r="B68" s="9"/>
      <c r="C68" s="7"/>
      <c r="D68" s="7"/>
      <c r="E68" s="7"/>
      <c r="F68" s="7"/>
      <c r="G68" s="7"/>
    </row>
    <row r="69" spans="1:7" x14ac:dyDescent="0.2">
      <c r="A69" s="9"/>
      <c r="B69" s="9"/>
      <c r="C69" s="7"/>
      <c r="D69" s="7"/>
      <c r="E69" s="7"/>
      <c r="F69" s="7"/>
      <c r="G69" s="7"/>
    </row>
    <row r="70" spans="1:7" x14ac:dyDescent="0.2">
      <c r="A70" s="9"/>
      <c r="B70" s="9"/>
      <c r="C70" s="7"/>
      <c r="D70" s="7"/>
      <c r="E70" s="7"/>
      <c r="F70" s="7"/>
      <c r="G70" s="7"/>
    </row>
    <row r="71" spans="1:7" x14ac:dyDescent="0.2">
      <c r="A71" s="9"/>
      <c r="B71" s="9"/>
      <c r="C71" s="7"/>
      <c r="D71" s="7"/>
      <c r="E71" s="7"/>
      <c r="F71" s="7"/>
      <c r="G71" s="7"/>
    </row>
    <row r="72" spans="1:7" x14ac:dyDescent="0.2">
      <c r="A72" s="9"/>
      <c r="B72" s="9"/>
      <c r="C72" s="7"/>
      <c r="D72" s="7"/>
      <c r="E72" s="7"/>
      <c r="F72" s="7"/>
      <c r="G72" s="7"/>
    </row>
    <row r="73" spans="1:7" ht="45.75" customHeight="1" x14ac:dyDescent="0.2">
      <c r="A73" s="9"/>
      <c r="B73" s="9"/>
      <c r="C73" s="7"/>
      <c r="D73" s="7"/>
      <c r="E73" s="7"/>
      <c r="F73" s="7"/>
      <c r="G73" s="7"/>
    </row>
    <row r="74" spans="1:7" x14ac:dyDescent="0.2">
      <c r="A74" s="9"/>
      <c r="B74" s="9"/>
      <c r="C74" s="7"/>
      <c r="D74" s="7"/>
      <c r="E74" s="7"/>
      <c r="F74" s="7"/>
      <c r="G74" s="7"/>
    </row>
    <row r="75" spans="1:7" x14ac:dyDescent="0.2">
      <c r="A75" s="9"/>
      <c r="B75" s="5"/>
      <c r="C75" s="6"/>
      <c r="D75" s="6"/>
      <c r="E75" s="6"/>
      <c r="F75" s="6"/>
      <c r="G75" s="6"/>
    </row>
    <row r="76" spans="1:7" x14ac:dyDescent="0.2">
      <c r="A76" s="9"/>
      <c r="B76" s="5"/>
      <c r="C76" s="7"/>
      <c r="D76" s="7"/>
      <c r="E76" s="7"/>
      <c r="F76" s="7"/>
      <c r="G76" s="7"/>
    </row>
    <row r="77" spans="1:7" x14ac:dyDescent="0.2">
      <c r="A77" s="9"/>
      <c r="B77" s="9"/>
      <c r="C77" s="7"/>
      <c r="D77" s="7"/>
      <c r="E77" s="7"/>
      <c r="F77" s="7"/>
      <c r="G77" s="7"/>
    </row>
    <row r="78" spans="1:7" x14ac:dyDescent="0.2">
      <c r="A78" s="9"/>
      <c r="B78" s="5"/>
      <c r="C78" s="6"/>
      <c r="D78" s="6"/>
      <c r="E78" s="6"/>
      <c r="F78" s="6"/>
      <c r="G78" s="6"/>
    </row>
    <row r="79" spans="1:7" x14ac:dyDescent="0.2">
      <c r="A79" s="9"/>
      <c r="B79" s="5"/>
      <c r="C79" s="7"/>
      <c r="D79" s="7"/>
      <c r="E79" s="7"/>
      <c r="F79" s="7"/>
      <c r="G79" s="7"/>
    </row>
    <row r="80" spans="1:7" x14ac:dyDescent="0.2">
      <c r="A80" s="9"/>
      <c r="B80" s="9"/>
      <c r="C80" s="7"/>
      <c r="D80" s="7"/>
      <c r="E80" s="7"/>
      <c r="F80" s="7"/>
      <c r="G80" s="7"/>
    </row>
    <row r="81" spans="1:7" x14ac:dyDescent="0.2">
      <c r="A81" s="9"/>
      <c r="B81" s="9"/>
      <c r="C81" s="7"/>
      <c r="D81" s="7"/>
      <c r="E81" s="7"/>
      <c r="F81" s="7"/>
      <c r="G81" s="7"/>
    </row>
    <row r="82" spans="1:7" x14ac:dyDescent="0.2">
      <c r="A82" s="9"/>
      <c r="B82" s="9"/>
      <c r="C82" s="7"/>
      <c r="D82" s="7"/>
      <c r="E82" s="7"/>
      <c r="F82" s="7"/>
      <c r="G82" s="7"/>
    </row>
    <row r="83" spans="1:7" x14ac:dyDescent="0.2">
      <c r="A83" s="9"/>
      <c r="B83" s="5"/>
      <c r="C83" s="6"/>
      <c r="D83" s="6"/>
      <c r="E83" s="6"/>
      <c r="F83" s="6"/>
      <c r="G83" s="6"/>
    </row>
    <row r="84" spans="1:7" x14ac:dyDescent="0.2">
      <c r="A84" s="9"/>
      <c r="B84" s="5"/>
      <c r="C84" s="6"/>
      <c r="D84" s="6"/>
      <c r="E84" s="6"/>
      <c r="F84" s="6"/>
      <c r="G84" s="6"/>
    </row>
    <row r="85" spans="1:7" x14ac:dyDescent="0.2">
      <c r="A85" s="18"/>
      <c r="B85" s="19"/>
      <c r="C85" s="20"/>
      <c r="D85" s="20"/>
      <c r="E85" s="20"/>
      <c r="F85" s="20"/>
      <c r="G85" s="20"/>
    </row>
    <row r="87" spans="1:7" ht="12.75" customHeight="1" x14ac:dyDescent="0.2">
      <c r="A87" s="234"/>
      <c r="B87" s="234"/>
      <c r="C87" s="234"/>
      <c r="D87" s="234"/>
      <c r="E87" s="234"/>
      <c r="F87" s="234"/>
      <c r="G87" s="234"/>
    </row>
    <row r="88" spans="1:7" ht="12.75" customHeight="1" x14ac:dyDescent="0.2">
      <c r="A88" s="234"/>
      <c r="B88" s="234"/>
      <c r="C88" s="234"/>
      <c r="D88" s="234"/>
      <c r="E88" s="234"/>
      <c r="F88" s="234"/>
    </row>
    <row r="89" spans="1:7" ht="12.75" customHeight="1" x14ac:dyDescent="0.2">
      <c r="A89" s="238"/>
      <c r="B89" s="238"/>
      <c r="C89" s="238"/>
      <c r="D89" s="238"/>
      <c r="E89" s="238"/>
      <c r="F89" s="238"/>
    </row>
    <row r="90" spans="1:7" x14ac:dyDescent="0.2">
      <c r="A90" s="233"/>
      <c r="B90" s="5"/>
      <c r="C90" s="246"/>
      <c r="D90" s="247"/>
      <c r="E90" s="6"/>
      <c r="F90" s="246"/>
      <c r="G90" s="247"/>
    </row>
    <row r="91" spans="1:7" x14ac:dyDescent="0.2">
      <c r="A91" s="233"/>
      <c r="B91" s="5"/>
      <c r="C91" s="6"/>
      <c r="D91" s="6"/>
      <c r="E91" s="6"/>
      <c r="F91" s="6"/>
      <c r="G91" s="6"/>
    </row>
    <row r="92" spans="1:7" x14ac:dyDescent="0.2">
      <c r="A92" s="5"/>
      <c r="B92" s="5"/>
      <c r="C92" s="6"/>
      <c r="D92" s="6"/>
      <c r="E92" s="6"/>
      <c r="F92" s="6"/>
      <c r="G92" s="6"/>
    </row>
    <row r="93" spans="1:7" x14ac:dyDescent="0.2">
      <c r="A93" s="9"/>
      <c r="B93" s="5"/>
      <c r="C93" s="6"/>
      <c r="D93" s="6"/>
      <c r="E93" s="6"/>
      <c r="F93" s="6"/>
      <c r="G93" s="6"/>
    </row>
    <row r="94" spans="1:7" x14ac:dyDescent="0.2">
      <c r="A94" s="9"/>
      <c r="B94" s="9"/>
      <c r="C94" s="7"/>
      <c r="D94" s="7"/>
      <c r="E94" s="7"/>
      <c r="F94" s="7"/>
      <c r="G94" s="7"/>
    </row>
    <row r="95" spans="1:7" x14ac:dyDescent="0.2">
      <c r="B95" s="9"/>
      <c r="C95" s="7"/>
      <c r="D95" s="7"/>
      <c r="E95" s="7"/>
      <c r="F95" s="7"/>
      <c r="G95" s="7"/>
    </row>
    <row r="96" spans="1:7" x14ac:dyDescent="0.2">
      <c r="A96" s="9"/>
      <c r="B96" s="5"/>
      <c r="C96" s="6"/>
      <c r="D96" s="6"/>
      <c r="E96" s="6"/>
      <c r="F96" s="6"/>
      <c r="G96" s="6"/>
    </row>
    <row r="97" spans="1:7" x14ac:dyDescent="0.2">
      <c r="A97" s="9"/>
      <c r="B97" s="5"/>
      <c r="C97" s="7"/>
      <c r="D97" s="7"/>
      <c r="E97" s="7"/>
      <c r="F97" s="7"/>
      <c r="G97" s="7"/>
    </row>
    <row r="98" spans="1:7" x14ac:dyDescent="0.2">
      <c r="A98" s="9"/>
      <c r="B98" s="9"/>
      <c r="C98" s="7"/>
      <c r="D98" s="7"/>
      <c r="E98" s="7"/>
      <c r="F98" s="7"/>
      <c r="G98" s="7"/>
    </row>
    <row r="99" spans="1:7" x14ac:dyDescent="0.2">
      <c r="A99" s="9"/>
      <c r="B99" s="5"/>
      <c r="C99" s="6"/>
      <c r="D99" s="6"/>
      <c r="E99" s="6"/>
      <c r="F99" s="6"/>
      <c r="G99" s="6"/>
    </row>
    <row r="100" spans="1:7" x14ac:dyDescent="0.2">
      <c r="A100" s="9"/>
      <c r="B100" s="5"/>
      <c r="C100" s="7"/>
      <c r="D100" s="7"/>
      <c r="E100" s="7"/>
      <c r="F100" s="7"/>
      <c r="G100" s="7"/>
    </row>
    <row r="101" spans="1:7" x14ac:dyDescent="0.2">
      <c r="A101" s="9"/>
      <c r="B101" s="9"/>
      <c r="C101" s="7"/>
      <c r="D101" s="7"/>
      <c r="E101" s="7"/>
      <c r="F101" s="7"/>
      <c r="G101" s="7"/>
    </row>
    <row r="102" spans="1:7" x14ac:dyDescent="0.2">
      <c r="A102" s="9"/>
      <c r="B102" s="9"/>
      <c r="C102" s="7"/>
      <c r="D102" s="7"/>
      <c r="E102" s="7"/>
      <c r="F102" s="7"/>
      <c r="G102" s="7"/>
    </row>
    <row r="103" spans="1:7" x14ac:dyDescent="0.2">
      <c r="A103" s="9"/>
      <c r="B103" s="9"/>
      <c r="C103" s="7"/>
      <c r="D103" s="7"/>
      <c r="E103" s="7"/>
      <c r="F103" s="7"/>
      <c r="G103" s="7"/>
    </row>
    <row r="104" spans="1:7" x14ac:dyDescent="0.2">
      <c r="A104" s="9"/>
      <c r="B104" s="5"/>
      <c r="C104" s="6"/>
      <c r="D104" s="6"/>
      <c r="E104" s="6"/>
      <c r="F104" s="6"/>
      <c r="G104" s="6"/>
    </row>
    <row r="105" spans="1:7" x14ac:dyDescent="0.2">
      <c r="A105" s="9"/>
      <c r="B105" s="5"/>
      <c r="C105" s="6"/>
      <c r="D105" s="6"/>
      <c r="E105" s="6"/>
      <c r="F105" s="6"/>
      <c r="G105" s="6"/>
    </row>
  </sheetData>
  <mergeCells count="30">
    <mergeCell ref="A88:F88"/>
    <mergeCell ref="A89:F89"/>
    <mergeCell ref="A90:A91"/>
    <mergeCell ref="C90:D90"/>
    <mergeCell ref="F90:G90"/>
    <mergeCell ref="A36:G36"/>
    <mergeCell ref="A87:G87"/>
    <mergeCell ref="A37:G37"/>
    <mergeCell ref="A38:G38"/>
    <mergeCell ref="A39:A40"/>
    <mergeCell ref="C39:D39"/>
    <mergeCell ref="F39:G39"/>
    <mergeCell ref="A61:G61"/>
    <mergeCell ref="B62:F62"/>
    <mergeCell ref="A63:F63"/>
    <mergeCell ref="A64:A65"/>
    <mergeCell ref="C64:D64"/>
    <mergeCell ref="F64:G64"/>
    <mergeCell ref="A11:G11"/>
    <mergeCell ref="F27:G27"/>
    <mergeCell ref="A29:G29"/>
    <mergeCell ref="B30:G30"/>
    <mergeCell ref="A31:G31"/>
    <mergeCell ref="C1:F1"/>
    <mergeCell ref="A5:G5"/>
    <mergeCell ref="B6:F6"/>
    <mergeCell ref="A7:D7"/>
    <mergeCell ref="A8:A9"/>
    <mergeCell ref="C8:D8"/>
    <mergeCell ref="F8:G8"/>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9"/>
  <sheetViews>
    <sheetView topLeftCell="A11" workbookViewId="0">
      <selection activeCell="A3" sqref="A3"/>
    </sheetView>
  </sheetViews>
  <sheetFormatPr defaultRowHeight="12.75" x14ac:dyDescent="0.2"/>
  <cols>
    <col min="1" max="1" width="6.28515625" style="22" customWidth="1"/>
    <col min="2" max="2" width="26.140625" style="22" customWidth="1"/>
    <col min="3" max="3" width="8.85546875" style="22" customWidth="1"/>
    <col min="4" max="5" width="9.140625" style="22"/>
    <col min="6" max="6" width="10.5703125" style="22" customWidth="1"/>
    <col min="7" max="16384" width="9.140625" style="22"/>
  </cols>
  <sheetData>
    <row r="1" spans="1:8" ht="15" customHeight="1" x14ac:dyDescent="0.2">
      <c r="B1" s="22" t="str">
        <f>'Deviz Genral cu TVA'!B3</f>
        <v>Proiectant</v>
      </c>
      <c r="C1" s="255" t="str">
        <f>'cap4 '!C1:F1</f>
        <v>SC TERM SRL</v>
      </c>
      <c r="D1" s="255"/>
      <c r="E1" s="255"/>
      <c r="F1" s="255"/>
      <c r="G1" s="255"/>
    </row>
    <row r="2" spans="1:8" ht="15" customHeight="1" x14ac:dyDescent="0.2">
      <c r="B2" s="22" t="str">
        <f>'Deviz Genral cu TVA'!B4</f>
        <v>Adresa</v>
      </c>
      <c r="C2" s="255" t="str">
        <f>'cap4 '!C2</f>
        <v>municipiul Oradea, str. Mimozei, nr. 6, ap. 4, jud. Bihor</v>
      </c>
      <c r="D2" s="255"/>
      <c r="E2" s="255"/>
      <c r="F2" s="255"/>
      <c r="G2" s="255"/>
    </row>
    <row r="3" spans="1:8" ht="21" customHeight="1" x14ac:dyDescent="0.2">
      <c r="B3" s="22" t="str">
        <f>'Deviz Genral cu TVA'!B5</f>
        <v>CUI</v>
      </c>
      <c r="C3" s="46" t="str">
        <f>'cap4 '!C3</f>
        <v>RO 9569400</v>
      </c>
    </row>
    <row r="4" spans="1:8" hidden="1" x14ac:dyDescent="0.2"/>
    <row r="5" spans="1:8" x14ac:dyDescent="0.2">
      <c r="A5" s="256" t="s">
        <v>62</v>
      </c>
      <c r="B5" s="256"/>
      <c r="C5" s="256"/>
      <c r="D5" s="256"/>
      <c r="E5" s="256"/>
      <c r="F5" s="256"/>
      <c r="G5" s="256"/>
    </row>
    <row r="6" spans="1:8" ht="25.5" customHeight="1" x14ac:dyDescent="0.2">
      <c r="A6" s="256" t="str">
        <f>'Deviz Genral cu TVA'!A9:G9</f>
        <v>REABILITARE ÎN VEDEREA EFICIENTIZĂRII ENERGETICE A ȘCOLII GIMNAZIALE “NESTOR PORUMB”, NR. 123-124, DIN LOCALITATEA TULCA, JUDEŢUL BIHOR</v>
      </c>
      <c r="B6" s="256"/>
      <c r="C6" s="256"/>
      <c r="D6" s="256"/>
      <c r="E6" s="256"/>
      <c r="F6" s="256"/>
      <c r="G6" s="256"/>
    </row>
    <row r="7" spans="1:8" x14ac:dyDescent="0.2">
      <c r="A7" s="257" t="s">
        <v>308</v>
      </c>
      <c r="B7" s="257"/>
      <c r="C7" s="257"/>
      <c r="D7" s="257"/>
      <c r="E7" s="257"/>
      <c r="F7" s="257"/>
      <c r="G7" s="257"/>
      <c r="H7" s="22">
        <f>'Deviz Genral cu TVA'!C10</f>
        <v>4.9218999999999999</v>
      </c>
    </row>
    <row r="8" spans="1:8" ht="24" x14ac:dyDescent="0.2">
      <c r="A8" s="253" t="s">
        <v>0</v>
      </c>
      <c r="B8" s="23" t="s">
        <v>58</v>
      </c>
      <c r="C8" s="254" t="s">
        <v>59</v>
      </c>
      <c r="D8" s="254"/>
      <c r="E8" s="24" t="s">
        <v>41</v>
      </c>
      <c r="F8" s="254" t="s">
        <v>60</v>
      </c>
      <c r="G8" s="254"/>
    </row>
    <row r="9" spans="1:8" x14ac:dyDescent="0.2">
      <c r="A9" s="253"/>
      <c r="B9" s="23"/>
      <c r="C9" s="24" t="s">
        <v>147</v>
      </c>
      <c r="D9" s="24" t="s">
        <v>148</v>
      </c>
      <c r="E9" s="24" t="s">
        <v>147</v>
      </c>
      <c r="F9" s="24" t="s">
        <v>147</v>
      </c>
      <c r="G9" s="24" t="s">
        <v>146</v>
      </c>
    </row>
    <row r="10" spans="1:8" x14ac:dyDescent="0.2">
      <c r="A10" s="23">
        <v>1</v>
      </c>
      <c r="B10" s="23">
        <v>2</v>
      </c>
      <c r="C10" s="27">
        <v>3</v>
      </c>
      <c r="D10" s="27">
        <v>4</v>
      </c>
      <c r="E10" s="27">
        <v>5</v>
      </c>
      <c r="F10" s="27">
        <v>6</v>
      </c>
      <c r="G10" s="27">
        <v>7</v>
      </c>
    </row>
    <row r="11" spans="1:8" x14ac:dyDescent="0.2">
      <c r="A11" s="25"/>
      <c r="B11" s="23" t="s">
        <v>63</v>
      </c>
      <c r="C11" s="24"/>
      <c r="D11" s="24"/>
      <c r="E11" s="24"/>
      <c r="F11" s="24"/>
      <c r="G11" s="24"/>
    </row>
    <row r="12" spans="1:8" ht="36" x14ac:dyDescent="0.2">
      <c r="A12" s="25">
        <v>1</v>
      </c>
      <c r="B12" s="25" t="s">
        <v>64</v>
      </c>
      <c r="C12" s="57">
        <f>'Deviz Genral cu TVA'!C61</f>
        <v>0</v>
      </c>
      <c r="D12" s="57">
        <f>C12/$H$7</f>
        <v>0</v>
      </c>
      <c r="E12" s="57">
        <f>C12*0.19</f>
        <v>0</v>
      </c>
      <c r="F12" s="57">
        <f>C12+E12</f>
        <v>0</v>
      </c>
      <c r="G12" s="57">
        <f>F12/$H$7</f>
        <v>0</v>
      </c>
    </row>
    <row r="13" spans="1:8" ht="24" x14ac:dyDescent="0.2">
      <c r="A13" s="25">
        <v>2</v>
      </c>
      <c r="B13" s="25" t="s">
        <v>65</v>
      </c>
      <c r="C13" s="57">
        <f>'Deviz Genral cu TVA'!C62</f>
        <v>0</v>
      </c>
      <c r="D13" s="57">
        <f>C13/$H$7</f>
        <v>0</v>
      </c>
      <c r="E13" s="57">
        <f>C13*0.19</f>
        <v>0</v>
      </c>
      <c r="F13" s="57">
        <f>C13+E13</f>
        <v>0</v>
      </c>
      <c r="G13" s="57">
        <f>F13/$H$7</f>
        <v>0</v>
      </c>
    </row>
    <row r="14" spans="1:8" x14ac:dyDescent="0.2">
      <c r="A14" s="28"/>
      <c r="B14" s="29" t="s">
        <v>250</v>
      </c>
      <c r="C14" s="58">
        <f>SUM(C12:C13)</f>
        <v>0</v>
      </c>
      <c r="D14" s="58">
        <f>SUM(D12:D13)</f>
        <v>0</v>
      </c>
      <c r="E14" s="58">
        <f>SUM(E12:E13)</f>
        <v>0</v>
      </c>
      <c r="F14" s="58">
        <f>SUM(F12:F13)</f>
        <v>0</v>
      </c>
      <c r="G14" s="58">
        <f>SUM(G12:G13)</f>
        <v>0</v>
      </c>
    </row>
    <row r="15" spans="1:8" ht="24" x14ac:dyDescent="0.2">
      <c r="A15" s="25"/>
      <c r="B15" s="23" t="s">
        <v>66</v>
      </c>
      <c r="C15" s="57"/>
      <c r="D15" s="57"/>
      <c r="E15" s="57"/>
      <c r="F15" s="57"/>
      <c r="G15" s="57"/>
    </row>
    <row r="16" spans="1:8" ht="36" x14ac:dyDescent="0.2">
      <c r="A16" s="25" t="s">
        <v>131</v>
      </c>
      <c r="B16" s="25" t="s">
        <v>243</v>
      </c>
      <c r="C16" s="57">
        <v>0</v>
      </c>
      <c r="D16" s="57">
        <f>C16/$H$7</f>
        <v>0</v>
      </c>
      <c r="E16" s="57">
        <v>0</v>
      </c>
      <c r="F16" s="57">
        <f>C16+E16</f>
        <v>0</v>
      </c>
      <c r="G16" s="57">
        <f>F16/$H$7</f>
        <v>0</v>
      </c>
    </row>
    <row r="17" spans="1:7" ht="60" x14ac:dyDescent="0.2">
      <c r="A17" s="25" t="s">
        <v>132</v>
      </c>
      <c r="B17" s="25" t="s">
        <v>244</v>
      </c>
      <c r="C17" s="57">
        <f>'Deviz Genral cu TVA'!C65</f>
        <v>9645.3950000000004</v>
      </c>
      <c r="D17" s="57">
        <f>C17/$H$7</f>
        <v>1959.6893476096629</v>
      </c>
      <c r="E17" s="57">
        <v>0</v>
      </c>
      <c r="F17" s="57">
        <f>C17+E17</f>
        <v>9645.3950000000004</v>
      </c>
      <c r="G17" s="57">
        <f>F17/$H$7</f>
        <v>1959.6893476096629</v>
      </c>
    </row>
    <row r="18" spans="1:7" ht="96" x14ac:dyDescent="0.2">
      <c r="A18" s="25" t="s">
        <v>133</v>
      </c>
      <c r="B18" s="25" t="s">
        <v>245</v>
      </c>
      <c r="C18" s="57">
        <f>'Deviz Genral cu TVA'!C66</f>
        <v>1929.079</v>
      </c>
      <c r="D18" s="57">
        <f>C18/$H$7</f>
        <v>391.93786952193256</v>
      </c>
      <c r="E18" s="57">
        <v>0</v>
      </c>
      <c r="F18" s="57">
        <f>C18+E18</f>
        <v>1929.079</v>
      </c>
      <c r="G18" s="57">
        <f>F18/$H$7</f>
        <v>391.93786952193256</v>
      </c>
    </row>
    <row r="19" spans="1:7" ht="60" x14ac:dyDescent="0.2">
      <c r="A19" s="25" t="s">
        <v>134</v>
      </c>
      <c r="B19" s="25" t="s">
        <v>246</v>
      </c>
      <c r="C19" s="57">
        <f>'Deviz Genral cu TVA'!C67</f>
        <v>9645.3950000000004</v>
      </c>
      <c r="D19" s="57">
        <f>C19/$H$7</f>
        <v>1959.6893476096629</v>
      </c>
      <c r="E19" s="57">
        <v>0</v>
      </c>
      <c r="F19" s="57">
        <f>C19+E19</f>
        <v>9645.3950000000004</v>
      </c>
      <c r="G19" s="57">
        <f>F19/$H$7</f>
        <v>1959.6893476096629</v>
      </c>
    </row>
    <row r="20" spans="1:7" ht="36" x14ac:dyDescent="0.2">
      <c r="A20" s="25" t="s">
        <v>135</v>
      </c>
      <c r="B20" s="25" t="s">
        <v>247</v>
      </c>
      <c r="C20" s="57">
        <f>'Deviz Genral cu TVA'!C68</f>
        <v>2100</v>
      </c>
      <c r="D20" s="57">
        <f>C20/$H$7</f>
        <v>426.6644994819074</v>
      </c>
      <c r="E20" s="57">
        <v>0</v>
      </c>
      <c r="F20" s="57">
        <f>C20+E20</f>
        <v>2100</v>
      </c>
      <c r="G20" s="57">
        <f>D20</f>
        <v>426.6644994819074</v>
      </c>
    </row>
    <row r="21" spans="1:7" x14ac:dyDescent="0.2">
      <c r="A21" s="28"/>
      <c r="B21" s="29" t="s">
        <v>67</v>
      </c>
      <c r="C21" s="58">
        <f>SUM(C16:C20)</f>
        <v>23319.868999999999</v>
      </c>
      <c r="D21" s="58">
        <f>SUM(D16:D20)</f>
        <v>4737.981064223166</v>
      </c>
      <c r="E21" s="58">
        <f>SUM(E16:E20)</f>
        <v>0</v>
      </c>
      <c r="F21" s="58">
        <f>SUM(F16:F20)</f>
        <v>23319.868999999999</v>
      </c>
      <c r="G21" s="58">
        <f>SUM(G16:G20)</f>
        <v>4737.981064223166</v>
      </c>
    </row>
    <row r="22" spans="1:7" x14ac:dyDescent="0.2">
      <c r="A22" s="25"/>
      <c r="B22" s="23" t="s">
        <v>68</v>
      </c>
      <c r="C22" s="57">
        <f>'Deviz Genral cu TVA'!C69</f>
        <v>0</v>
      </c>
      <c r="D22" s="57">
        <f>C22/H7</f>
        <v>0</v>
      </c>
      <c r="E22" s="57">
        <f>C22*0.19</f>
        <v>0</v>
      </c>
      <c r="F22" s="57">
        <f>C22+E22</f>
        <v>0</v>
      </c>
      <c r="G22" s="57">
        <f>F22/H7</f>
        <v>0</v>
      </c>
    </row>
    <row r="23" spans="1:7" x14ac:dyDescent="0.2">
      <c r="A23" s="28"/>
      <c r="B23" s="29" t="s">
        <v>69</v>
      </c>
      <c r="C23" s="58">
        <f>SUM(C22:C22)</f>
        <v>0</v>
      </c>
      <c r="D23" s="58">
        <f>SUM(D22:D22)</f>
        <v>0</v>
      </c>
      <c r="E23" s="58">
        <f>SUM(E22:E22)</f>
        <v>0</v>
      </c>
      <c r="F23" s="58">
        <f>SUM(F22:F22)</f>
        <v>0</v>
      </c>
      <c r="G23" s="58">
        <f>SUM(G22:G22)</f>
        <v>0</v>
      </c>
    </row>
    <row r="24" spans="1:7" ht="24" x14ac:dyDescent="0.2">
      <c r="A24" s="38"/>
      <c r="B24" s="39" t="s">
        <v>248</v>
      </c>
      <c r="C24" s="59">
        <f>'Deviz Genral cu TVA'!C70</f>
        <v>840.34</v>
      </c>
      <c r="D24" s="59">
        <f>'Deviz Genral cu TVA'!D70</f>
        <v>170.73487880696479</v>
      </c>
      <c r="E24" s="59">
        <f>'Deviz Genral cu TVA'!E70</f>
        <v>159.66460000000001</v>
      </c>
      <c r="F24" s="59">
        <f>'Deviz Genral cu TVA'!F70</f>
        <v>1000.0046</v>
      </c>
      <c r="G24" s="59">
        <f>'Deviz Genral cu TVA'!G70</f>
        <v>203.17450578028809</v>
      </c>
    </row>
    <row r="25" spans="1:7" x14ac:dyDescent="0.2">
      <c r="A25" s="28"/>
      <c r="B25" s="29" t="s">
        <v>249</v>
      </c>
      <c r="C25" s="58">
        <f>SUM(C24:C24)</f>
        <v>840.34</v>
      </c>
      <c r="D25" s="58">
        <f>SUM(D24:D24)</f>
        <v>170.73487880696479</v>
      </c>
      <c r="E25" s="58">
        <f>SUM(E24:E24)</f>
        <v>159.66460000000001</v>
      </c>
      <c r="F25" s="58">
        <f>SUM(F24:F24)</f>
        <v>1000.0046</v>
      </c>
      <c r="G25" s="58">
        <f>SUM(G24:G24)</f>
        <v>203.17450578028809</v>
      </c>
    </row>
    <row r="26" spans="1:7" x14ac:dyDescent="0.2">
      <c r="A26" s="25"/>
      <c r="B26" s="23" t="s">
        <v>20</v>
      </c>
      <c r="C26" s="60">
        <f>C14+C21+C23+C25</f>
        <v>24160.208999999999</v>
      </c>
      <c r="D26" s="60">
        <f>D14+D21+D23+D25</f>
        <v>4908.7159430301308</v>
      </c>
      <c r="E26" s="60">
        <f>E14+E21+E23+E25</f>
        <v>159.66460000000001</v>
      </c>
      <c r="F26" s="60">
        <f>F14+F21+F23+F25</f>
        <v>24319.873599999999</v>
      </c>
      <c r="G26" s="60">
        <f>G14+G21+G23+G25</f>
        <v>4941.1555700034542</v>
      </c>
    </row>
    <row r="28" spans="1:7" x14ac:dyDescent="0.2">
      <c r="F28" s="31" t="s">
        <v>86</v>
      </c>
    </row>
    <row r="29" spans="1:7" ht="25.5" x14ac:dyDescent="0.2">
      <c r="F29" s="22" t="str">
        <f>'Deviz Genral cu TVA'!F86</f>
        <v>ing. Beko Andras</v>
      </c>
    </row>
  </sheetData>
  <mergeCells count="8">
    <mergeCell ref="A8:A9"/>
    <mergeCell ref="C8:D8"/>
    <mergeCell ref="F8:G8"/>
    <mergeCell ref="C1:G1"/>
    <mergeCell ref="C2:G2"/>
    <mergeCell ref="A5:G5"/>
    <mergeCell ref="A6:G6"/>
    <mergeCell ref="A7:G7"/>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vt:i4>
      </vt:variant>
    </vt:vector>
  </HeadingPairs>
  <TitlesOfParts>
    <vt:vector size="11" baseType="lpstr">
      <vt:lpstr>Deviz Genral cu TVA</vt:lpstr>
      <vt:lpstr>Sheet1</vt:lpstr>
      <vt:lpstr>cap 1</vt:lpstr>
      <vt:lpstr>cap2</vt:lpstr>
      <vt:lpstr>cap3</vt:lpstr>
      <vt:lpstr>cap4 </vt:lpstr>
      <vt:lpstr>CAP4 TIP I</vt:lpstr>
      <vt:lpstr>CAP4 TIP II</vt:lpstr>
      <vt:lpstr>cap5</vt:lpstr>
      <vt:lpstr>Sheet2</vt:lpstr>
      <vt:lpstr>'Deviz Genral cu TVA'!_Hlk527567994</vt:lpstr>
    </vt:vector>
  </TitlesOfParts>
  <Company>home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Secretariat</cp:lastModifiedBy>
  <cp:lastPrinted>2021-09-15T10:31:27Z</cp:lastPrinted>
  <dcterms:created xsi:type="dcterms:W3CDTF">2003-10-26T06:35:39Z</dcterms:created>
  <dcterms:modified xsi:type="dcterms:W3CDTF">2021-09-17T06:39:23Z</dcterms:modified>
</cp:coreProperties>
</file>