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dragomir\Desktop\"/>
    </mc:Choice>
  </mc:AlternateContent>
  <bookViews>
    <workbookView xWindow="0" yWindow="0" windowWidth="28575" windowHeight="12300" tabRatio="900" firstSheet="1" activeTab="1"/>
  </bookViews>
  <sheets>
    <sheet name="Info gen" sheetId="50" r:id="rId1"/>
    <sheet name="DEVIZ GENERAL" sheetId="15" r:id="rId2"/>
    <sheet name="Deviz general curente" sheetId="52" state="hidden" r:id="rId3"/>
    <sheet name="esalonare investitie" sheetId="35" r:id="rId4"/>
    <sheet name="Finantare" sheetId="67" state="hidden" r:id="rId5"/>
    <sheet name="Schema Echiv_DB cst" sheetId="47" r:id="rId6"/>
    <sheet name="Schema Echiv_DB cu p.a." sheetId="48" r:id="rId7"/>
    <sheet name="tabele SF" sheetId="34" r:id="rId8"/>
    <sheet name="D2.Deviz ITDCS-summary " sheetId="7" r:id="rId9"/>
    <sheet name="D3.Deviz ITDCS-CCU" sheetId="58" r:id="rId10"/>
    <sheet name="D4.Deviz ITDCS-TM" sheetId="56" r:id="rId11"/>
    <sheet name="D5.Deviz ITDCS-DA" sheetId="55" r:id="rId12"/>
    <sheet name="D6.Deviz ITDCS-CD" sheetId="65" r:id="rId13"/>
    <sheet name="D7.C&amp;T" sheetId="14" r:id="rId14"/>
    <sheet name="C&amp;T operator" sheetId="22" state="hidden" r:id="rId15"/>
    <sheet name="Sheet1" sheetId="60" state="hidden" r:id="rId16"/>
    <sheet name="D8.compostoare individuale" sheetId="49" r:id="rId17"/>
    <sheet name="B.2 Bugetul proiectului" sheetId="36" state="hidden" r:id="rId18"/>
    <sheet name="centralizator contracte" sheetId="46" r:id="rId19"/>
    <sheet name="planul achizitii" sheetId="64" r:id="rId20"/>
    <sheet name="Deviz CST Sotanga-op" sheetId="59" r:id="rId21"/>
    <sheet name="comparativ" sheetId="68" r:id="rId22"/>
    <sheet name="valoare AFM actualizata" sheetId="69" r:id="rId23"/>
    <sheet name="Bugetul" sheetId="63" state="hidden" r:id="rId24"/>
    <sheet name="G.1.2 plan anual" sheetId="17" state="hidden" r:id="rId25"/>
    <sheet name="contracte servicii" sheetId="33" state="hidden" r:id="rId26"/>
    <sheet name="contract furnizare" sheetId="38" state="hidden" r:id="rId27"/>
    <sheet name="Contract DBO" sheetId="45" state="hidden" r:id="rId28"/>
    <sheet name="contract lucrari" sheetId="41" state="hidden" r:id="rId29"/>
    <sheet name="Inv pe comp const" sheetId="19" state="hidden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_SR250">'[1] '!$B$7</definedName>
    <definedName name="___SR500">'[1] '!$B$6</definedName>
    <definedName name="__123Graph_AROSTENT" localSheetId="14" hidden="1">#REF!</definedName>
    <definedName name="__123Graph_AROSTENT" localSheetId="27" hidden="1">#REF!</definedName>
    <definedName name="__123Graph_AROSTENT" localSheetId="9" hidden="1">#REF!</definedName>
    <definedName name="__123Graph_AROSTENT" localSheetId="12" hidden="1">#REF!</definedName>
    <definedName name="__123Graph_AROSTENT" localSheetId="20" hidden="1">#REF!</definedName>
    <definedName name="__123Graph_AROSTENT" localSheetId="4" hidden="1">#REF!</definedName>
    <definedName name="__123Graph_AROSTENT" localSheetId="19" hidden="1">#REF!</definedName>
    <definedName name="__123Graph_AROSTENT" hidden="1">#REF!</definedName>
    <definedName name="__123Graph_AROSTSPEZ" localSheetId="14" hidden="1">#REF!</definedName>
    <definedName name="__123Graph_AROSTSPEZ" localSheetId="27" hidden="1">#REF!</definedName>
    <definedName name="__123Graph_AROSTSPEZ" localSheetId="9" hidden="1">#REF!</definedName>
    <definedName name="__123Graph_AROSTSPEZ" localSheetId="12" hidden="1">#REF!</definedName>
    <definedName name="__123Graph_AROSTSPEZ" localSheetId="20" hidden="1">#REF!</definedName>
    <definedName name="__123Graph_AROSTSPEZ" localSheetId="4" hidden="1">#REF!</definedName>
    <definedName name="__123Graph_AROSTSPEZ" localSheetId="19" hidden="1">#REF!</definedName>
    <definedName name="__123Graph_AROSTSPEZ" hidden="1">#REF!</definedName>
    <definedName name="__123Graph_BROSTENT" localSheetId="14" hidden="1">#REF!</definedName>
    <definedName name="__123Graph_BROSTENT" localSheetId="27" hidden="1">#REF!</definedName>
    <definedName name="__123Graph_BROSTENT" localSheetId="9" hidden="1">#REF!</definedName>
    <definedName name="__123Graph_BROSTENT" localSheetId="12" hidden="1">#REF!</definedName>
    <definedName name="__123Graph_BROSTENT" localSheetId="20" hidden="1">#REF!</definedName>
    <definedName name="__123Graph_BROSTENT" localSheetId="4" hidden="1">#REF!</definedName>
    <definedName name="__123Graph_BROSTENT" localSheetId="19" hidden="1">#REF!</definedName>
    <definedName name="__123Graph_BROSTENT" hidden="1">#REF!</definedName>
    <definedName name="__123Graph_BROSTSPEZ" localSheetId="14" hidden="1">#REF!</definedName>
    <definedName name="__123Graph_BROSTSPEZ" localSheetId="27" hidden="1">#REF!</definedName>
    <definedName name="__123Graph_BROSTSPEZ" localSheetId="9" hidden="1">#REF!</definedName>
    <definedName name="__123Graph_BROSTSPEZ" localSheetId="12" hidden="1">#REF!</definedName>
    <definedName name="__123Graph_BROSTSPEZ" localSheetId="20" hidden="1">#REF!</definedName>
    <definedName name="__123Graph_BROSTSPEZ" localSheetId="4" hidden="1">#REF!</definedName>
    <definedName name="__123Graph_BROSTSPEZ" hidden="1">#REF!</definedName>
    <definedName name="__123Graph_CROSTENT" localSheetId="14" hidden="1">#REF!</definedName>
    <definedName name="__123Graph_CROSTENT" localSheetId="27" hidden="1">#REF!</definedName>
    <definedName name="__123Graph_CROSTENT" localSheetId="9" hidden="1">#REF!</definedName>
    <definedName name="__123Graph_CROSTENT" localSheetId="12" hidden="1">#REF!</definedName>
    <definedName name="__123Graph_CROSTENT" localSheetId="20" hidden="1">#REF!</definedName>
    <definedName name="__123Graph_CROSTENT" localSheetId="4" hidden="1">#REF!</definedName>
    <definedName name="__123Graph_CROSTENT" hidden="1">#REF!</definedName>
    <definedName name="__123Graph_CROSTSPEZ" localSheetId="14" hidden="1">#REF!</definedName>
    <definedName name="__123Graph_CROSTSPEZ" localSheetId="27" hidden="1">#REF!</definedName>
    <definedName name="__123Graph_CROSTSPEZ" localSheetId="9" hidden="1">#REF!</definedName>
    <definedName name="__123Graph_CROSTSPEZ" localSheetId="12" hidden="1">#REF!</definedName>
    <definedName name="__123Graph_CROSTSPEZ" localSheetId="20" hidden="1">#REF!</definedName>
    <definedName name="__123Graph_CROSTSPEZ" localSheetId="4" hidden="1">#REF!</definedName>
    <definedName name="__123Graph_CROSTSPEZ" hidden="1">#REF!</definedName>
    <definedName name="__123Graph_XROSTENT" localSheetId="14" hidden="1">#REF!</definedName>
    <definedName name="__123Graph_XROSTENT" localSheetId="27" hidden="1">#REF!</definedName>
    <definedName name="__123Graph_XROSTENT" localSheetId="9" hidden="1">#REF!</definedName>
    <definedName name="__123Graph_XROSTENT" localSheetId="12" hidden="1">#REF!</definedName>
    <definedName name="__123Graph_XROSTENT" localSheetId="20" hidden="1">#REF!</definedName>
    <definedName name="__123Graph_XROSTENT" localSheetId="4" hidden="1">#REF!</definedName>
    <definedName name="__123Graph_XROSTENT" hidden="1">#REF!</definedName>
    <definedName name="__SR250">'[1] '!$B$7</definedName>
    <definedName name="__SR500">'[1] '!$B$6</definedName>
    <definedName name="_SR250">'[1] '!$B$7</definedName>
    <definedName name="_SR500">'[1] '!$B$6</definedName>
    <definedName name="baseEcoCostsB">[2]Calculation!$G$170</definedName>
    <definedName name="BR">'[1] '!$B$4</definedName>
    <definedName name="BXchange">'[1] '!$F$14</definedName>
    <definedName name="coef">'Info gen'!$D$23</definedName>
    <definedName name="collincrease">'[1] '!$F$67</definedName>
    <definedName name="collstart">'[1] '!$F$66</definedName>
    <definedName name="CR">'[1] '!$B$3</definedName>
    <definedName name="crinv">'Info gen'!$D$14</definedName>
    <definedName name="data_deviz">'DEVIZ GENERAL'!$B$171</definedName>
    <definedName name="data_valuta">'Info gen'!$D$9</definedName>
    <definedName name="Divd">'[1] '!$F$63</definedName>
    <definedName name="Drate">'[1] '!$F$34</definedName>
    <definedName name="euro">'Info gen'!$D$8</definedName>
    <definedName name="FG">'[3]8.FG'!$G$96</definedName>
    <definedName name="IncTax">'[1] '!$F$61</definedName>
    <definedName name="IPC">'Info gen'!$D$15</definedName>
    <definedName name="LoanComFee">'[1] '!$F$52</definedName>
    <definedName name="LoanFEFee">'[1] '!$F$53</definedName>
    <definedName name="LoanGraceP">'[1] '!$F$50</definedName>
    <definedName name="LoanInt">'[1] '!$F$51</definedName>
    <definedName name="LoanTime">'[1] '!$F$49</definedName>
    <definedName name="MaxAccPay">'[1] '!$F$71</definedName>
    <definedName name="maxcoll">'[1] '!$F$68</definedName>
    <definedName name="MaxOverDr">'[1] '!$F$75</definedName>
    <definedName name="MaxStcks">'[1] '!$F$70</definedName>
    <definedName name="MinCiH">'[1] '!$F$74</definedName>
    <definedName name="MUnit">'[1] '!$F$13</definedName>
    <definedName name="OthRev">'[1] '!$F$58</definedName>
    <definedName name="OverDrInt">'[1] '!$F$76</definedName>
    <definedName name="PR">'[1] '!$B$5</definedName>
    <definedName name="_xlnm.Print_Area" localSheetId="14">'C&amp;T operator'!$A$1:$J$100</definedName>
    <definedName name="_xlnm.Print_Area" localSheetId="8">'D2.Deviz ITDCS-summary '!$A$1:$I$84</definedName>
    <definedName name="_xlnm.Print_Area" localSheetId="9">'D3.Deviz ITDCS-CCU'!$A$1:$K$108</definedName>
    <definedName name="_xlnm.Print_Area" localSheetId="11">'D5.Deviz ITDCS-DA'!$A$1:$K$57</definedName>
    <definedName name="_xlnm.Print_Area" localSheetId="12">'D6.Deviz ITDCS-CD'!$A$1:$K$65</definedName>
    <definedName name="_xlnm.Print_Area" localSheetId="13">'D7.C&amp;T'!$A$1:$J$78</definedName>
    <definedName name="_xlnm.Print_Area" localSheetId="1">'DEVIZ GENERAL'!$A$1:$H$175</definedName>
    <definedName name="_xlnm.Print_Area" localSheetId="2">'Deviz general curente'!$A$1:$H$155</definedName>
    <definedName name="_xlnm.Print_Area" localSheetId="3">'esalonare investitie'!$B$2:$O$150</definedName>
    <definedName name="_xlnm.Print_Area" localSheetId="29">'Inv pe comp const'!$A$1:$G$62</definedName>
    <definedName name="_xlnm.Print_Area" localSheetId="5">'Schema Echiv_DB cst'!$B$1:$Q$54</definedName>
    <definedName name="_xlnm.Print_Area" localSheetId="6">'Schema Echiv_DB cu p.a.'!$B$2:$Q$54</definedName>
    <definedName name="_xlnm.Print_Area" localSheetId="7">'tabele SF'!$B$2:$F$31</definedName>
    <definedName name="rata">[2]suportabilitate!$D$4</definedName>
    <definedName name="RDF">'[3]Info gen'!$D$59</definedName>
    <definedName name="Rural">#REF!</definedName>
    <definedName name="st_rur_2008">#REF!</definedName>
    <definedName name="st_rur_2013">#REF!</definedName>
    <definedName name="st_rur_2019">#REF!</definedName>
    <definedName name="stdevENPV">[2]Sensitivity!$G$52</definedName>
    <definedName name="stdevFNPVK">[2]Sensitivity!$G$24</definedName>
    <definedName name="Supervision">#REF!</definedName>
    <definedName name="Symbol">'[1] '!$F$12</definedName>
    <definedName name="t_contingencies">#REF!</definedName>
    <definedName name="taxRate">[2]Input!$F$17</definedName>
    <definedName name="textile_rur_2008">#REF!</definedName>
    <definedName name="textile_rur_2013">#REF!</definedName>
    <definedName name="textile_rur_2019">#REF!</definedName>
    <definedName name="TVA" localSheetId="19">'[4]Info gen'!$D$7</definedName>
    <definedName name="TVA">'Info gen'!$D$7</definedName>
    <definedName name="Unit">#REF!</definedName>
    <definedName name="VAT">'[3]Info gen'!$D$11</definedName>
    <definedName name="working_c">'[1] '!$F$72</definedName>
    <definedName name="xxx">#REF!</definedName>
    <definedName name="zona_nord">'[3]Info gen'!$C$121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9" i="19" l="1"/>
  <c r="D68" i="19"/>
  <c r="G62" i="19"/>
  <c r="F62" i="19"/>
  <c r="D62" i="19"/>
  <c r="G61" i="19"/>
  <c r="F61" i="19"/>
  <c r="E61" i="19"/>
  <c r="D61" i="19"/>
  <c r="G60" i="19"/>
  <c r="F60" i="19"/>
  <c r="D60" i="19"/>
  <c r="M59" i="19"/>
  <c r="G59" i="19"/>
  <c r="F59" i="19"/>
  <c r="E59" i="19"/>
  <c r="D59" i="19"/>
  <c r="G58" i="19"/>
  <c r="D58" i="19"/>
  <c r="G57" i="19"/>
  <c r="D57" i="19"/>
  <c r="G56" i="19"/>
  <c r="D56" i="19"/>
  <c r="G55" i="19"/>
  <c r="D55" i="19"/>
  <c r="G54" i="19"/>
  <c r="D54" i="19"/>
  <c r="G53" i="19"/>
  <c r="D53" i="19"/>
  <c r="G52" i="19"/>
  <c r="F52" i="19"/>
  <c r="E52" i="19"/>
  <c r="D52" i="19"/>
  <c r="G51" i="19"/>
  <c r="D51" i="19"/>
  <c r="G49" i="19"/>
  <c r="D49" i="19"/>
  <c r="G47" i="19"/>
  <c r="D47" i="19"/>
  <c r="G45" i="19"/>
  <c r="D45" i="19"/>
  <c r="G43" i="19"/>
  <c r="G42" i="19"/>
  <c r="D42" i="19"/>
  <c r="G41" i="19"/>
  <c r="D41" i="19"/>
  <c r="G39" i="19"/>
  <c r="G38" i="19"/>
  <c r="G37" i="19"/>
  <c r="D37" i="19"/>
  <c r="G35" i="19"/>
  <c r="D35" i="19"/>
  <c r="G34" i="19"/>
  <c r="D34" i="19"/>
  <c r="G33" i="19"/>
  <c r="D33" i="19"/>
  <c r="G31" i="19"/>
  <c r="D31" i="19"/>
  <c r="G30" i="19"/>
  <c r="D30" i="19"/>
  <c r="G29" i="19"/>
  <c r="D29" i="19"/>
  <c r="G28" i="19"/>
  <c r="D28" i="19"/>
  <c r="G27" i="19"/>
  <c r="D27" i="19"/>
  <c r="G26" i="19"/>
  <c r="D26" i="19"/>
  <c r="G24" i="19"/>
  <c r="D24" i="19"/>
  <c r="G23" i="19"/>
  <c r="F23" i="19"/>
  <c r="G22" i="19"/>
  <c r="G20" i="19"/>
  <c r="F20" i="19"/>
  <c r="G19" i="19"/>
  <c r="F19" i="19"/>
  <c r="G17" i="19"/>
  <c r="D17" i="19"/>
  <c r="G16" i="19"/>
  <c r="D16" i="19"/>
  <c r="G15" i="19"/>
  <c r="F15" i="19"/>
  <c r="G14" i="19"/>
  <c r="D14" i="19"/>
  <c r="G13" i="19"/>
  <c r="D13" i="19"/>
  <c r="G12" i="19"/>
  <c r="D12" i="19"/>
  <c r="G11" i="19"/>
  <c r="F11" i="19"/>
  <c r="I10" i="19"/>
  <c r="H10" i="19"/>
  <c r="G10" i="19"/>
  <c r="D10" i="19"/>
  <c r="G8" i="19"/>
  <c r="G7" i="19"/>
  <c r="F7" i="19"/>
  <c r="D7" i="19"/>
  <c r="G6" i="19"/>
  <c r="G5" i="19"/>
  <c r="F5" i="19"/>
  <c r="M3" i="19"/>
  <c r="C34" i="41"/>
  <c r="C32" i="41"/>
  <c r="C27" i="41"/>
  <c r="C25" i="41"/>
  <c r="C24" i="41"/>
  <c r="C23" i="41"/>
  <c r="C22" i="41"/>
  <c r="C21" i="41"/>
  <c r="C20" i="41"/>
  <c r="C18" i="41"/>
  <c r="C17" i="41"/>
  <c r="C16" i="41"/>
  <c r="C15" i="41"/>
  <c r="C14" i="41"/>
  <c r="B13" i="41"/>
  <c r="C11" i="41"/>
  <c r="E10" i="41"/>
  <c r="C8" i="41"/>
  <c r="C42" i="45"/>
  <c r="C41" i="45"/>
  <c r="E38" i="45"/>
  <c r="D38" i="45"/>
  <c r="C38" i="45"/>
  <c r="B38" i="45"/>
  <c r="E37" i="45"/>
  <c r="D37" i="45"/>
  <c r="C37" i="45"/>
  <c r="E35" i="45"/>
  <c r="D35" i="45"/>
  <c r="C35" i="45"/>
  <c r="E34" i="45"/>
  <c r="D34" i="45"/>
  <c r="C34" i="45"/>
  <c r="E32" i="45"/>
  <c r="D32" i="45"/>
  <c r="C32" i="45"/>
  <c r="E29" i="45"/>
  <c r="D29" i="45"/>
  <c r="C29" i="45"/>
  <c r="B29" i="45"/>
  <c r="E28" i="45"/>
  <c r="D28" i="45"/>
  <c r="C28" i="45"/>
  <c r="E27" i="45"/>
  <c r="D27" i="45"/>
  <c r="C27" i="45"/>
  <c r="E26" i="45"/>
  <c r="D26" i="45"/>
  <c r="C26" i="45"/>
  <c r="E25" i="45"/>
  <c r="D25" i="45"/>
  <c r="C25" i="45"/>
  <c r="B25" i="45"/>
  <c r="E24" i="45"/>
  <c r="D24" i="45"/>
  <c r="C24" i="45"/>
  <c r="B24" i="45"/>
  <c r="B23" i="45"/>
  <c r="E21" i="45"/>
  <c r="D21" i="45"/>
  <c r="C21" i="45"/>
  <c r="E20" i="45"/>
  <c r="E19" i="45"/>
  <c r="D19" i="45"/>
  <c r="C19" i="45"/>
  <c r="B19" i="45"/>
  <c r="E18" i="45"/>
  <c r="D18" i="45"/>
  <c r="C18" i="45"/>
  <c r="B18" i="45"/>
  <c r="E17" i="45"/>
  <c r="D17" i="45"/>
  <c r="C17" i="45"/>
  <c r="B17" i="45"/>
  <c r="E16" i="45"/>
  <c r="D16" i="45"/>
  <c r="C16" i="45"/>
  <c r="B16" i="45"/>
  <c r="E15" i="45"/>
  <c r="D15" i="45"/>
  <c r="C15" i="45"/>
  <c r="B15" i="45"/>
  <c r="E14" i="45"/>
  <c r="C14" i="45"/>
  <c r="B14" i="45"/>
  <c r="E13" i="45"/>
  <c r="C13" i="45"/>
  <c r="B13" i="45"/>
  <c r="E11" i="45"/>
  <c r="C11" i="45"/>
  <c r="C10" i="45"/>
  <c r="B10" i="45"/>
  <c r="C9" i="45"/>
  <c r="B9" i="45"/>
  <c r="E7" i="45"/>
  <c r="D7" i="45"/>
  <c r="C7" i="45"/>
  <c r="E6" i="45"/>
  <c r="D6" i="45"/>
  <c r="C6" i="45"/>
  <c r="C32" i="38"/>
  <c r="C31" i="38"/>
  <c r="I30" i="38"/>
  <c r="H30" i="38"/>
  <c r="G30" i="38"/>
  <c r="F30" i="38"/>
  <c r="E30" i="38"/>
  <c r="C30" i="38"/>
  <c r="I29" i="38"/>
  <c r="G29" i="38"/>
  <c r="F29" i="38"/>
  <c r="E29" i="38"/>
  <c r="D29" i="38"/>
  <c r="C29" i="38"/>
  <c r="I28" i="38"/>
  <c r="G28" i="38"/>
  <c r="E28" i="38"/>
  <c r="D28" i="38"/>
  <c r="C28" i="38"/>
  <c r="I27" i="38"/>
  <c r="G27" i="38"/>
  <c r="F27" i="38"/>
  <c r="E27" i="38"/>
  <c r="D27" i="38"/>
  <c r="C27" i="38"/>
  <c r="I26" i="38"/>
  <c r="G26" i="38"/>
  <c r="F26" i="38"/>
  <c r="E26" i="38"/>
  <c r="D26" i="38"/>
  <c r="C26" i="38"/>
  <c r="B26" i="38"/>
  <c r="I25" i="38"/>
  <c r="G25" i="38"/>
  <c r="F25" i="38"/>
  <c r="E25" i="38"/>
  <c r="D25" i="38"/>
  <c r="C25" i="38"/>
  <c r="B25" i="38"/>
  <c r="I24" i="38"/>
  <c r="G24" i="38"/>
  <c r="F24" i="38"/>
  <c r="E24" i="38"/>
  <c r="D24" i="38"/>
  <c r="C24" i="38"/>
  <c r="B24" i="38"/>
  <c r="I23" i="38"/>
  <c r="G23" i="38"/>
  <c r="F23" i="38"/>
  <c r="E23" i="38"/>
  <c r="D23" i="38"/>
  <c r="C23" i="38"/>
  <c r="I22" i="38"/>
  <c r="G22" i="38"/>
  <c r="F22" i="38"/>
  <c r="E22" i="38"/>
  <c r="D22" i="38"/>
  <c r="C22" i="38"/>
  <c r="I21" i="38"/>
  <c r="G21" i="38"/>
  <c r="F21" i="38"/>
  <c r="E21" i="38"/>
  <c r="D21" i="38"/>
  <c r="C21" i="38"/>
  <c r="B21" i="38"/>
  <c r="I20" i="38"/>
  <c r="G20" i="38"/>
  <c r="F20" i="38"/>
  <c r="E20" i="38"/>
  <c r="D20" i="38"/>
  <c r="C20" i="38"/>
  <c r="B20" i="38"/>
  <c r="F19" i="38"/>
  <c r="F18" i="38"/>
  <c r="I17" i="38"/>
  <c r="G17" i="38"/>
  <c r="F17" i="38"/>
  <c r="E17" i="38"/>
  <c r="D17" i="38"/>
  <c r="C17" i="38"/>
  <c r="I16" i="38"/>
  <c r="G16" i="38"/>
  <c r="F16" i="38"/>
  <c r="E16" i="38"/>
  <c r="D16" i="38"/>
  <c r="C16" i="38"/>
  <c r="F15" i="38"/>
  <c r="I14" i="38"/>
  <c r="G14" i="38"/>
  <c r="F14" i="38"/>
  <c r="E14" i="38"/>
  <c r="D14" i="38"/>
  <c r="C14" i="38"/>
  <c r="I13" i="38"/>
  <c r="G13" i="38"/>
  <c r="F13" i="38"/>
  <c r="E13" i="38"/>
  <c r="D13" i="38"/>
  <c r="C13" i="38"/>
  <c r="I12" i="38"/>
  <c r="G12" i="38"/>
  <c r="F12" i="38"/>
  <c r="E12" i="38"/>
  <c r="D12" i="38"/>
  <c r="C12" i="38"/>
  <c r="I11" i="38"/>
  <c r="G11" i="38"/>
  <c r="F11" i="38"/>
  <c r="E11" i="38"/>
  <c r="D11" i="38"/>
  <c r="C11" i="38"/>
  <c r="I10" i="38"/>
  <c r="G10" i="38"/>
  <c r="F10" i="38"/>
  <c r="E10" i="38"/>
  <c r="D10" i="38"/>
  <c r="C10" i="38"/>
  <c r="I9" i="38"/>
  <c r="G9" i="38"/>
  <c r="F9" i="38"/>
  <c r="E9" i="38"/>
  <c r="D9" i="38"/>
  <c r="C9" i="38"/>
  <c r="I8" i="38"/>
  <c r="G8" i="38"/>
  <c r="F8" i="38"/>
  <c r="E8" i="38"/>
  <c r="D8" i="38"/>
  <c r="C8" i="38"/>
  <c r="I7" i="38"/>
  <c r="G7" i="38"/>
  <c r="F7" i="38"/>
  <c r="E7" i="38"/>
  <c r="D7" i="38"/>
  <c r="C7" i="38"/>
  <c r="B48" i="33"/>
  <c r="B47" i="33"/>
  <c r="B40" i="33"/>
  <c r="K23" i="33"/>
  <c r="D16" i="33"/>
  <c r="D14" i="33"/>
  <c r="D12" i="33"/>
  <c r="B12" i="33"/>
  <c r="K11" i="33"/>
  <c r="D11" i="33"/>
  <c r="B11" i="33"/>
  <c r="D10" i="33"/>
  <c r="B8" i="33"/>
  <c r="K7" i="33"/>
  <c r="D7" i="33"/>
  <c r="B7" i="33"/>
  <c r="D6" i="33"/>
  <c r="C6" i="33"/>
  <c r="B4" i="33"/>
  <c r="I22" i="17"/>
  <c r="G22" i="17"/>
  <c r="D22" i="17"/>
  <c r="C22" i="17"/>
  <c r="R19" i="17"/>
  <c r="P19" i="17"/>
  <c r="O19" i="17"/>
  <c r="N19" i="17"/>
  <c r="M19" i="17"/>
  <c r="I19" i="17"/>
  <c r="G19" i="17"/>
  <c r="F19" i="17"/>
  <c r="E19" i="17"/>
  <c r="D19" i="17"/>
  <c r="R17" i="17"/>
  <c r="P17" i="17"/>
  <c r="O17" i="17"/>
  <c r="N17" i="17"/>
  <c r="M17" i="17"/>
  <c r="L17" i="17"/>
  <c r="I17" i="17"/>
  <c r="G17" i="17"/>
  <c r="F17" i="17"/>
  <c r="E17" i="17"/>
  <c r="D17" i="17"/>
  <c r="C17" i="17"/>
  <c r="H5" i="17"/>
  <c r="G5" i="17"/>
  <c r="F5" i="17"/>
  <c r="E5" i="17"/>
  <c r="D5" i="17"/>
  <c r="D81" i="63"/>
  <c r="S55" i="63"/>
  <c r="AB42" i="63"/>
  <c r="X42" i="63"/>
  <c r="W42" i="63"/>
  <c r="V42" i="63"/>
  <c r="R42" i="63"/>
  <c r="P42" i="63"/>
  <c r="N42" i="63"/>
  <c r="I42" i="63"/>
  <c r="H42" i="63"/>
  <c r="G42" i="63"/>
  <c r="Z38" i="63"/>
  <c r="Z35" i="63"/>
  <c r="R30" i="63"/>
  <c r="P30" i="63"/>
  <c r="AA18" i="63"/>
  <c r="Y18" i="63"/>
  <c r="R18" i="63"/>
  <c r="Q18" i="63"/>
  <c r="P18" i="63"/>
  <c r="O18" i="63"/>
  <c r="AH16" i="63"/>
  <c r="AG16" i="63"/>
  <c r="AF16" i="63"/>
  <c r="AD16" i="63"/>
  <c r="Z16" i="63"/>
  <c r="Y16" i="63"/>
  <c r="X16" i="63"/>
  <c r="W16" i="63"/>
  <c r="V16" i="63"/>
  <c r="AH15" i="63"/>
  <c r="AG15" i="63"/>
  <c r="AF15" i="63"/>
  <c r="AE15" i="63"/>
  <c r="AD15" i="63"/>
  <c r="AC15" i="63"/>
  <c r="AB15" i="63"/>
  <c r="AA15" i="63"/>
  <c r="Z15" i="63"/>
  <c r="Y15" i="63"/>
  <c r="X15" i="63"/>
  <c r="W15" i="63"/>
  <c r="V15" i="63"/>
  <c r="Z14" i="63"/>
  <c r="AA13" i="63"/>
  <c r="M13" i="63"/>
  <c r="L13" i="63"/>
  <c r="H11" i="63"/>
  <c r="G11" i="63"/>
  <c r="H10" i="63"/>
  <c r="G10" i="63"/>
  <c r="H9" i="63"/>
  <c r="G9" i="63"/>
  <c r="H8" i="63"/>
  <c r="G8" i="63"/>
  <c r="H7" i="63"/>
  <c r="G7" i="63"/>
  <c r="H3" i="63"/>
  <c r="E8" i="69"/>
  <c r="D8" i="69"/>
  <c r="C8" i="69"/>
  <c r="E6" i="69"/>
  <c r="D6" i="69"/>
  <c r="C6" i="69"/>
  <c r="E5" i="69"/>
  <c r="D5" i="69"/>
  <c r="C5" i="69"/>
  <c r="E4" i="69"/>
  <c r="D4" i="69"/>
  <c r="C4" i="69"/>
  <c r="J10" i="68"/>
  <c r="I10" i="68"/>
  <c r="H10" i="68"/>
  <c r="G10" i="68"/>
  <c r="F10" i="68"/>
  <c r="E10" i="68"/>
  <c r="D10" i="68"/>
  <c r="C10" i="68"/>
  <c r="J9" i="68"/>
  <c r="I9" i="68"/>
  <c r="H9" i="68"/>
  <c r="G9" i="68"/>
  <c r="F9" i="68"/>
  <c r="E9" i="68"/>
  <c r="D9" i="68"/>
  <c r="C9" i="68"/>
  <c r="J8" i="68"/>
  <c r="I8" i="68"/>
  <c r="H8" i="68"/>
  <c r="G8" i="68"/>
  <c r="F8" i="68"/>
  <c r="E8" i="68"/>
  <c r="D8" i="68"/>
  <c r="C8" i="68"/>
  <c r="J7" i="68"/>
  <c r="I7" i="68"/>
  <c r="H7" i="68"/>
  <c r="G7" i="68"/>
  <c r="F7" i="68"/>
  <c r="E7" i="68"/>
  <c r="D7" i="68"/>
  <c r="C7" i="68"/>
  <c r="J6" i="68"/>
  <c r="I6" i="68"/>
  <c r="H6" i="68"/>
  <c r="G6" i="68"/>
  <c r="F6" i="68"/>
  <c r="E6" i="68"/>
  <c r="D6" i="68"/>
  <c r="C6" i="68"/>
  <c r="J5" i="68"/>
  <c r="I5" i="68"/>
  <c r="H5" i="68"/>
  <c r="G5" i="68"/>
  <c r="F5" i="68"/>
  <c r="E5" i="68"/>
  <c r="D5" i="68"/>
  <c r="C5" i="68"/>
  <c r="J4" i="68"/>
  <c r="I4" i="68"/>
  <c r="H4" i="68"/>
  <c r="G4" i="68"/>
  <c r="F4" i="68"/>
  <c r="E4" i="68"/>
  <c r="D4" i="68"/>
  <c r="C4" i="68"/>
  <c r="H76" i="59"/>
  <c r="H75" i="59"/>
  <c r="K70" i="59"/>
  <c r="J70" i="59"/>
  <c r="I70" i="59"/>
  <c r="H70" i="59"/>
  <c r="G70" i="59"/>
  <c r="F70" i="59"/>
  <c r="E63" i="59"/>
  <c r="B63" i="59"/>
  <c r="K59" i="59"/>
  <c r="J59" i="59"/>
  <c r="I59" i="59"/>
  <c r="H59" i="59"/>
  <c r="G59" i="59"/>
  <c r="F59" i="59"/>
  <c r="K58" i="59"/>
  <c r="J58" i="59"/>
  <c r="I58" i="59"/>
  <c r="H58" i="59"/>
  <c r="G58" i="59"/>
  <c r="F58" i="59"/>
  <c r="K57" i="59"/>
  <c r="J57" i="59"/>
  <c r="I57" i="59"/>
  <c r="H57" i="59"/>
  <c r="G57" i="59"/>
  <c r="F57" i="59"/>
  <c r="K53" i="59"/>
  <c r="J53" i="59"/>
  <c r="I53" i="59"/>
  <c r="H53" i="59"/>
  <c r="G53" i="59"/>
  <c r="F53" i="59"/>
  <c r="K52" i="59"/>
  <c r="J52" i="59"/>
  <c r="I52" i="59"/>
  <c r="H52" i="59"/>
  <c r="G52" i="59"/>
  <c r="F52" i="59"/>
  <c r="E52" i="59"/>
  <c r="K50" i="59"/>
  <c r="J50" i="59"/>
  <c r="I50" i="59"/>
  <c r="H50" i="59"/>
  <c r="G50" i="59"/>
  <c r="F50" i="59"/>
  <c r="K49" i="59"/>
  <c r="J49" i="59"/>
  <c r="I49" i="59"/>
  <c r="H49" i="59"/>
  <c r="G49" i="59"/>
  <c r="F49" i="59"/>
  <c r="E49" i="59"/>
  <c r="K48" i="59"/>
  <c r="J48" i="59"/>
  <c r="I48" i="59"/>
  <c r="H48" i="59"/>
  <c r="G48" i="59"/>
  <c r="F48" i="59"/>
  <c r="E48" i="59"/>
  <c r="K47" i="59"/>
  <c r="J47" i="59"/>
  <c r="I47" i="59"/>
  <c r="H47" i="59"/>
  <c r="G47" i="59"/>
  <c r="F47" i="59"/>
  <c r="E47" i="59"/>
  <c r="K46" i="59"/>
  <c r="J46" i="59"/>
  <c r="I46" i="59"/>
  <c r="H46" i="59"/>
  <c r="G46" i="59"/>
  <c r="F46" i="59"/>
  <c r="E46" i="59"/>
  <c r="K45" i="59"/>
  <c r="J45" i="59"/>
  <c r="I45" i="59"/>
  <c r="H45" i="59"/>
  <c r="G45" i="59"/>
  <c r="F45" i="59"/>
  <c r="E45" i="59"/>
  <c r="K44" i="59"/>
  <c r="J44" i="59"/>
  <c r="I44" i="59"/>
  <c r="H44" i="59"/>
  <c r="G44" i="59"/>
  <c r="F44" i="59"/>
  <c r="E44" i="59"/>
  <c r="K43" i="59"/>
  <c r="J43" i="59"/>
  <c r="I43" i="59"/>
  <c r="H43" i="59"/>
  <c r="G43" i="59"/>
  <c r="F43" i="59"/>
  <c r="E43" i="59"/>
  <c r="K42" i="59"/>
  <c r="J42" i="59"/>
  <c r="I42" i="59"/>
  <c r="H42" i="59"/>
  <c r="G42" i="59"/>
  <c r="F42" i="59"/>
  <c r="E42" i="59"/>
  <c r="K41" i="59"/>
  <c r="J41" i="59"/>
  <c r="I41" i="59"/>
  <c r="H41" i="59"/>
  <c r="G41" i="59"/>
  <c r="F41" i="59"/>
  <c r="E41" i="59"/>
  <c r="K40" i="59"/>
  <c r="J40" i="59"/>
  <c r="I40" i="59"/>
  <c r="H40" i="59"/>
  <c r="G40" i="59"/>
  <c r="F40" i="59"/>
  <c r="E40" i="59"/>
  <c r="K38" i="59"/>
  <c r="J38" i="59"/>
  <c r="I38" i="59"/>
  <c r="H38" i="59"/>
  <c r="G38" i="59"/>
  <c r="F38" i="59"/>
  <c r="K37" i="59"/>
  <c r="J37" i="59"/>
  <c r="I37" i="59"/>
  <c r="H37" i="59"/>
  <c r="G37" i="59"/>
  <c r="F37" i="59"/>
  <c r="K36" i="59"/>
  <c r="J36" i="59"/>
  <c r="I36" i="59"/>
  <c r="H36" i="59"/>
  <c r="G36" i="59"/>
  <c r="F36" i="59"/>
  <c r="K34" i="59"/>
  <c r="J34" i="59"/>
  <c r="I34" i="59"/>
  <c r="H34" i="59"/>
  <c r="G34" i="59"/>
  <c r="F34" i="59"/>
  <c r="K33" i="59"/>
  <c r="J33" i="59"/>
  <c r="I33" i="59"/>
  <c r="H33" i="59"/>
  <c r="G33" i="59"/>
  <c r="F33" i="59"/>
  <c r="K32" i="59"/>
  <c r="J32" i="59"/>
  <c r="I32" i="59"/>
  <c r="H32" i="59"/>
  <c r="G32" i="59"/>
  <c r="F32" i="59"/>
  <c r="K30" i="59"/>
  <c r="J30" i="59"/>
  <c r="I30" i="59"/>
  <c r="H30" i="59"/>
  <c r="G30" i="59"/>
  <c r="F30" i="59"/>
  <c r="K29" i="59"/>
  <c r="J29" i="59"/>
  <c r="I29" i="59"/>
  <c r="H29" i="59"/>
  <c r="G29" i="59"/>
  <c r="F29" i="59"/>
  <c r="E29" i="59"/>
  <c r="K28" i="59"/>
  <c r="J28" i="59"/>
  <c r="I28" i="59"/>
  <c r="H28" i="59"/>
  <c r="G28" i="59"/>
  <c r="F28" i="59"/>
  <c r="E28" i="59"/>
  <c r="K27" i="59"/>
  <c r="J27" i="59"/>
  <c r="I27" i="59"/>
  <c r="H27" i="59"/>
  <c r="G27" i="59"/>
  <c r="F27" i="59"/>
  <c r="E27" i="59"/>
  <c r="K24" i="59"/>
  <c r="J24" i="59"/>
  <c r="I24" i="59"/>
  <c r="H24" i="59"/>
  <c r="G24" i="59"/>
  <c r="F24" i="59"/>
  <c r="E24" i="59"/>
  <c r="K23" i="59"/>
  <c r="J23" i="59"/>
  <c r="I23" i="59"/>
  <c r="H23" i="59"/>
  <c r="G23" i="59"/>
  <c r="F23" i="59"/>
  <c r="E23" i="59"/>
  <c r="K16" i="59"/>
  <c r="J16" i="59"/>
  <c r="I16" i="59"/>
  <c r="H16" i="59"/>
  <c r="G16" i="59"/>
  <c r="F16" i="59"/>
  <c r="K14" i="59"/>
  <c r="J14" i="59"/>
  <c r="I14" i="59"/>
  <c r="G14" i="59"/>
  <c r="A5" i="59"/>
  <c r="B1" i="59"/>
  <c r="H20" i="64"/>
  <c r="G20" i="64"/>
  <c r="E20" i="64"/>
  <c r="E2" i="64"/>
  <c r="D34" i="46"/>
  <c r="I6" i="46"/>
  <c r="O2" i="46"/>
  <c r="D2" i="46"/>
  <c r="N15" i="36"/>
  <c r="M15" i="36"/>
  <c r="G57" i="49"/>
  <c r="E57" i="49"/>
  <c r="D57" i="49"/>
  <c r="C57" i="49"/>
  <c r="G56" i="49"/>
  <c r="E56" i="49"/>
  <c r="G55" i="49"/>
  <c r="E55" i="49"/>
  <c r="G54" i="49"/>
  <c r="E54" i="49"/>
  <c r="K51" i="49"/>
  <c r="J51" i="49"/>
  <c r="G51" i="49"/>
  <c r="E51" i="49"/>
  <c r="D51" i="49"/>
  <c r="C51" i="49"/>
  <c r="K50" i="49"/>
  <c r="J50" i="49"/>
  <c r="G50" i="49"/>
  <c r="K49" i="49"/>
  <c r="J49" i="49"/>
  <c r="K48" i="49"/>
  <c r="J48" i="49"/>
  <c r="C48" i="49"/>
  <c r="E45" i="49"/>
  <c r="B40" i="49"/>
  <c r="D38" i="49"/>
  <c r="B38" i="49"/>
  <c r="J33" i="49"/>
  <c r="I33" i="49"/>
  <c r="H33" i="49"/>
  <c r="G33" i="49"/>
  <c r="F33" i="49"/>
  <c r="E33" i="49"/>
  <c r="L32" i="49"/>
  <c r="J32" i="49"/>
  <c r="I32" i="49"/>
  <c r="H32" i="49"/>
  <c r="G32" i="49"/>
  <c r="F32" i="49"/>
  <c r="E32" i="49"/>
  <c r="L30" i="49"/>
  <c r="K29" i="49"/>
  <c r="L28" i="49"/>
  <c r="K28" i="49"/>
  <c r="J28" i="49"/>
  <c r="I28" i="49"/>
  <c r="H28" i="49"/>
  <c r="G28" i="49"/>
  <c r="F28" i="49"/>
  <c r="E28" i="49"/>
  <c r="L27" i="49"/>
  <c r="K27" i="49"/>
  <c r="J27" i="49"/>
  <c r="I27" i="49"/>
  <c r="H27" i="49"/>
  <c r="G27" i="49"/>
  <c r="F27" i="49"/>
  <c r="E27" i="49"/>
  <c r="D27" i="49"/>
  <c r="L26" i="49"/>
  <c r="J26" i="49"/>
  <c r="I26" i="49"/>
  <c r="H26" i="49"/>
  <c r="G26" i="49"/>
  <c r="F26" i="49"/>
  <c r="E26" i="49"/>
  <c r="D26" i="49"/>
  <c r="J24" i="49"/>
  <c r="I24" i="49"/>
  <c r="H24" i="49"/>
  <c r="G24" i="49"/>
  <c r="F24" i="49"/>
  <c r="E24" i="49"/>
  <c r="M23" i="49"/>
  <c r="L23" i="49"/>
  <c r="K23" i="49"/>
  <c r="J23" i="49"/>
  <c r="I23" i="49"/>
  <c r="H23" i="49"/>
  <c r="G23" i="49"/>
  <c r="F23" i="49"/>
  <c r="E23" i="49"/>
  <c r="L21" i="49"/>
  <c r="K21" i="49"/>
  <c r="J21" i="49"/>
  <c r="G21" i="49"/>
  <c r="E21" i="49"/>
  <c r="J15" i="49"/>
  <c r="G15" i="49"/>
  <c r="E15" i="49"/>
  <c r="K13" i="49"/>
  <c r="B1" i="49"/>
  <c r="F31" i="60"/>
  <c r="E31" i="60"/>
  <c r="F23" i="60"/>
  <c r="E23" i="60"/>
  <c r="F22" i="60"/>
  <c r="E22" i="60"/>
  <c r="K90" i="22"/>
  <c r="J90" i="22"/>
  <c r="G90" i="22"/>
  <c r="E90" i="22"/>
  <c r="J89" i="22"/>
  <c r="I89" i="22"/>
  <c r="H89" i="22"/>
  <c r="G89" i="22"/>
  <c r="F89" i="22"/>
  <c r="E89" i="22"/>
  <c r="J88" i="22"/>
  <c r="G88" i="22"/>
  <c r="E88" i="22"/>
  <c r="J87" i="22"/>
  <c r="G87" i="22"/>
  <c r="J86" i="22"/>
  <c r="G86" i="22"/>
  <c r="J84" i="22"/>
  <c r="G84" i="22"/>
  <c r="E84" i="22"/>
  <c r="J82" i="22"/>
  <c r="G82" i="22"/>
  <c r="J80" i="22"/>
  <c r="G80" i="22"/>
  <c r="J79" i="22"/>
  <c r="G79" i="22"/>
  <c r="M76" i="22"/>
  <c r="J76" i="22"/>
  <c r="I76" i="22"/>
  <c r="H76" i="22"/>
  <c r="G76" i="22"/>
  <c r="F76" i="22"/>
  <c r="E76" i="22"/>
  <c r="J72" i="22"/>
  <c r="I72" i="22"/>
  <c r="H72" i="22"/>
  <c r="G72" i="22"/>
  <c r="F72" i="22"/>
  <c r="E72" i="22"/>
  <c r="K71" i="22"/>
  <c r="J71" i="22"/>
  <c r="I71" i="22"/>
  <c r="H71" i="22"/>
  <c r="G71" i="22"/>
  <c r="F71" i="22"/>
  <c r="E71" i="22"/>
  <c r="K70" i="22"/>
  <c r="J70" i="22"/>
  <c r="I70" i="22"/>
  <c r="H70" i="22"/>
  <c r="G70" i="22"/>
  <c r="F70" i="22"/>
  <c r="E70" i="22"/>
  <c r="J69" i="22"/>
  <c r="I69" i="22"/>
  <c r="H69" i="22"/>
  <c r="G69" i="22"/>
  <c r="F69" i="22"/>
  <c r="E69" i="22"/>
  <c r="K68" i="22"/>
  <c r="J68" i="22"/>
  <c r="I68" i="22"/>
  <c r="H68" i="22"/>
  <c r="G68" i="22"/>
  <c r="F68" i="22"/>
  <c r="E68" i="22"/>
  <c r="M67" i="22"/>
  <c r="J67" i="22"/>
  <c r="I67" i="22"/>
  <c r="H67" i="22"/>
  <c r="G67" i="22"/>
  <c r="F67" i="22"/>
  <c r="E67" i="22"/>
  <c r="M66" i="22"/>
  <c r="J66" i="22"/>
  <c r="I66" i="22"/>
  <c r="H66" i="22"/>
  <c r="G66" i="22"/>
  <c r="F66" i="22"/>
  <c r="E66" i="22"/>
  <c r="D66" i="22"/>
  <c r="M65" i="22"/>
  <c r="J65" i="22"/>
  <c r="I65" i="22"/>
  <c r="H65" i="22"/>
  <c r="G65" i="22"/>
  <c r="F65" i="22"/>
  <c r="E65" i="22"/>
  <c r="D65" i="22"/>
  <c r="M64" i="22"/>
  <c r="K64" i="22"/>
  <c r="J64" i="22"/>
  <c r="I64" i="22"/>
  <c r="H64" i="22"/>
  <c r="G64" i="22"/>
  <c r="F64" i="22"/>
  <c r="E64" i="22"/>
  <c r="J62" i="22"/>
  <c r="I62" i="22"/>
  <c r="H62" i="22"/>
  <c r="G62" i="22"/>
  <c r="F62" i="22"/>
  <c r="E62" i="22"/>
  <c r="C62" i="22"/>
  <c r="J60" i="22"/>
  <c r="I60" i="22"/>
  <c r="H60" i="22"/>
  <c r="G60" i="22"/>
  <c r="F60" i="22"/>
  <c r="E60" i="22"/>
  <c r="D60" i="22"/>
  <c r="J59" i="22"/>
  <c r="I59" i="22"/>
  <c r="H59" i="22"/>
  <c r="G59" i="22"/>
  <c r="F59" i="22"/>
  <c r="E59" i="22"/>
  <c r="D59" i="22"/>
  <c r="J57" i="22"/>
  <c r="G57" i="22"/>
  <c r="E57" i="22"/>
  <c r="D57" i="22"/>
  <c r="G54" i="22"/>
  <c r="E54" i="22"/>
  <c r="D54" i="22"/>
  <c r="J53" i="22"/>
  <c r="I53" i="22"/>
  <c r="H53" i="22"/>
  <c r="G53" i="22"/>
  <c r="F53" i="22"/>
  <c r="E53" i="22"/>
  <c r="J52" i="22"/>
  <c r="I52" i="22"/>
  <c r="H52" i="22"/>
  <c r="G52" i="22"/>
  <c r="F52" i="22"/>
  <c r="E52" i="22"/>
  <c r="K51" i="22"/>
  <c r="J51" i="22"/>
  <c r="I51" i="22"/>
  <c r="H51" i="22"/>
  <c r="G51" i="22"/>
  <c r="F51" i="22"/>
  <c r="E51" i="22"/>
  <c r="D51" i="22"/>
  <c r="K49" i="22"/>
  <c r="J49" i="22"/>
  <c r="G49" i="22"/>
  <c r="E49" i="22"/>
  <c r="J48" i="22"/>
  <c r="I48" i="22"/>
  <c r="H48" i="22"/>
  <c r="G48" i="22"/>
  <c r="F48" i="22"/>
  <c r="E48" i="22"/>
  <c r="J47" i="22"/>
  <c r="G47" i="22"/>
  <c r="E47" i="22"/>
  <c r="D47" i="22"/>
  <c r="J46" i="22"/>
  <c r="G46" i="22"/>
  <c r="E46" i="22"/>
  <c r="L45" i="22"/>
  <c r="J45" i="22"/>
  <c r="G45" i="22"/>
  <c r="E45" i="22"/>
  <c r="J39" i="22"/>
  <c r="G39" i="22"/>
  <c r="E39" i="22"/>
  <c r="J34" i="22"/>
  <c r="G34" i="22"/>
  <c r="E34" i="22"/>
  <c r="C96" i="14"/>
  <c r="C95" i="14"/>
  <c r="C94" i="14"/>
  <c r="C93" i="14"/>
  <c r="E91" i="14"/>
  <c r="C91" i="14"/>
  <c r="C90" i="14"/>
  <c r="C89" i="14"/>
  <c r="C88" i="14"/>
  <c r="C87" i="14"/>
  <c r="C84" i="14"/>
  <c r="C83" i="14"/>
  <c r="C82" i="14"/>
  <c r="C81" i="14"/>
  <c r="G75" i="14"/>
  <c r="E75" i="14"/>
  <c r="D75" i="14"/>
  <c r="C75" i="14"/>
  <c r="G74" i="14"/>
  <c r="E74" i="14"/>
  <c r="G73" i="14"/>
  <c r="E73" i="14"/>
  <c r="G72" i="14"/>
  <c r="E72" i="14"/>
  <c r="K69" i="14"/>
  <c r="J69" i="14"/>
  <c r="G69" i="14"/>
  <c r="E69" i="14"/>
  <c r="D69" i="14"/>
  <c r="C69" i="14"/>
  <c r="K68" i="14"/>
  <c r="J68" i="14"/>
  <c r="G68" i="14"/>
  <c r="K67" i="14"/>
  <c r="J67" i="14"/>
  <c r="K66" i="14"/>
  <c r="J66" i="14"/>
  <c r="C66" i="14"/>
  <c r="B58" i="14"/>
  <c r="D56" i="14"/>
  <c r="B56" i="14"/>
  <c r="J51" i="14"/>
  <c r="I51" i="14"/>
  <c r="H51" i="14"/>
  <c r="G51" i="14"/>
  <c r="F51" i="14"/>
  <c r="E51" i="14"/>
  <c r="L50" i="14"/>
  <c r="J50" i="14"/>
  <c r="I50" i="14"/>
  <c r="H50" i="14"/>
  <c r="G50" i="14"/>
  <c r="F50" i="14"/>
  <c r="E50" i="14"/>
  <c r="J49" i="14"/>
  <c r="I49" i="14"/>
  <c r="H49" i="14"/>
  <c r="G49" i="14"/>
  <c r="F49" i="14"/>
  <c r="E49" i="14"/>
  <c r="L48" i="14"/>
  <c r="J48" i="14"/>
  <c r="I48" i="14"/>
  <c r="H48" i="14"/>
  <c r="G48" i="14"/>
  <c r="F48" i="14"/>
  <c r="E48" i="14"/>
  <c r="K47" i="14"/>
  <c r="L46" i="14"/>
  <c r="K46" i="14"/>
  <c r="J46" i="14"/>
  <c r="I46" i="14"/>
  <c r="H46" i="14"/>
  <c r="G46" i="14"/>
  <c r="F46" i="14"/>
  <c r="E46" i="14"/>
  <c r="L45" i="14"/>
  <c r="K45" i="14"/>
  <c r="J45" i="14"/>
  <c r="I45" i="14"/>
  <c r="H45" i="14"/>
  <c r="G45" i="14"/>
  <c r="F45" i="14"/>
  <c r="E45" i="14"/>
  <c r="D45" i="14"/>
  <c r="L44" i="14"/>
  <c r="J44" i="14"/>
  <c r="I44" i="14"/>
  <c r="H44" i="14"/>
  <c r="G44" i="14"/>
  <c r="F44" i="14"/>
  <c r="E44" i="14"/>
  <c r="D44" i="14"/>
  <c r="L43" i="14"/>
  <c r="J43" i="14"/>
  <c r="I43" i="14"/>
  <c r="H43" i="14"/>
  <c r="G43" i="14"/>
  <c r="F43" i="14"/>
  <c r="E43" i="14"/>
  <c r="D43" i="14"/>
  <c r="J42" i="14"/>
  <c r="I42" i="14"/>
  <c r="H42" i="14"/>
  <c r="G42" i="14"/>
  <c r="F42" i="14"/>
  <c r="E42" i="14"/>
  <c r="D42" i="14"/>
  <c r="J41" i="14"/>
  <c r="I41" i="14"/>
  <c r="H41" i="14"/>
  <c r="G41" i="14"/>
  <c r="F41" i="14"/>
  <c r="E41" i="14"/>
  <c r="D41" i="14"/>
  <c r="M40" i="14"/>
  <c r="L40" i="14"/>
  <c r="J40" i="14"/>
  <c r="I40" i="14"/>
  <c r="H40" i="14"/>
  <c r="G40" i="14"/>
  <c r="F40" i="14"/>
  <c r="E40" i="14"/>
  <c r="D40" i="14"/>
  <c r="H39" i="14"/>
  <c r="G39" i="14"/>
  <c r="F39" i="14"/>
  <c r="E39" i="14"/>
  <c r="J38" i="14"/>
  <c r="I38" i="14"/>
  <c r="H38" i="14"/>
  <c r="G38" i="14"/>
  <c r="F38" i="14"/>
  <c r="E38" i="14"/>
  <c r="D38" i="14"/>
  <c r="J36" i="14"/>
  <c r="I36" i="14"/>
  <c r="H36" i="14"/>
  <c r="G36" i="14"/>
  <c r="F36" i="14"/>
  <c r="E36" i="14"/>
  <c r="L35" i="14"/>
  <c r="K35" i="14"/>
  <c r="J35" i="14"/>
  <c r="I35" i="14"/>
  <c r="H35" i="14"/>
  <c r="G35" i="14"/>
  <c r="F35" i="14"/>
  <c r="E35" i="14"/>
  <c r="L34" i="14"/>
  <c r="K34" i="14"/>
  <c r="J34" i="14"/>
  <c r="I34" i="14"/>
  <c r="H34" i="14"/>
  <c r="G34" i="14"/>
  <c r="F34" i="14"/>
  <c r="E34" i="14"/>
  <c r="M33" i="14"/>
  <c r="L33" i="14"/>
  <c r="K33" i="14"/>
  <c r="L32" i="14"/>
  <c r="J32" i="14"/>
  <c r="I32" i="14"/>
  <c r="H32" i="14"/>
  <c r="G32" i="14"/>
  <c r="F32" i="14"/>
  <c r="E32" i="14"/>
  <c r="J31" i="14"/>
  <c r="I31" i="14"/>
  <c r="H31" i="14"/>
  <c r="G31" i="14"/>
  <c r="F31" i="14"/>
  <c r="E31" i="14"/>
  <c r="D31" i="14"/>
  <c r="J30" i="14"/>
  <c r="I30" i="14"/>
  <c r="H30" i="14"/>
  <c r="G30" i="14"/>
  <c r="F30" i="14"/>
  <c r="E30" i="14"/>
  <c r="D30" i="14"/>
  <c r="J29" i="14"/>
  <c r="I29" i="14"/>
  <c r="H29" i="14"/>
  <c r="G29" i="14"/>
  <c r="F29" i="14"/>
  <c r="E29" i="14"/>
  <c r="D29" i="14"/>
  <c r="J28" i="14"/>
  <c r="I28" i="14"/>
  <c r="H28" i="14"/>
  <c r="G28" i="14"/>
  <c r="F28" i="14"/>
  <c r="E28" i="14"/>
  <c r="D28" i="14"/>
  <c r="J27" i="14"/>
  <c r="I27" i="14"/>
  <c r="H27" i="14"/>
  <c r="G27" i="14"/>
  <c r="F27" i="14"/>
  <c r="E27" i="14"/>
  <c r="D27" i="14"/>
  <c r="H26" i="14"/>
  <c r="G26" i="14"/>
  <c r="F26" i="14"/>
  <c r="J25" i="14"/>
  <c r="I25" i="14"/>
  <c r="H25" i="14"/>
  <c r="G25" i="14"/>
  <c r="F25" i="14"/>
  <c r="E25" i="14"/>
  <c r="D25" i="14"/>
  <c r="H24" i="14"/>
  <c r="G24" i="14"/>
  <c r="F24" i="14"/>
  <c r="J23" i="14"/>
  <c r="I23" i="14"/>
  <c r="H23" i="14"/>
  <c r="G23" i="14"/>
  <c r="F23" i="14"/>
  <c r="E23" i="14"/>
  <c r="L22" i="14"/>
  <c r="K22" i="14"/>
  <c r="J22" i="14"/>
  <c r="I22" i="14"/>
  <c r="H22" i="14"/>
  <c r="G22" i="14"/>
  <c r="F22" i="14"/>
  <c r="E22" i="14"/>
  <c r="D22" i="14"/>
  <c r="M21" i="14"/>
  <c r="L21" i="14"/>
  <c r="K21" i="14"/>
  <c r="J21" i="14"/>
  <c r="I21" i="14"/>
  <c r="H21" i="14"/>
  <c r="G21" i="14"/>
  <c r="F21" i="14"/>
  <c r="E21" i="14"/>
  <c r="D21" i="14"/>
  <c r="J15" i="14"/>
  <c r="G15" i="14"/>
  <c r="E15" i="14"/>
  <c r="K13" i="14"/>
  <c r="A5" i="14"/>
  <c r="B1" i="14"/>
  <c r="K67" i="65"/>
  <c r="F67" i="65"/>
  <c r="B62" i="65"/>
  <c r="E60" i="65"/>
  <c r="B60" i="65"/>
  <c r="K57" i="65"/>
  <c r="J57" i="65"/>
  <c r="I57" i="65"/>
  <c r="H57" i="65"/>
  <c r="G57" i="65"/>
  <c r="F57" i="65"/>
  <c r="K56" i="65"/>
  <c r="J56" i="65"/>
  <c r="I56" i="65"/>
  <c r="H56" i="65"/>
  <c r="G56" i="65"/>
  <c r="F56" i="65"/>
  <c r="K55" i="65"/>
  <c r="J55" i="65"/>
  <c r="I55" i="65"/>
  <c r="H55" i="65"/>
  <c r="G55" i="65"/>
  <c r="F55" i="65"/>
  <c r="K51" i="65"/>
  <c r="J51" i="65"/>
  <c r="I51" i="65"/>
  <c r="H51" i="65"/>
  <c r="G51" i="65"/>
  <c r="F51" i="65"/>
  <c r="K50" i="65"/>
  <c r="J50" i="65"/>
  <c r="I50" i="65"/>
  <c r="H50" i="65"/>
  <c r="G50" i="65"/>
  <c r="F50" i="65"/>
  <c r="K48" i="65"/>
  <c r="J48" i="65"/>
  <c r="I48" i="65"/>
  <c r="H48" i="65"/>
  <c r="G48" i="65"/>
  <c r="F48" i="65"/>
  <c r="K47" i="65"/>
  <c r="J47" i="65"/>
  <c r="I47" i="65"/>
  <c r="H47" i="65"/>
  <c r="G47" i="65"/>
  <c r="F47" i="65"/>
  <c r="E47" i="65"/>
  <c r="K46" i="65"/>
  <c r="J46" i="65"/>
  <c r="I46" i="65"/>
  <c r="H46" i="65"/>
  <c r="G46" i="65"/>
  <c r="F46" i="65"/>
  <c r="E46" i="65"/>
  <c r="K44" i="65"/>
  <c r="J44" i="65"/>
  <c r="I44" i="65"/>
  <c r="H44" i="65"/>
  <c r="G44" i="65"/>
  <c r="F44" i="65"/>
  <c r="K43" i="65"/>
  <c r="J43" i="65"/>
  <c r="I43" i="65"/>
  <c r="H43" i="65"/>
  <c r="G43" i="65"/>
  <c r="F43" i="65"/>
  <c r="K41" i="65"/>
  <c r="J41" i="65"/>
  <c r="I41" i="65"/>
  <c r="H41" i="65"/>
  <c r="G41" i="65"/>
  <c r="F41" i="65"/>
  <c r="K40" i="65"/>
  <c r="J40" i="65"/>
  <c r="I40" i="65"/>
  <c r="H40" i="65"/>
  <c r="G40" i="65"/>
  <c r="F40" i="65"/>
  <c r="K38" i="65"/>
  <c r="J38" i="65"/>
  <c r="I38" i="65"/>
  <c r="H38" i="65"/>
  <c r="G38" i="65"/>
  <c r="F38" i="65"/>
  <c r="K37" i="65"/>
  <c r="J37" i="65"/>
  <c r="I37" i="65"/>
  <c r="H37" i="65"/>
  <c r="G37" i="65"/>
  <c r="F37" i="65"/>
  <c r="K36" i="65"/>
  <c r="J36" i="65"/>
  <c r="I36" i="65"/>
  <c r="H36" i="65"/>
  <c r="G36" i="65"/>
  <c r="F36" i="65"/>
  <c r="K35" i="65"/>
  <c r="J35" i="65"/>
  <c r="I35" i="65"/>
  <c r="H35" i="65"/>
  <c r="G35" i="65"/>
  <c r="F35" i="65"/>
  <c r="K34" i="65"/>
  <c r="J34" i="65"/>
  <c r="I34" i="65"/>
  <c r="H34" i="65"/>
  <c r="G34" i="65"/>
  <c r="F34" i="65"/>
  <c r="E34" i="65"/>
  <c r="K33" i="65"/>
  <c r="J33" i="65"/>
  <c r="I33" i="65"/>
  <c r="H33" i="65"/>
  <c r="G33" i="65"/>
  <c r="F33" i="65"/>
  <c r="E33" i="65"/>
  <c r="K32" i="65"/>
  <c r="J32" i="65"/>
  <c r="I32" i="65"/>
  <c r="H32" i="65"/>
  <c r="G32" i="65"/>
  <c r="F32" i="65"/>
  <c r="E32" i="65"/>
  <c r="C32" i="65"/>
  <c r="K31" i="65"/>
  <c r="J31" i="65"/>
  <c r="I31" i="65"/>
  <c r="H31" i="65"/>
  <c r="G31" i="65"/>
  <c r="F31" i="65"/>
  <c r="E31" i="65"/>
  <c r="C31" i="65"/>
  <c r="K29" i="65"/>
  <c r="J29" i="65"/>
  <c r="I29" i="65"/>
  <c r="H29" i="65"/>
  <c r="G29" i="65"/>
  <c r="F29" i="65"/>
  <c r="K28" i="65"/>
  <c r="J28" i="65"/>
  <c r="I28" i="65"/>
  <c r="H28" i="65"/>
  <c r="G28" i="65"/>
  <c r="F28" i="65"/>
  <c r="K27" i="65"/>
  <c r="J27" i="65"/>
  <c r="I27" i="65"/>
  <c r="H27" i="65"/>
  <c r="G27" i="65"/>
  <c r="F27" i="65"/>
  <c r="E27" i="65"/>
  <c r="C27" i="65"/>
  <c r="K26" i="65"/>
  <c r="J26" i="65"/>
  <c r="I26" i="65"/>
  <c r="H26" i="65"/>
  <c r="G26" i="65"/>
  <c r="F26" i="65"/>
  <c r="E26" i="65"/>
  <c r="C26" i="65"/>
  <c r="K25" i="65"/>
  <c r="J25" i="65"/>
  <c r="I25" i="65"/>
  <c r="H25" i="65"/>
  <c r="G25" i="65"/>
  <c r="F25" i="65"/>
  <c r="E25" i="65"/>
  <c r="K24" i="65"/>
  <c r="J24" i="65"/>
  <c r="I24" i="65"/>
  <c r="H24" i="65"/>
  <c r="G24" i="65"/>
  <c r="F24" i="65"/>
  <c r="E24" i="65"/>
  <c r="K16" i="65"/>
  <c r="J16" i="65"/>
  <c r="I16" i="65"/>
  <c r="H16" i="65"/>
  <c r="G16" i="65"/>
  <c r="F16" i="65"/>
  <c r="K15" i="65"/>
  <c r="J15" i="65"/>
  <c r="I15" i="65"/>
  <c r="H15" i="65"/>
  <c r="G15" i="65"/>
  <c r="F15" i="65"/>
  <c r="E15" i="65"/>
  <c r="K14" i="65"/>
  <c r="J14" i="65"/>
  <c r="I14" i="65"/>
  <c r="H14" i="65"/>
  <c r="G14" i="65"/>
  <c r="F14" i="65"/>
  <c r="A5" i="65"/>
  <c r="B1" i="65"/>
  <c r="K59" i="55"/>
  <c r="F59" i="55"/>
  <c r="B54" i="55"/>
  <c r="E52" i="55"/>
  <c r="B52" i="55"/>
  <c r="K49" i="55"/>
  <c r="J49" i="55"/>
  <c r="I49" i="55"/>
  <c r="H49" i="55"/>
  <c r="G49" i="55"/>
  <c r="F49" i="55"/>
  <c r="K48" i="55"/>
  <c r="J48" i="55"/>
  <c r="I48" i="55"/>
  <c r="H48" i="55"/>
  <c r="G48" i="55"/>
  <c r="F48" i="55"/>
  <c r="K47" i="55"/>
  <c r="J47" i="55"/>
  <c r="I47" i="55"/>
  <c r="H47" i="55"/>
  <c r="G47" i="55"/>
  <c r="F47" i="55"/>
  <c r="K43" i="55"/>
  <c r="J43" i="55"/>
  <c r="I43" i="55"/>
  <c r="H43" i="55"/>
  <c r="G43" i="55"/>
  <c r="F43" i="55"/>
  <c r="K42" i="55"/>
  <c r="J42" i="55"/>
  <c r="I42" i="55"/>
  <c r="H42" i="55"/>
  <c r="G42" i="55"/>
  <c r="F42" i="55"/>
  <c r="E42" i="55"/>
  <c r="K40" i="55"/>
  <c r="J40" i="55"/>
  <c r="I40" i="55"/>
  <c r="H40" i="55"/>
  <c r="G40" i="55"/>
  <c r="F40" i="55"/>
  <c r="K39" i="55"/>
  <c r="J39" i="55"/>
  <c r="I39" i="55"/>
  <c r="H39" i="55"/>
  <c r="G39" i="55"/>
  <c r="F39" i="55"/>
  <c r="E39" i="55"/>
  <c r="K37" i="55"/>
  <c r="J37" i="55"/>
  <c r="I37" i="55"/>
  <c r="H37" i="55"/>
  <c r="G37" i="55"/>
  <c r="F37" i="55"/>
  <c r="K36" i="55"/>
  <c r="J36" i="55"/>
  <c r="I36" i="55"/>
  <c r="H36" i="55"/>
  <c r="G36" i="55"/>
  <c r="F36" i="55"/>
  <c r="E36" i="55"/>
  <c r="K34" i="55"/>
  <c r="J34" i="55"/>
  <c r="I34" i="55"/>
  <c r="H34" i="55"/>
  <c r="G34" i="55"/>
  <c r="F34" i="55"/>
  <c r="K33" i="55"/>
  <c r="J33" i="55"/>
  <c r="I33" i="55"/>
  <c r="H33" i="55"/>
  <c r="G33" i="55"/>
  <c r="F33" i="55"/>
  <c r="E33" i="55"/>
  <c r="K31" i="55"/>
  <c r="J31" i="55"/>
  <c r="I31" i="55"/>
  <c r="H31" i="55"/>
  <c r="G31" i="55"/>
  <c r="F31" i="55"/>
  <c r="K30" i="55"/>
  <c r="J30" i="55"/>
  <c r="I30" i="55"/>
  <c r="H30" i="55"/>
  <c r="G30" i="55"/>
  <c r="F30" i="55"/>
  <c r="E30" i="55"/>
  <c r="K29" i="55"/>
  <c r="J29" i="55"/>
  <c r="I29" i="55"/>
  <c r="H29" i="55"/>
  <c r="G29" i="55"/>
  <c r="F29" i="55"/>
  <c r="E29" i="55"/>
  <c r="K28" i="55"/>
  <c r="J28" i="55"/>
  <c r="I28" i="55"/>
  <c r="H28" i="55"/>
  <c r="G28" i="55"/>
  <c r="F28" i="55"/>
  <c r="E28" i="55"/>
  <c r="K27" i="55"/>
  <c r="J27" i="55"/>
  <c r="I27" i="55"/>
  <c r="H27" i="55"/>
  <c r="G27" i="55"/>
  <c r="F27" i="55"/>
  <c r="E27" i="55"/>
  <c r="K26" i="55"/>
  <c r="J26" i="55"/>
  <c r="I26" i="55"/>
  <c r="H26" i="55"/>
  <c r="G26" i="55"/>
  <c r="F26" i="55"/>
  <c r="E26" i="55"/>
  <c r="K25" i="55"/>
  <c r="J25" i="55"/>
  <c r="I25" i="55"/>
  <c r="H25" i="55"/>
  <c r="G25" i="55"/>
  <c r="F25" i="55"/>
  <c r="E25" i="55"/>
  <c r="K24" i="55"/>
  <c r="J24" i="55"/>
  <c r="I24" i="55"/>
  <c r="H24" i="55"/>
  <c r="G24" i="55"/>
  <c r="F24" i="55"/>
  <c r="E24" i="55"/>
  <c r="K23" i="55"/>
  <c r="J23" i="55"/>
  <c r="I23" i="55"/>
  <c r="H23" i="55"/>
  <c r="G23" i="55"/>
  <c r="F23" i="55"/>
  <c r="E23" i="55"/>
  <c r="K21" i="55"/>
  <c r="J21" i="55"/>
  <c r="I21" i="55"/>
  <c r="H21" i="55"/>
  <c r="G21" i="55"/>
  <c r="F21" i="55"/>
  <c r="E21" i="55"/>
  <c r="C21" i="55"/>
  <c r="K20" i="55"/>
  <c r="J20" i="55"/>
  <c r="I20" i="55"/>
  <c r="H20" i="55"/>
  <c r="G20" i="55"/>
  <c r="F20" i="55"/>
  <c r="E20" i="55"/>
  <c r="C20" i="55"/>
  <c r="K19" i="55"/>
  <c r="J19" i="55"/>
  <c r="I19" i="55"/>
  <c r="H19" i="55"/>
  <c r="G19" i="55"/>
  <c r="F19" i="55"/>
  <c r="E19" i="55"/>
  <c r="A5" i="55"/>
  <c r="B1" i="55"/>
  <c r="K111" i="56"/>
  <c r="F111" i="56"/>
  <c r="B106" i="56"/>
  <c r="E104" i="56"/>
  <c r="B104" i="56"/>
  <c r="K101" i="56"/>
  <c r="J101" i="56"/>
  <c r="I101" i="56"/>
  <c r="H101" i="56"/>
  <c r="G101" i="56"/>
  <c r="F101" i="56"/>
  <c r="K100" i="56"/>
  <c r="J100" i="56"/>
  <c r="I100" i="56"/>
  <c r="H100" i="56"/>
  <c r="G100" i="56"/>
  <c r="F100" i="56"/>
  <c r="K99" i="56"/>
  <c r="J99" i="56"/>
  <c r="I99" i="56"/>
  <c r="H99" i="56"/>
  <c r="G99" i="56"/>
  <c r="F99" i="56"/>
  <c r="K95" i="56"/>
  <c r="J95" i="56"/>
  <c r="I95" i="56"/>
  <c r="H95" i="56"/>
  <c r="G95" i="56"/>
  <c r="F95" i="56"/>
  <c r="K94" i="56"/>
  <c r="J94" i="56"/>
  <c r="I94" i="56"/>
  <c r="H94" i="56"/>
  <c r="G94" i="56"/>
  <c r="F94" i="56"/>
  <c r="E94" i="56"/>
  <c r="K92" i="56"/>
  <c r="J92" i="56"/>
  <c r="I92" i="56"/>
  <c r="H92" i="56"/>
  <c r="G92" i="56"/>
  <c r="F92" i="56"/>
  <c r="K91" i="56"/>
  <c r="J91" i="56"/>
  <c r="I91" i="56"/>
  <c r="H91" i="56"/>
  <c r="G91" i="56"/>
  <c r="F91" i="56"/>
  <c r="E91" i="56"/>
  <c r="K90" i="56"/>
  <c r="J90" i="56"/>
  <c r="I90" i="56"/>
  <c r="H90" i="56"/>
  <c r="G90" i="56"/>
  <c r="F90" i="56"/>
  <c r="E90" i="56"/>
  <c r="K89" i="56"/>
  <c r="J89" i="56"/>
  <c r="I89" i="56"/>
  <c r="H89" i="56"/>
  <c r="G89" i="56"/>
  <c r="F89" i="56"/>
  <c r="E89" i="56"/>
  <c r="N88" i="56"/>
  <c r="K88" i="56"/>
  <c r="J88" i="56"/>
  <c r="I88" i="56"/>
  <c r="H88" i="56"/>
  <c r="G88" i="56"/>
  <c r="F88" i="56"/>
  <c r="E88" i="56"/>
  <c r="K86" i="56"/>
  <c r="J86" i="56"/>
  <c r="I86" i="56"/>
  <c r="H86" i="56"/>
  <c r="G86" i="56"/>
  <c r="F86" i="56"/>
  <c r="K85" i="56"/>
  <c r="J85" i="56"/>
  <c r="I85" i="56"/>
  <c r="H85" i="56"/>
  <c r="G85" i="56"/>
  <c r="F85" i="56"/>
  <c r="E85" i="56"/>
  <c r="K84" i="56"/>
  <c r="J84" i="56"/>
  <c r="I84" i="56"/>
  <c r="H84" i="56"/>
  <c r="G84" i="56"/>
  <c r="F84" i="56"/>
  <c r="E84" i="56"/>
  <c r="K83" i="56"/>
  <c r="J83" i="56"/>
  <c r="I83" i="56"/>
  <c r="H83" i="56"/>
  <c r="G83" i="56"/>
  <c r="F83" i="56"/>
  <c r="E83" i="56"/>
  <c r="K82" i="56"/>
  <c r="J82" i="56"/>
  <c r="I82" i="56"/>
  <c r="H82" i="56"/>
  <c r="G82" i="56"/>
  <c r="F82" i="56"/>
  <c r="E82" i="56"/>
  <c r="K81" i="56"/>
  <c r="J81" i="56"/>
  <c r="I81" i="56"/>
  <c r="H81" i="56"/>
  <c r="G81" i="56"/>
  <c r="F81" i="56"/>
  <c r="E81" i="56"/>
  <c r="K80" i="56"/>
  <c r="J80" i="56"/>
  <c r="I80" i="56"/>
  <c r="H80" i="56"/>
  <c r="G80" i="56"/>
  <c r="F80" i="56"/>
  <c r="E80" i="56"/>
  <c r="K79" i="56"/>
  <c r="J79" i="56"/>
  <c r="I79" i="56"/>
  <c r="H79" i="56"/>
  <c r="G79" i="56"/>
  <c r="F79" i="56"/>
  <c r="E79" i="56"/>
  <c r="K78" i="56"/>
  <c r="J78" i="56"/>
  <c r="I78" i="56"/>
  <c r="H78" i="56"/>
  <c r="G78" i="56"/>
  <c r="F78" i="56"/>
  <c r="E78" i="56"/>
  <c r="K77" i="56"/>
  <c r="J77" i="56"/>
  <c r="I77" i="56"/>
  <c r="H77" i="56"/>
  <c r="G77" i="56"/>
  <c r="F77" i="56"/>
  <c r="E77" i="56"/>
  <c r="K76" i="56"/>
  <c r="J76" i="56"/>
  <c r="I76" i="56"/>
  <c r="H76" i="56"/>
  <c r="G76" i="56"/>
  <c r="F76" i="56"/>
  <c r="E76" i="56"/>
  <c r="K75" i="56"/>
  <c r="J75" i="56"/>
  <c r="I75" i="56"/>
  <c r="H75" i="56"/>
  <c r="G75" i="56"/>
  <c r="F75" i="56"/>
  <c r="E75" i="56"/>
  <c r="K74" i="56"/>
  <c r="J74" i="56"/>
  <c r="I74" i="56"/>
  <c r="H74" i="56"/>
  <c r="G74" i="56"/>
  <c r="F74" i="56"/>
  <c r="E74" i="56"/>
  <c r="K73" i="56"/>
  <c r="J73" i="56"/>
  <c r="I73" i="56"/>
  <c r="H73" i="56"/>
  <c r="G73" i="56"/>
  <c r="F73" i="56"/>
  <c r="E73" i="56"/>
  <c r="K72" i="56"/>
  <c r="J72" i="56"/>
  <c r="I72" i="56"/>
  <c r="H72" i="56"/>
  <c r="G72" i="56"/>
  <c r="F72" i="56"/>
  <c r="E72" i="56"/>
  <c r="K71" i="56"/>
  <c r="J71" i="56"/>
  <c r="I71" i="56"/>
  <c r="H71" i="56"/>
  <c r="G71" i="56"/>
  <c r="F71" i="56"/>
  <c r="E71" i="56"/>
  <c r="K70" i="56"/>
  <c r="J70" i="56"/>
  <c r="I70" i="56"/>
  <c r="H70" i="56"/>
  <c r="G70" i="56"/>
  <c r="F70" i="56"/>
  <c r="E70" i="56"/>
  <c r="K69" i="56"/>
  <c r="J69" i="56"/>
  <c r="I69" i="56"/>
  <c r="H69" i="56"/>
  <c r="G69" i="56"/>
  <c r="F69" i="56"/>
  <c r="E69" i="56"/>
  <c r="K68" i="56"/>
  <c r="J68" i="56"/>
  <c r="I68" i="56"/>
  <c r="H68" i="56"/>
  <c r="G68" i="56"/>
  <c r="F68" i="56"/>
  <c r="E68" i="56"/>
  <c r="K67" i="56"/>
  <c r="J67" i="56"/>
  <c r="I67" i="56"/>
  <c r="H67" i="56"/>
  <c r="G67" i="56"/>
  <c r="F67" i="56"/>
  <c r="E67" i="56"/>
  <c r="K66" i="56"/>
  <c r="J66" i="56"/>
  <c r="I66" i="56"/>
  <c r="H66" i="56"/>
  <c r="G66" i="56"/>
  <c r="F66" i="56"/>
  <c r="E66" i="56"/>
  <c r="K65" i="56"/>
  <c r="J65" i="56"/>
  <c r="I65" i="56"/>
  <c r="H65" i="56"/>
  <c r="G65" i="56"/>
  <c r="F65" i="56"/>
  <c r="E65" i="56"/>
  <c r="K64" i="56"/>
  <c r="J64" i="56"/>
  <c r="I64" i="56"/>
  <c r="H64" i="56"/>
  <c r="G64" i="56"/>
  <c r="F64" i="56"/>
  <c r="E64" i="56"/>
  <c r="K63" i="56"/>
  <c r="J63" i="56"/>
  <c r="I63" i="56"/>
  <c r="H63" i="56"/>
  <c r="G63" i="56"/>
  <c r="F63" i="56"/>
  <c r="E63" i="56"/>
  <c r="K61" i="56"/>
  <c r="J61" i="56"/>
  <c r="I61" i="56"/>
  <c r="H61" i="56"/>
  <c r="G61" i="56"/>
  <c r="F61" i="56"/>
  <c r="K60" i="56"/>
  <c r="J60" i="56"/>
  <c r="I60" i="56"/>
  <c r="H60" i="56"/>
  <c r="G60" i="56"/>
  <c r="F60" i="56"/>
  <c r="E60" i="56"/>
  <c r="K59" i="56"/>
  <c r="J59" i="56"/>
  <c r="I59" i="56"/>
  <c r="H59" i="56"/>
  <c r="G59" i="56"/>
  <c r="F59" i="56"/>
  <c r="E59" i="56"/>
  <c r="K58" i="56"/>
  <c r="J58" i="56"/>
  <c r="I58" i="56"/>
  <c r="H58" i="56"/>
  <c r="G58" i="56"/>
  <c r="F58" i="56"/>
  <c r="E58" i="56"/>
  <c r="K57" i="56"/>
  <c r="J57" i="56"/>
  <c r="I57" i="56"/>
  <c r="H57" i="56"/>
  <c r="G57" i="56"/>
  <c r="F57" i="56"/>
  <c r="E57" i="56"/>
  <c r="K56" i="56"/>
  <c r="J56" i="56"/>
  <c r="I56" i="56"/>
  <c r="H56" i="56"/>
  <c r="G56" i="56"/>
  <c r="F56" i="56"/>
  <c r="E56" i="56"/>
  <c r="K55" i="56"/>
  <c r="J55" i="56"/>
  <c r="I55" i="56"/>
  <c r="H55" i="56"/>
  <c r="G55" i="56"/>
  <c r="F55" i="56"/>
  <c r="E55" i="56"/>
  <c r="K54" i="56"/>
  <c r="J54" i="56"/>
  <c r="I54" i="56"/>
  <c r="H54" i="56"/>
  <c r="G54" i="56"/>
  <c r="F54" i="56"/>
  <c r="E54" i="56"/>
  <c r="K53" i="56"/>
  <c r="J53" i="56"/>
  <c r="I53" i="56"/>
  <c r="H53" i="56"/>
  <c r="G53" i="56"/>
  <c r="F53" i="56"/>
  <c r="E53" i="56"/>
  <c r="K52" i="56"/>
  <c r="J52" i="56"/>
  <c r="I52" i="56"/>
  <c r="H52" i="56"/>
  <c r="G52" i="56"/>
  <c r="F52" i="56"/>
  <c r="E52" i="56"/>
  <c r="K51" i="56"/>
  <c r="J51" i="56"/>
  <c r="I51" i="56"/>
  <c r="H51" i="56"/>
  <c r="G51" i="56"/>
  <c r="F51" i="56"/>
  <c r="E51" i="56"/>
  <c r="K50" i="56"/>
  <c r="J50" i="56"/>
  <c r="I50" i="56"/>
  <c r="H50" i="56"/>
  <c r="G50" i="56"/>
  <c r="F50" i="56"/>
  <c r="E50" i="56"/>
  <c r="K49" i="56"/>
  <c r="J49" i="56"/>
  <c r="I49" i="56"/>
  <c r="H49" i="56"/>
  <c r="G49" i="56"/>
  <c r="F49" i="56"/>
  <c r="E49" i="56"/>
  <c r="K48" i="56"/>
  <c r="J48" i="56"/>
  <c r="I48" i="56"/>
  <c r="H48" i="56"/>
  <c r="G48" i="56"/>
  <c r="F48" i="56"/>
  <c r="E48" i="56"/>
  <c r="K47" i="56"/>
  <c r="J47" i="56"/>
  <c r="I47" i="56"/>
  <c r="H47" i="56"/>
  <c r="G47" i="56"/>
  <c r="F47" i="56"/>
  <c r="E47" i="56"/>
  <c r="K46" i="56"/>
  <c r="J46" i="56"/>
  <c r="I46" i="56"/>
  <c r="H46" i="56"/>
  <c r="G46" i="56"/>
  <c r="F46" i="56"/>
  <c r="E46" i="56"/>
  <c r="K45" i="56"/>
  <c r="J45" i="56"/>
  <c r="I45" i="56"/>
  <c r="H45" i="56"/>
  <c r="G45" i="56"/>
  <c r="F45" i="56"/>
  <c r="E45" i="56"/>
  <c r="K44" i="56"/>
  <c r="J44" i="56"/>
  <c r="I44" i="56"/>
  <c r="H44" i="56"/>
  <c r="G44" i="56"/>
  <c r="F44" i="56"/>
  <c r="E44" i="56"/>
  <c r="K43" i="56"/>
  <c r="J43" i="56"/>
  <c r="I43" i="56"/>
  <c r="H43" i="56"/>
  <c r="G43" i="56"/>
  <c r="F43" i="56"/>
  <c r="E43" i="56"/>
  <c r="K42" i="56"/>
  <c r="J42" i="56"/>
  <c r="I42" i="56"/>
  <c r="H42" i="56"/>
  <c r="G42" i="56"/>
  <c r="F42" i="56"/>
  <c r="E42" i="56"/>
  <c r="K41" i="56"/>
  <c r="J41" i="56"/>
  <c r="I41" i="56"/>
  <c r="H41" i="56"/>
  <c r="G41" i="56"/>
  <c r="F41" i="56"/>
  <c r="E41" i="56"/>
  <c r="K40" i="56"/>
  <c r="J40" i="56"/>
  <c r="I40" i="56"/>
  <c r="H40" i="56"/>
  <c r="G40" i="56"/>
  <c r="F40" i="56"/>
  <c r="E40" i="56"/>
  <c r="K39" i="56"/>
  <c r="J39" i="56"/>
  <c r="I39" i="56"/>
  <c r="H39" i="56"/>
  <c r="G39" i="56"/>
  <c r="F39" i="56"/>
  <c r="E39" i="56"/>
  <c r="K38" i="56"/>
  <c r="J38" i="56"/>
  <c r="I38" i="56"/>
  <c r="H38" i="56"/>
  <c r="G38" i="56"/>
  <c r="F38" i="56"/>
  <c r="E38" i="56"/>
  <c r="K36" i="56"/>
  <c r="J36" i="56"/>
  <c r="I36" i="56"/>
  <c r="H36" i="56"/>
  <c r="G36" i="56"/>
  <c r="F36" i="56"/>
  <c r="K35" i="56"/>
  <c r="J35" i="56"/>
  <c r="I35" i="56"/>
  <c r="H35" i="56"/>
  <c r="G35" i="56"/>
  <c r="F35" i="56"/>
  <c r="E35" i="56"/>
  <c r="K34" i="56"/>
  <c r="J34" i="56"/>
  <c r="I34" i="56"/>
  <c r="H34" i="56"/>
  <c r="G34" i="56"/>
  <c r="F34" i="56"/>
  <c r="E34" i="56"/>
  <c r="K33" i="56"/>
  <c r="J33" i="56"/>
  <c r="I33" i="56"/>
  <c r="H33" i="56"/>
  <c r="G33" i="56"/>
  <c r="F33" i="56"/>
  <c r="E33" i="56"/>
  <c r="K32" i="56"/>
  <c r="J32" i="56"/>
  <c r="I32" i="56"/>
  <c r="H32" i="56"/>
  <c r="G32" i="56"/>
  <c r="F32" i="56"/>
  <c r="E32" i="56"/>
  <c r="K31" i="56"/>
  <c r="J31" i="56"/>
  <c r="I31" i="56"/>
  <c r="H31" i="56"/>
  <c r="G31" i="56"/>
  <c r="F31" i="56"/>
  <c r="E31" i="56"/>
  <c r="K30" i="56"/>
  <c r="J30" i="56"/>
  <c r="I30" i="56"/>
  <c r="H30" i="56"/>
  <c r="G30" i="56"/>
  <c r="F30" i="56"/>
  <c r="E30" i="56"/>
  <c r="K29" i="56"/>
  <c r="J29" i="56"/>
  <c r="I29" i="56"/>
  <c r="H29" i="56"/>
  <c r="G29" i="56"/>
  <c r="F29" i="56"/>
  <c r="E29" i="56"/>
  <c r="K28" i="56"/>
  <c r="J28" i="56"/>
  <c r="I28" i="56"/>
  <c r="H28" i="56"/>
  <c r="G28" i="56"/>
  <c r="F28" i="56"/>
  <c r="E28" i="56"/>
  <c r="K27" i="56"/>
  <c r="J27" i="56"/>
  <c r="I27" i="56"/>
  <c r="H27" i="56"/>
  <c r="G27" i="56"/>
  <c r="F27" i="56"/>
  <c r="E27" i="56"/>
  <c r="K26" i="56"/>
  <c r="J26" i="56"/>
  <c r="I26" i="56"/>
  <c r="H26" i="56"/>
  <c r="G26" i="56"/>
  <c r="F26" i="56"/>
  <c r="E26" i="56"/>
  <c r="K25" i="56"/>
  <c r="J25" i="56"/>
  <c r="I25" i="56"/>
  <c r="H25" i="56"/>
  <c r="G25" i="56"/>
  <c r="F25" i="56"/>
  <c r="E25" i="56"/>
  <c r="K24" i="56"/>
  <c r="J24" i="56"/>
  <c r="I24" i="56"/>
  <c r="H24" i="56"/>
  <c r="G24" i="56"/>
  <c r="F24" i="56"/>
  <c r="E24" i="56"/>
  <c r="K23" i="56"/>
  <c r="J23" i="56"/>
  <c r="I23" i="56"/>
  <c r="H23" i="56"/>
  <c r="G23" i="56"/>
  <c r="F23" i="56"/>
  <c r="E23" i="56"/>
  <c r="C23" i="56"/>
  <c r="K22" i="56"/>
  <c r="J22" i="56"/>
  <c r="I22" i="56"/>
  <c r="H22" i="56"/>
  <c r="G22" i="56"/>
  <c r="F22" i="56"/>
  <c r="E22" i="56"/>
  <c r="C22" i="56"/>
  <c r="K20" i="56"/>
  <c r="J20" i="56"/>
  <c r="I20" i="56"/>
  <c r="H20" i="56"/>
  <c r="G20" i="56"/>
  <c r="F20" i="56"/>
  <c r="E20" i="56"/>
  <c r="K19" i="56"/>
  <c r="J19" i="56"/>
  <c r="I19" i="56"/>
  <c r="H19" i="56"/>
  <c r="G19" i="56"/>
  <c r="F19" i="56"/>
  <c r="E19" i="56"/>
  <c r="K18" i="56"/>
  <c r="J18" i="56"/>
  <c r="I18" i="56"/>
  <c r="H18" i="56"/>
  <c r="G18" i="56"/>
  <c r="F18" i="56"/>
  <c r="E18" i="56"/>
  <c r="C18" i="56"/>
  <c r="A5" i="56"/>
  <c r="B1" i="56"/>
  <c r="K110" i="58"/>
  <c r="F110" i="58"/>
  <c r="B105" i="58"/>
  <c r="E103" i="58"/>
  <c r="B103" i="58"/>
  <c r="K100" i="58"/>
  <c r="J100" i="58"/>
  <c r="I100" i="58"/>
  <c r="H100" i="58"/>
  <c r="G100" i="58"/>
  <c r="F100" i="58"/>
  <c r="K99" i="58"/>
  <c r="J99" i="58"/>
  <c r="I99" i="58"/>
  <c r="H99" i="58"/>
  <c r="G99" i="58"/>
  <c r="F99" i="58"/>
  <c r="K98" i="58"/>
  <c r="J98" i="58"/>
  <c r="I98" i="58"/>
  <c r="H98" i="58"/>
  <c r="G98" i="58"/>
  <c r="F98" i="58"/>
  <c r="K94" i="58"/>
  <c r="J94" i="58"/>
  <c r="I94" i="58"/>
  <c r="H94" i="58"/>
  <c r="G94" i="58"/>
  <c r="F94" i="58"/>
  <c r="K93" i="58"/>
  <c r="J93" i="58"/>
  <c r="I93" i="58"/>
  <c r="H93" i="58"/>
  <c r="G93" i="58"/>
  <c r="F93" i="58"/>
  <c r="E93" i="58"/>
  <c r="K91" i="58"/>
  <c r="J91" i="58"/>
  <c r="I91" i="58"/>
  <c r="H91" i="58"/>
  <c r="G91" i="58"/>
  <c r="F91" i="58"/>
  <c r="K90" i="58"/>
  <c r="J90" i="58"/>
  <c r="I90" i="58"/>
  <c r="H90" i="58"/>
  <c r="G90" i="58"/>
  <c r="F90" i="58"/>
  <c r="E90" i="58"/>
  <c r="K89" i="58"/>
  <c r="J89" i="58"/>
  <c r="I89" i="58"/>
  <c r="H89" i="58"/>
  <c r="G89" i="58"/>
  <c r="F89" i="58"/>
  <c r="E89" i="58"/>
  <c r="N88" i="58"/>
  <c r="K88" i="58"/>
  <c r="J88" i="58"/>
  <c r="I88" i="58"/>
  <c r="H88" i="58"/>
  <c r="G88" i="58"/>
  <c r="F88" i="58"/>
  <c r="E88" i="58"/>
  <c r="N87" i="58"/>
  <c r="K87" i="58"/>
  <c r="J87" i="58"/>
  <c r="I87" i="58"/>
  <c r="H87" i="58"/>
  <c r="G87" i="58"/>
  <c r="F87" i="58"/>
  <c r="E87" i="58"/>
  <c r="K85" i="58"/>
  <c r="J85" i="58"/>
  <c r="I85" i="58"/>
  <c r="H85" i="58"/>
  <c r="G85" i="58"/>
  <c r="F85" i="58"/>
  <c r="K84" i="58"/>
  <c r="J84" i="58"/>
  <c r="I84" i="58"/>
  <c r="H84" i="58"/>
  <c r="G84" i="58"/>
  <c r="F84" i="58"/>
  <c r="E84" i="58"/>
  <c r="K83" i="58"/>
  <c r="J83" i="58"/>
  <c r="I83" i="58"/>
  <c r="H83" i="58"/>
  <c r="G83" i="58"/>
  <c r="F83" i="58"/>
  <c r="E83" i="58"/>
  <c r="K82" i="58"/>
  <c r="J82" i="58"/>
  <c r="I82" i="58"/>
  <c r="H82" i="58"/>
  <c r="G82" i="58"/>
  <c r="F82" i="58"/>
  <c r="E82" i="58"/>
  <c r="K81" i="58"/>
  <c r="J81" i="58"/>
  <c r="I81" i="58"/>
  <c r="H81" i="58"/>
  <c r="G81" i="58"/>
  <c r="F81" i="58"/>
  <c r="E81" i="58"/>
  <c r="K80" i="58"/>
  <c r="J80" i="58"/>
  <c r="I80" i="58"/>
  <c r="H80" i="58"/>
  <c r="G80" i="58"/>
  <c r="F80" i="58"/>
  <c r="E80" i="58"/>
  <c r="K79" i="58"/>
  <c r="J79" i="58"/>
  <c r="I79" i="58"/>
  <c r="H79" i="58"/>
  <c r="G79" i="58"/>
  <c r="F79" i="58"/>
  <c r="E79" i="58"/>
  <c r="K78" i="58"/>
  <c r="J78" i="58"/>
  <c r="I78" i="58"/>
  <c r="H78" i="58"/>
  <c r="G78" i="58"/>
  <c r="F78" i="58"/>
  <c r="E78" i="58"/>
  <c r="K77" i="58"/>
  <c r="J77" i="58"/>
  <c r="I77" i="58"/>
  <c r="H77" i="58"/>
  <c r="G77" i="58"/>
  <c r="F77" i="58"/>
  <c r="E77" i="58"/>
  <c r="K76" i="58"/>
  <c r="J76" i="58"/>
  <c r="I76" i="58"/>
  <c r="H76" i="58"/>
  <c r="G76" i="58"/>
  <c r="F76" i="58"/>
  <c r="E76" i="58"/>
  <c r="K75" i="58"/>
  <c r="J75" i="58"/>
  <c r="I75" i="58"/>
  <c r="H75" i="58"/>
  <c r="G75" i="58"/>
  <c r="F75" i="58"/>
  <c r="E75" i="58"/>
  <c r="K74" i="58"/>
  <c r="J74" i="58"/>
  <c r="I74" i="58"/>
  <c r="H74" i="58"/>
  <c r="G74" i="58"/>
  <c r="F74" i="58"/>
  <c r="E74" i="58"/>
  <c r="K72" i="58"/>
  <c r="J72" i="58"/>
  <c r="I72" i="58"/>
  <c r="H72" i="58"/>
  <c r="G72" i="58"/>
  <c r="F72" i="58"/>
  <c r="K71" i="58"/>
  <c r="J71" i="58"/>
  <c r="I71" i="58"/>
  <c r="H71" i="58"/>
  <c r="G71" i="58"/>
  <c r="F71" i="58"/>
  <c r="E71" i="58"/>
  <c r="K70" i="58"/>
  <c r="J70" i="58"/>
  <c r="I70" i="58"/>
  <c r="H70" i="58"/>
  <c r="G70" i="58"/>
  <c r="F70" i="58"/>
  <c r="E70" i="58"/>
  <c r="K69" i="58"/>
  <c r="J69" i="58"/>
  <c r="I69" i="58"/>
  <c r="H69" i="58"/>
  <c r="G69" i="58"/>
  <c r="F69" i="58"/>
  <c r="E69" i="58"/>
  <c r="K68" i="58"/>
  <c r="J68" i="58"/>
  <c r="I68" i="58"/>
  <c r="H68" i="58"/>
  <c r="G68" i="58"/>
  <c r="F68" i="58"/>
  <c r="E68" i="58"/>
  <c r="K67" i="58"/>
  <c r="J67" i="58"/>
  <c r="I67" i="58"/>
  <c r="H67" i="58"/>
  <c r="G67" i="58"/>
  <c r="F67" i="58"/>
  <c r="E67" i="58"/>
  <c r="K66" i="58"/>
  <c r="J66" i="58"/>
  <c r="I66" i="58"/>
  <c r="H66" i="58"/>
  <c r="G66" i="58"/>
  <c r="F66" i="58"/>
  <c r="E66" i="58"/>
  <c r="K65" i="58"/>
  <c r="J65" i="58"/>
  <c r="I65" i="58"/>
  <c r="H65" i="58"/>
  <c r="G65" i="58"/>
  <c r="F65" i="58"/>
  <c r="E65" i="58"/>
  <c r="K64" i="58"/>
  <c r="J64" i="58"/>
  <c r="I64" i="58"/>
  <c r="H64" i="58"/>
  <c r="G64" i="58"/>
  <c r="F64" i="58"/>
  <c r="E64" i="58"/>
  <c r="K63" i="58"/>
  <c r="J63" i="58"/>
  <c r="I63" i="58"/>
  <c r="H63" i="58"/>
  <c r="G63" i="58"/>
  <c r="F63" i="58"/>
  <c r="E63" i="58"/>
  <c r="K62" i="58"/>
  <c r="J62" i="58"/>
  <c r="I62" i="58"/>
  <c r="H62" i="58"/>
  <c r="G62" i="58"/>
  <c r="F62" i="58"/>
  <c r="E62" i="58"/>
  <c r="K61" i="58"/>
  <c r="J61" i="58"/>
  <c r="I61" i="58"/>
  <c r="H61" i="58"/>
  <c r="G61" i="58"/>
  <c r="F61" i="58"/>
  <c r="E61" i="58"/>
  <c r="K59" i="58"/>
  <c r="J59" i="58"/>
  <c r="I59" i="58"/>
  <c r="H59" i="58"/>
  <c r="G59" i="58"/>
  <c r="F59" i="58"/>
  <c r="K58" i="58"/>
  <c r="J58" i="58"/>
  <c r="I58" i="58"/>
  <c r="H58" i="58"/>
  <c r="G58" i="58"/>
  <c r="F58" i="58"/>
  <c r="E58" i="58"/>
  <c r="K57" i="58"/>
  <c r="J57" i="58"/>
  <c r="I57" i="58"/>
  <c r="H57" i="58"/>
  <c r="G57" i="58"/>
  <c r="F57" i="58"/>
  <c r="E57" i="58"/>
  <c r="K56" i="58"/>
  <c r="J56" i="58"/>
  <c r="I56" i="58"/>
  <c r="H56" i="58"/>
  <c r="G56" i="58"/>
  <c r="F56" i="58"/>
  <c r="E56" i="58"/>
  <c r="K55" i="58"/>
  <c r="J55" i="58"/>
  <c r="I55" i="58"/>
  <c r="H55" i="58"/>
  <c r="G55" i="58"/>
  <c r="F55" i="58"/>
  <c r="E55" i="58"/>
  <c r="C55" i="58"/>
  <c r="K54" i="58"/>
  <c r="J54" i="58"/>
  <c r="I54" i="58"/>
  <c r="H54" i="58"/>
  <c r="G54" i="58"/>
  <c r="F54" i="58"/>
  <c r="E54" i="58"/>
  <c r="K53" i="58"/>
  <c r="J53" i="58"/>
  <c r="I53" i="58"/>
  <c r="H53" i="58"/>
  <c r="G53" i="58"/>
  <c r="F53" i="58"/>
  <c r="E53" i="58"/>
  <c r="K52" i="58"/>
  <c r="J52" i="58"/>
  <c r="I52" i="58"/>
  <c r="H52" i="58"/>
  <c r="G52" i="58"/>
  <c r="F52" i="58"/>
  <c r="E52" i="58"/>
  <c r="K51" i="58"/>
  <c r="J51" i="58"/>
  <c r="I51" i="58"/>
  <c r="H51" i="58"/>
  <c r="G51" i="58"/>
  <c r="F51" i="58"/>
  <c r="E51" i="58"/>
  <c r="C51" i="58"/>
  <c r="K50" i="58"/>
  <c r="J50" i="58"/>
  <c r="I50" i="58"/>
  <c r="H50" i="58"/>
  <c r="G50" i="58"/>
  <c r="F50" i="58"/>
  <c r="E50" i="58"/>
  <c r="C50" i="58"/>
  <c r="K49" i="58"/>
  <c r="J49" i="58"/>
  <c r="I49" i="58"/>
  <c r="H49" i="58"/>
  <c r="G49" i="58"/>
  <c r="F49" i="58"/>
  <c r="E49" i="58"/>
  <c r="K48" i="58"/>
  <c r="J48" i="58"/>
  <c r="I48" i="58"/>
  <c r="H48" i="58"/>
  <c r="G48" i="58"/>
  <c r="F48" i="58"/>
  <c r="E48" i="58"/>
  <c r="K47" i="58"/>
  <c r="J47" i="58"/>
  <c r="I47" i="58"/>
  <c r="H47" i="58"/>
  <c r="G47" i="58"/>
  <c r="F47" i="58"/>
  <c r="E47" i="58"/>
  <c r="K46" i="58"/>
  <c r="J46" i="58"/>
  <c r="I46" i="58"/>
  <c r="H46" i="58"/>
  <c r="G46" i="58"/>
  <c r="F46" i="58"/>
  <c r="E46" i="58"/>
  <c r="K45" i="58"/>
  <c r="J45" i="58"/>
  <c r="I45" i="58"/>
  <c r="H45" i="58"/>
  <c r="G45" i="58"/>
  <c r="F45" i="58"/>
  <c r="E45" i="58"/>
  <c r="C45" i="58"/>
  <c r="K44" i="58"/>
  <c r="J44" i="58"/>
  <c r="I44" i="58"/>
  <c r="H44" i="58"/>
  <c r="G44" i="58"/>
  <c r="F44" i="58"/>
  <c r="E44" i="58"/>
  <c r="K43" i="58"/>
  <c r="J43" i="58"/>
  <c r="I43" i="58"/>
  <c r="H43" i="58"/>
  <c r="G43" i="58"/>
  <c r="F43" i="58"/>
  <c r="E43" i="58"/>
  <c r="C43" i="58"/>
  <c r="K42" i="58"/>
  <c r="J42" i="58"/>
  <c r="I42" i="58"/>
  <c r="H42" i="58"/>
  <c r="G42" i="58"/>
  <c r="F42" i="58"/>
  <c r="E42" i="58"/>
  <c r="K41" i="58"/>
  <c r="J41" i="58"/>
  <c r="I41" i="58"/>
  <c r="H41" i="58"/>
  <c r="G41" i="58"/>
  <c r="F41" i="58"/>
  <c r="E41" i="58"/>
  <c r="C41" i="58"/>
  <c r="K40" i="58"/>
  <c r="J40" i="58"/>
  <c r="I40" i="58"/>
  <c r="H40" i="58"/>
  <c r="G40" i="58"/>
  <c r="F40" i="58"/>
  <c r="E40" i="58"/>
  <c r="K39" i="58"/>
  <c r="J39" i="58"/>
  <c r="I39" i="58"/>
  <c r="H39" i="58"/>
  <c r="G39" i="58"/>
  <c r="F39" i="58"/>
  <c r="E39" i="58"/>
  <c r="K38" i="58"/>
  <c r="J38" i="58"/>
  <c r="I38" i="58"/>
  <c r="H38" i="58"/>
  <c r="G38" i="58"/>
  <c r="F38" i="58"/>
  <c r="E38" i="58"/>
  <c r="K37" i="58"/>
  <c r="J37" i="58"/>
  <c r="I37" i="58"/>
  <c r="H37" i="58"/>
  <c r="G37" i="58"/>
  <c r="F37" i="58"/>
  <c r="E37" i="58"/>
  <c r="K35" i="58"/>
  <c r="J35" i="58"/>
  <c r="I35" i="58"/>
  <c r="H35" i="58"/>
  <c r="G35" i="58"/>
  <c r="F35" i="58"/>
  <c r="E35" i="58"/>
  <c r="K34" i="58"/>
  <c r="J34" i="58"/>
  <c r="I34" i="58"/>
  <c r="H34" i="58"/>
  <c r="G34" i="58"/>
  <c r="F34" i="58"/>
  <c r="E34" i="58"/>
  <c r="K33" i="58"/>
  <c r="J33" i="58"/>
  <c r="I33" i="58"/>
  <c r="H33" i="58"/>
  <c r="G33" i="58"/>
  <c r="F33" i="58"/>
  <c r="E33" i="58"/>
  <c r="K32" i="58"/>
  <c r="J32" i="58"/>
  <c r="I32" i="58"/>
  <c r="H32" i="58"/>
  <c r="G32" i="58"/>
  <c r="F32" i="58"/>
  <c r="E32" i="58"/>
  <c r="K31" i="58"/>
  <c r="J31" i="58"/>
  <c r="I31" i="58"/>
  <c r="H31" i="58"/>
  <c r="G31" i="58"/>
  <c r="F31" i="58"/>
  <c r="E31" i="58"/>
  <c r="K27" i="58"/>
  <c r="J27" i="58"/>
  <c r="I27" i="58"/>
  <c r="H27" i="58"/>
  <c r="G27" i="58"/>
  <c r="F27" i="58"/>
  <c r="K26" i="58"/>
  <c r="J26" i="58"/>
  <c r="I26" i="58"/>
  <c r="H26" i="58"/>
  <c r="G26" i="58"/>
  <c r="F26" i="58"/>
  <c r="E26" i="58"/>
  <c r="K25" i="58"/>
  <c r="J25" i="58"/>
  <c r="I25" i="58"/>
  <c r="H25" i="58"/>
  <c r="G25" i="58"/>
  <c r="F25" i="58"/>
  <c r="E25" i="58"/>
  <c r="K24" i="58"/>
  <c r="J24" i="58"/>
  <c r="I24" i="58"/>
  <c r="H24" i="58"/>
  <c r="G24" i="58"/>
  <c r="F24" i="58"/>
  <c r="E24" i="58"/>
  <c r="K23" i="58"/>
  <c r="J23" i="58"/>
  <c r="I23" i="58"/>
  <c r="H23" i="58"/>
  <c r="G23" i="58"/>
  <c r="F23" i="58"/>
  <c r="E23" i="58"/>
  <c r="K21" i="58"/>
  <c r="J21" i="58"/>
  <c r="I21" i="58"/>
  <c r="H21" i="58"/>
  <c r="G21" i="58"/>
  <c r="F21" i="58"/>
  <c r="K20" i="58"/>
  <c r="J20" i="58"/>
  <c r="I20" i="58"/>
  <c r="H20" i="58"/>
  <c r="G20" i="58"/>
  <c r="F20" i="58"/>
  <c r="K19" i="58"/>
  <c r="J19" i="58"/>
  <c r="I19" i="58"/>
  <c r="H19" i="58"/>
  <c r="G19" i="58"/>
  <c r="F19" i="58"/>
  <c r="E19" i="58"/>
  <c r="K18" i="58"/>
  <c r="J18" i="58"/>
  <c r="I18" i="58"/>
  <c r="H18" i="58"/>
  <c r="G18" i="58"/>
  <c r="F18" i="58"/>
  <c r="E18" i="58"/>
  <c r="K17" i="58"/>
  <c r="J17" i="58"/>
  <c r="I17" i="58"/>
  <c r="H17" i="58"/>
  <c r="G17" i="58"/>
  <c r="F17" i="58"/>
  <c r="E17" i="58"/>
  <c r="K16" i="58"/>
  <c r="J16" i="58"/>
  <c r="I16" i="58"/>
  <c r="H16" i="58"/>
  <c r="G16" i="58"/>
  <c r="F16" i="58"/>
  <c r="E16" i="58"/>
  <c r="K15" i="58"/>
  <c r="J15" i="58"/>
  <c r="I15" i="58"/>
  <c r="H15" i="58"/>
  <c r="G15" i="58"/>
  <c r="F15" i="58"/>
  <c r="E15" i="58"/>
  <c r="K14" i="58"/>
  <c r="J14" i="58"/>
  <c r="I14" i="58"/>
  <c r="H14" i="58"/>
  <c r="G14" i="58"/>
  <c r="F14" i="58"/>
  <c r="A5" i="58"/>
  <c r="B1" i="58"/>
  <c r="C90" i="7"/>
  <c r="C89" i="7"/>
  <c r="B80" i="7"/>
  <c r="D77" i="7"/>
  <c r="B77" i="7"/>
  <c r="H73" i="7"/>
  <c r="G73" i="7"/>
  <c r="F73" i="7"/>
  <c r="E73" i="7"/>
  <c r="D73" i="7"/>
  <c r="C73" i="7"/>
  <c r="H72" i="7"/>
  <c r="G72" i="7"/>
  <c r="F72" i="7"/>
  <c r="E72" i="7"/>
  <c r="D72" i="7"/>
  <c r="C72" i="7"/>
  <c r="H70" i="7"/>
  <c r="G70" i="7"/>
  <c r="F70" i="7"/>
  <c r="E70" i="7"/>
  <c r="D70" i="7"/>
  <c r="C70" i="7"/>
  <c r="H66" i="7"/>
  <c r="G66" i="7"/>
  <c r="F66" i="7"/>
  <c r="E66" i="7"/>
  <c r="D66" i="7"/>
  <c r="C66" i="7"/>
  <c r="H65" i="7"/>
  <c r="G65" i="7"/>
  <c r="F65" i="7"/>
  <c r="E65" i="7"/>
  <c r="D65" i="7"/>
  <c r="C65" i="7"/>
  <c r="H64" i="7"/>
  <c r="G64" i="7"/>
  <c r="F64" i="7"/>
  <c r="E64" i="7"/>
  <c r="D64" i="7"/>
  <c r="C64" i="7"/>
  <c r="H63" i="7"/>
  <c r="G63" i="7"/>
  <c r="F63" i="7"/>
  <c r="E63" i="7"/>
  <c r="D63" i="7"/>
  <c r="C63" i="7"/>
  <c r="H62" i="7"/>
  <c r="G62" i="7"/>
  <c r="F62" i="7"/>
  <c r="E62" i="7"/>
  <c r="D62" i="7"/>
  <c r="C62" i="7"/>
  <c r="H60" i="7"/>
  <c r="G60" i="7"/>
  <c r="F60" i="7"/>
  <c r="E60" i="7"/>
  <c r="D60" i="7"/>
  <c r="C60" i="7"/>
  <c r="H59" i="7"/>
  <c r="G59" i="7"/>
  <c r="F59" i="7"/>
  <c r="E59" i="7"/>
  <c r="D59" i="7"/>
  <c r="C59" i="7"/>
  <c r="H58" i="7"/>
  <c r="G58" i="7"/>
  <c r="F58" i="7"/>
  <c r="E58" i="7"/>
  <c r="D58" i="7"/>
  <c r="C58" i="7"/>
  <c r="H57" i="7"/>
  <c r="G57" i="7"/>
  <c r="F57" i="7"/>
  <c r="E57" i="7"/>
  <c r="D57" i="7"/>
  <c r="C57" i="7"/>
  <c r="H56" i="7"/>
  <c r="G56" i="7"/>
  <c r="F56" i="7"/>
  <c r="E56" i="7"/>
  <c r="D56" i="7"/>
  <c r="C56" i="7"/>
  <c r="M53" i="7"/>
  <c r="H53" i="7"/>
  <c r="G53" i="7"/>
  <c r="F53" i="7"/>
  <c r="E53" i="7"/>
  <c r="D53" i="7"/>
  <c r="C53" i="7"/>
  <c r="H52" i="7"/>
  <c r="G52" i="7"/>
  <c r="F52" i="7"/>
  <c r="E52" i="7"/>
  <c r="D52" i="7"/>
  <c r="C52" i="7"/>
  <c r="H51" i="7"/>
  <c r="G51" i="7"/>
  <c r="F51" i="7"/>
  <c r="E51" i="7"/>
  <c r="D51" i="7"/>
  <c r="C51" i="7"/>
  <c r="H50" i="7"/>
  <c r="G50" i="7"/>
  <c r="F50" i="7"/>
  <c r="E50" i="7"/>
  <c r="D50" i="7"/>
  <c r="C50" i="7"/>
  <c r="H49" i="7"/>
  <c r="G49" i="7"/>
  <c r="F49" i="7"/>
  <c r="E49" i="7"/>
  <c r="D49" i="7"/>
  <c r="C49" i="7"/>
  <c r="H47" i="7"/>
  <c r="G47" i="7"/>
  <c r="F47" i="7"/>
  <c r="E47" i="7"/>
  <c r="D47" i="7"/>
  <c r="C47" i="7"/>
  <c r="H45" i="7"/>
  <c r="G45" i="7"/>
  <c r="F45" i="7"/>
  <c r="E45" i="7"/>
  <c r="C45" i="7"/>
  <c r="H44" i="7"/>
  <c r="G44" i="7"/>
  <c r="F44" i="7"/>
  <c r="E44" i="7"/>
  <c r="D44" i="7"/>
  <c r="C44" i="7"/>
  <c r="H43" i="7"/>
  <c r="G43" i="7"/>
  <c r="F43" i="7"/>
  <c r="E43" i="7"/>
  <c r="D43" i="7"/>
  <c r="C43" i="7"/>
  <c r="H42" i="7"/>
  <c r="G42" i="7"/>
  <c r="F42" i="7"/>
  <c r="E42" i="7"/>
  <c r="D42" i="7"/>
  <c r="C42" i="7"/>
  <c r="H40" i="7"/>
  <c r="G40" i="7"/>
  <c r="F40" i="7"/>
  <c r="E40" i="7"/>
  <c r="D40" i="7"/>
  <c r="C40" i="7"/>
  <c r="H38" i="7"/>
  <c r="G38" i="7"/>
  <c r="F38" i="7"/>
  <c r="E38" i="7"/>
  <c r="D38" i="7"/>
  <c r="C38" i="7"/>
  <c r="H37" i="7"/>
  <c r="G37" i="7"/>
  <c r="F37" i="7"/>
  <c r="E37" i="7"/>
  <c r="D37" i="7"/>
  <c r="C37" i="7"/>
  <c r="H36" i="7"/>
  <c r="G36" i="7"/>
  <c r="F36" i="7"/>
  <c r="E36" i="7"/>
  <c r="D36" i="7"/>
  <c r="C36" i="7"/>
  <c r="H35" i="7"/>
  <c r="G35" i="7"/>
  <c r="F35" i="7"/>
  <c r="E35" i="7"/>
  <c r="D35" i="7"/>
  <c r="C35" i="7"/>
  <c r="H33" i="7"/>
  <c r="G33" i="7"/>
  <c r="F33" i="7"/>
  <c r="E33" i="7"/>
  <c r="D33" i="7"/>
  <c r="C33" i="7"/>
  <c r="H32" i="7"/>
  <c r="G32" i="7"/>
  <c r="F32" i="7"/>
  <c r="E32" i="7"/>
  <c r="D32" i="7"/>
  <c r="C32" i="7"/>
  <c r="H31" i="7"/>
  <c r="G31" i="7"/>
  <c r="F31" i="7"/>
  <c r="E31" i="7"/>
  <c r="D31" i="7"/>
  <c r="C31" i="7"/>
  <c r="H30" i="7"/>
  <c r="G30" i="7"/>
  <c r="F30" i="7"/>
  <c r="E30" i="7"/>
  <c r="D30" i="7"/>
  <c r="C30" i="7"/>
  <c r="H26" i="7"/>
  <c r="G26" i="7"/>
  <c r="F26" i="7"/>
  <c r="E26" i="7"/>
  <c r="D26" i="7"/>
  <c r="C26" i="7"/>
  <c r="H25" i="7"/>
  <c r="G25" i="7"/>
  <c r="F25" i="7"/>
  <c r="E25" i="7"/>
  <c r="D25" i="7"/>
  <c r="H24" i="7"/>
  <c r="G24" i="7"/>
  <c r="F24" i="7"/>
  <c r="E24" i="7"/>
  <c r="D24" i="7"/>
  <c r="C24" i="7"/>
  <c r="H22" i="7"/>
  <c r="G22" i="7"/>
  <c r="F22" i="7"/>
  <c r="E22" i="7"/>
  <c r="D22" i="7"/>
  <c r="C22" i="7"/>
  <c r="H20" i="7"/>
  <c r="G20" i="7"/>
  <c r="F20" i="7"/>
  <c r="E20" i="7"/>
  <c r="D20" i="7"/>
  <c r="C20" i="7"/>
  <c r="H17" i="7"/>
  <c r="G17" i="7"/>
  <c r="F17" i="7"/>
  <c r="E17" i="7"/>
  <c r="D17" i="7"/>
  <c r="C17" i="7"/>
  <c r="H14" i="7"/>
  <c r="G14" i="7"/>
  <c r="F14" i="7"/>
  <c r="E14" i="7"/>
  <c r="D14" i="7"/>
  <c r="C14" i="7"/>
  <c r="A5" i="7"/>
  <c r="B1" i="7"/>
  <c r="D43" i="34"/>
  <c r="D42" i="34"/>
  <c r="C42" i="34"/>
  <c r="D37" i="34"/>
  <c r="C37" i="34"/>
  <c r="D35" i="34"/>
  <c r="C35" i="34"/>
  <c r="C27" i="34"/>
  <c r="D25" i="34"/>
  <c r="D24" i="34"/>
  <c r="D23" i="34"/>
  <c r="D22" i="34"/>
  <c r="D21" i="34"/>
  <c r="D20" i="34"/>
  <c r="D19" i="34"/>
  <c r="D18" i="34"/>
  <c r="D17" i="34"/>
  <c r="D15" i="34"/>
  <c r="D14" i="34"/>
  <c r="E12" i="34"/>
  <c r="D12" i="34"/>
  <c r="E10" i="34"/>
  <c r="C10" i="34"/>
  <c r="E8" i="34"/>
  <c r="C8" i="34"/>
  <c r="E6" i="34"/>
  <c r="C6" i="34"/>
  <c r="D81" i="48"/>
  <c r="P55" i="48"/>
  <c r="L38" i="48"/>
  <c r="K38" i="48"/>
  <c r="L32" i="48"/>
  <c r="K32" i="48"/>
  <c r="J30" i="48"/>
  <c r="I30" i="48"/>
  <c r="L27" i="48"/>
  <c r="K27" i="48"/>
  <c r="L26" i="48"/>
  <c r="K26" i="48"/>
  <c r="L25" i="48"/>
  <c r="K25" i="48"/>
  <c r="L24" i="48"/>
  <c r="K24" i="48"/>
  <c r="L23" i="48"/>
  <c r="K23" i="48"/>
  <c r="L22" i="48"/>
  <c r="K22" i="48"/>
  <c r="L21" i="48"/>
  <c r="K21" i="48"/>
  <c r="L20" i="48"/>
  <c r="K20" i="48"/>
  <c r="L19" i="48"/>
  <c r="K19" i="48"/>
  <c r="L18" i="48"/>
  <c r="K18" i="48"/>
  <c r="J18" i="48"/>
  <c r="I18" i="48"/>
  <c r="L17" i="48"/>
  <c r="K17" i="48"/>
  <c r="L14" i="48"/>
  <c r="K14" i="48"/>
  <c r="L12" i="48"/>
  <c r="K12" i="48"/>
  <c r="D81" i="47"/>
  <c r="H43" i="47"/>
  <c r="H41" i="47"/>
  <c r="L25" i="47"/>
  <c r="K25" i="47"/>
  <c r="L14" i="47"/>
  <c r="K14" i="47"/>
  <c r="J13" i="47"/>
  <c r="K13" i="63" s="1"/>
  <c r="O13" i="63" s="1"/>
  <c r="H13" i="47"/>
  <c r="H13" i="48" s="1"/>
  <c r="H11" i="47"/>
  <c r="H11" i="48" s="1"/>
  <c r="G11" i="47"/>
  <c r="G11" i="48" s="1"/>
  <c r="H10" i="47"/>
  <c r="H10" i="48" s="1"/>
  <c r="G10" i="47"/>
  <c r="G10" i="48" s="1"/>
  <c r="H9" i="47"/>
  <c r="H9" i="48" s="1"/>
  <c r="G9" i="47"/>
  <c r="G9" i="48" s="1"/>
  <c r="H8" i="47"/>
  <c r="H8" i="48" s="1"/>
  <c r="G8" i="47"/>
  <c r="G8" i="48" s="1"/>
  <c r="H7" i="47"/>
  <c r="H7" i="48" s="1"/>
  <c r="G7" i="47"/>
  <c r="G7" i="48" s="1"/>
  <c r="F86" i="67"/>
  <c r="F77" i="67"/>
  <c r="E64" i="67"/>
  <c r="E52" i="67"/>
  <c r="F40" i="67"/>
  <c r="E40" i="67"/>
  <c r="F39" i="67"/>
  <c r="O38" i="67"/>
  <c r="H38" i="67"/>
  <c r="I37" i="67"/>
  <c r="H37" i="67"/>
  <c r="N32" i="67"/>
  <c r="G32" i="67"/>
  <c r="N29" i="67"/>
  <c r="G29" i="67"/>
  <c r="N26" i="67"/>
  <c r="M26" i="67"/>
  <c r="G26" i="67"/>
  <c r="F26" i="67"/>
  <c r="E12" i="67"/>
  <c r="D4" i="67"/>
  <c r="D144" i="35"/>
  <c r="D143" i="35"/>
  <c r="D142" i="35"/>
  <c r="D140" i="35"/>
  <c r="D138" i="35"/>
  <c r="E137" i="35"/>
  <c r="D137" i="35"/>
  <c r="C137" i="35"/>
  <c r="D136" i="35"/>
  <c r="C130" i="35"/>
  <c r="C127" i="35"/>
  <c r="E126" i="35"/>
  <c r="E125" i="35"/>
  <c r="C125" i="35"/>
  <c r="E124" i="35"/>
  <c r="E123" i="35"/>
  <c r="B123" i="35"/>
  <c r="E122" i="35"/>
  <c r="B122" i="35"/>
  <c r="E121" i="35"/>
  <c r="B121" i="35"/>
  <c r="E120" i="35"/>
  <c r="D120" i="35"/>
  <c r="B120" i="35"/>
  <c r="E119" i="35"/>
  <c r="D119" i="35"/>
  <c r="B119" i="35"/>
  <c r="E118" i="35"/>
  <c r="B118" i="35"/>
  <c r="E117" i="35"/>
  <c r="D117" i="35"/>
  <c r="B117" i="35"/>
  <c r="E116" i="35"/>
  <c r="D116" i="35"/>
  <c r="C116" i="35"/>
  <c r="B116" i="35"/>
  <c r="E115" i="35"/>
  <c r="D115" i="35"/>
  <c r="B115" i="35"/>
  <c r="D110" i="35"/>
  <c r="B110" i="35"/>
  <c r="D109" i="35"/>
  <c r="B109" i="35"/>
  <c r="D108" i="35"/>
  <c r="B108" i="35"/>
  <c r="B107" i="35"/>
  <c r="D106" i="35"/>
  <c r="B106" i="35"/>
  <c r="B105" i="35"/>
  <c r="D104" i="35"/>
  <c r="B104" i="35"/>
  <c r="E103" i="35"/>
  <c r="D103" i="35"/>
  <c r="C103" i="35"/>
  <c r="B103" i="35"/>
  <c r="D102" i="35"/>
  <c r="B102" i="35"/>
  <c r="N93" i="35"/>
  <c r="D91" i="35"/>
  <c r="D90" i="35"/>
  <c r="D89" i="35"/>
  <c r="D88" i="35"/>
  <c r="E87" i="35"/>
  <c r="D86" i="35"/>
  <c r="D84" i="35"/>
  <c r="E83" i="35"/>
  <c r="D83" i="35"/>
  <c r="C83" i="35"/>
  <c r="D82" i="35"/>
  <c r="J77" i="35"/>
  <c r="I77" i="35"/>
  <c r="M75" i="35"/>
  <c r="L75" i="35"/>
  <c r="K75" i="35"/>
  <c r="J75" i="35"/>
  <c r="I75" i="35"/>
  <c r="G75" i="35"/>
  <c r="F75" i="35"/>
  <c r="E75" i="35"/>
  <c r="D75" i="35"/>
  <c r="M71" i="35"/>
  <c r="M70" i="35"/>
  <c r="J70" i="35"/>
  <c r="I70" i="35"/>
  <c r="H70" i="35"/>
  <c r="G70" i="35"/>
  <c r="F70" i="35"/>
  <c r="E70" i="35"/>
  <c r="D70" i="35"/>
  <c r="C70" i="35"/>
  <c r="M69" i="35"/>
  <c r="M68" i="35"/>
  <c r="L68" i="35"/>
  <c r="K68" i="35"/>
  <c r="J68" i="35"/>
  <c r="I68" i="35"/>
  <c r="G68" i="35"/>
  <c r="F68" i="35"/>
  <c r="E68" i="35"/>
  <c r="D68" i="35"/>
  <c r="L64" i="35"/>
  <c r="L63" i="35"/>
  <c r="J63" i="35"/>
  <c r="I63" i="35"/>
  <c r="L62" i="35"/>
  <c r="M61" i="35"/>
  <c r="L61" i="35"/>
  <c r="K61" i="35"/>
  <c r="J61" i="35"/>
  <c r="I61" i="35"/>
  <c r="G61" i="35"/>
  <c r="F61" i="35"/>
  <c r="E61" i="35"/>
  <c r="D61" i="35"/>
  <c r="M58" i="35"/>
  <c r="L58" i="35"/>
  <c r="K58" i="35"/>
  <c r="J58" i="35"/>
  <c r="I58" i="35"/>
  <c r="G58" i="35"/>
  <c r="F58" i="35"/>
  <c r="E58" i="35"/>
  <c r="D58" i="35"/>
  <c r="C58" i="35"/>
  <c r="I57" i="35"/>
  <c r="G57" i="35"/>
  <c r="F57" i="35"/>
  <c r="E57" i="35"/>
  <c r="D57" i="35"/>
  <c r="C57" i="35"/>
  <c r="M56" i="35"/>
  <c r="L56" i="35"/>
  <c r="K56" i="35"/>
  <c r="J56" i="35"/>
  <c r="I56" i="35"/>
  <c r="G56" i="35"/>
  <c r="F56" i="35"/>
  <c r="E56" i="35"/>
  <c r="D56" i="35"/>
  <c r="C56" i="35"/>
  <c r="H55" i="35"/>
  <c r="G55" i="35"/>
  <c r="C55" i="35"/>
  <c r="M54" i="35"/>
  <c r="L54" i="35"/>
  <c r="K54" i="35"/>
  <c r="J54" i="35"/>
  <c r="I54" i="35"/>
  <c r="G54" i="35"/>
  <c r="F54" i="35"/>
  <c r="E54" i="35"/>
  <c r="D54" i="35"/>
  <c r="M50" i="35"/>
  <c r="H49" i="35"/>
  <c r="M48" i="35"/>
  <c r="N47" i="35"/>
  <c r="M47" i="35"/>
  <c r="K47" i="35"/>
  <c r="J47" i="35"/>
  <c r="I47" i="35"/>
  <c r="N46" i="35"/>
  <c r="N45" i="35"/>
  <c r="N44" i="35"/>
  <c r="E44" i="35"/>
  <c r="N43" i="35"/>
  <c r="N42" i="35"/>
  <c r="N41" i="35"/>
  <c r="M39" i="35"/>
  <c r="D39" i="35"/>
  <c r="C39" i="35"/>
  <c r="M37" i="35"/>
  <c r="K37" i="35"/>
  <c r="H37" i="35"/>
  <c r="G37" i="35"/>
  <c r="F37" i="35"/>
  <c r="E37" i="35"/>
  <c r="D37" i="35"/>
  <c r="C37" i="35"/>
  <c r="M36" i="35"/>
  <c r="I36" i="35"/>
  <c r="H36" i="35"/>
  <c r="G36" i="35"/>
  <c r="F36" i="35"/>
  <c r="E36" i="35"/>
  <c r="D36" i="35"/>
  <c r="C36" i="35"/>
  <c r="N35" i="35"/>
  <c r="M35" i="35"/>
  <c r="K35" i="35"/>
  <c r="J35" i="35"/>
  <c r="I35" i="35"/>
  <c r="D35" i="35"/>
  <c r="C35" i="35"/>
  <c r="N33" i="35"/>
  <c r="M33" i="35"/>
  <c r="K33" i="35"/>
  <c r="J33" i="35"/>
  <c r="I33" i="35"/>
  <c r="D33" i="35"/>
  <c r="C33" i="35"/>
  <c r="O31" i="35"/>
  <c r="N31" i="35"/>
  <c r="H31" i="35"/>
  <c r="O30" i="35"/>
  <c r="N30" i="35"/>
  <c r="H30" i="35"/>
  <c r="N29" i="35"/>
  <c r="M27" i="35"/>
  <c r="E27" i="35"/>
  <c r="D27" i="35"/>
  <c r="C27" i="35"/>
  <c r="J25" i="35"/>
  <c r="J37" i="35" s="1"/>
  <c r="H25" i="35"/>
  <c r="H24" i="35"/>
  <c r="G24" i="35"/>
  <c r="E24" i="35"/>
  <c r="N23" i="35"/>
  <c r="P21" i="35"/>
  <c r="N21" i="35"/>
  <c r="M21" i="35"/>
  <c r="J21" i="35"/>
  <c r="I21" i="35"/>
  <c r="E21" i="35"/>
  <c r="D21" i="35"/>
  <c r="C21" i="35"/>
  <c r="O19" i="35"/>
  <c r="N19" i="35"/>
  <c r="H19" i="35"/>
  <c r="O18" i="35"/>
  <c r="N18" i="35"/>
  <c r="H18" i="35"/>
  <c r="N17" i="35"/>
  <c r="E17" i="35"/>
  <c r="N15" i="35"/>
  <c r="M15" i="35"/>
  <c r="J15" i="35"/>
  <c r="I15" i="35"/>
  <c r="D15" i="35"/>
  <c r="C15" i="35"/>
  <c r="O13" i="35"/>
  <c r="N13" i="35"/>
  <c r="H13" i="35"/>
  <c r="O12" i="35"/>
  <c r="N12" i="35"/>
  <c r="H12" i="35"/>
  <c r="N11" i="35"/>
  <c r="M7" i="35"/>
  <c r="L7" i="35"/>
  <c r="K7" i="35"/>
  <c r="J7" i="35"/>
  <c r="I7" i="35"/>
  <c r="G7" i="35"/>
  <c r="F7" i="35"/>
  <c r="E7" i="35"/>
  <c r="D7" i="35"/>
  <c r="M166" i="52"/>
  <c r="M165" i="52"/>
  <c r="M160" i="52"/>
  <c r="H160" i="52"/>
  <c r="E159" i="52"/>
  <c r="B151" i="52"/>
  <c r="C149" i="52"/>
  <c r="E148" i="52"/>
  <c r="F119" i="52"/>
  <c r="H94" i="52"/>
  <c r="G94" i="52"/>
  <c r="D94" i="52"/>
  <c r="E178" i="15"/>
  <c r="C169" i="15"/>
  <c r="E168" i="15"/>
  <c r="F103" i="58" s="1"/>
  <c r="C168" i="15"/>
  <c r="H163" i="15"/>
  <c r="G163" i="15"/>
  <c r="D163" i="15"/>
  <c r="H162" i="15"/>
  <c r="G162" i="15"/>
  <c r="D162" i="15"/>
  <c r="E161" i="15"/>
  <c r="D161" i="15"/>
  <c r="C161" i="15"/>
  <c r="G160" i="15"/>
  <c r="N42" i="47" s="1"/>
  <c r="N42" i="48" s="1"/>
  <c r="D160" i="15"/>
  <c r="C44" i="35" s="1"/>
  <c r="C160" i="15"/>
  <c r="E142" i="15"/>
  <c r="F142" i="15" s="1"/>
  <c r="C142" i="15"/>
  <c r="C141" i="15"/>
  <c r="C139" i="15"/>
  <c r="F134" i="15"/>
  <c r="E134" i="15"/>
  <c r="F131" i="15"/>
  <c r="E131" i="15"/>
  <c r="F128" i="15"/>
  <c r="E128" i="15"/>
  <c r="F125" i="15"/>
  <c r="E125" i="15"/>
  <c r="F123" i="15"/>
  <c r="E123" i="15"/>
  <c r="C110" i="15"/>
  <c r="E109" i="15"/>
  <c r="D109" i="15"/>
  <c r="E15" i="46" s="1"/>
  <c r="C109" i="15"/>
  <c r="D15" i="46" s="1"/>
  <c r="O15" i="46" s="1"/>
  <c r="E106" i="15"/>
  <c r="C106" i="15"/>
  <c r="H29" i="47" s="1"/>
  <c r="H105" i="15"/>
  <c r="G105" i="15"/>
  <c r="G106" i="15" s="1"/>
  <c r="N29" i="47" s="1"/>
  <c r="N29" i="48" s="1"/>
  <c r="F105" i="15"/>
  <c r="E105" i="15"/>
  <c r="D105" i="15"/>
  <c r="C105" i="15"/>
  <c r="H104" i="15"/>
  <c r="G104" i="15"/>
  <c r="F104" i="15"/>
  <c r="E104" i="15"/>
  <c r="D104" i="15"/>
  <c r="E13" i="46" s="1"/>
  <c r="C104" i="15"/>
  <c r="D13" i="46" s="1"/>
  <c r="H102" i="15"/>
  <c r="G102" i="15"/>
  <c r="F102" i="15"/>
  <c r="F106" i="15" s="1"/>
  <c r="E102" i="15"/>
  <c r="D102" i="15"/>
  <c r="C102" i="15"/>
  <c r="H98" i="15"/>
  <c r="G98" i="15"/>
  <c r="D98" i="15"/>
  <c r="C97" i="15"/>
  <c r="H95" i="15"/>
  <c r="G95" i="15"/>
  <c r="F95" i="15"/>
  <c r="E95" i="15"/>
  <c r="D95" i="15"/>
  <c r="G23" i="35" s="1"/>
  <c r="G27" i="35" s="1"/>
  <c r="C95" i="15"/>
  <c r="H92" i="15"/>
  <c r="M27" i="47" s="1"/>
  <c r="M27" i="48" s="1"/>
  <c r="G92" i="15"/>
  <c r="N27" i="47" s="1"/>
  <c r="N27" i="48" s="1"/>
  <c r="E92" i="15"/>
  <c r="D92" i="15"/>
  <c r="G27" i="47" s="1"/>
  <c r="H89" i="15"/>
  <c r="G89" i="15"/>
  <c r="F89" i="15"/>
  <c r="F92" i="15" s="1"/>
  <c r="E89" i="15"/>
  <c r="D89" i="15"/>
  <c r="C89" i="15"/>
  <c r="C92" i="15" s="1"/>
  <c r="H87" i="15"/>
  <c r="M26" i="47" s="1"/>
  <c r="E87" i="15"/>
  <c r="D87" i="15"/>
  <c r="G26" i="47" s="1"/>
  <c r="L84" i="15"/>
  <c r="K84" i="15"/>
  <c r="J84" i="15"/>
  <c r="I84" i="15"/>
  <c r="H84" i="15"/>
  <c r="G84" i="15"/>
  <c r="G87" i="15" s="1"/>
  <c r="N26" i="47" s="1"/>
  <c r="F84" i="15"/>
  <c r="F87" i="15" s="1"/>
  <c r="E84" i="15"/>
  <c r="D84" i="15"/>
  <c r="F17" i="35" s="1"/>
  <c r="F21" i="35" s="1"/>
  <c r="C84" i="15"/>
  <c r="H82" i="15"/>
  <c r="M20" i="47" s="1"/>
  <c r="M20" i="48" s="1"/>
  <c r="G82" i="15"/>
  <c r="D82" i="15"/>
  <c r="G20" i="47" s="1"/>
  <c r="G20" i="48" s="1"/>
  <c r="C82" i="15"/>
  <c r="H79" i="15"/>
  <c r="G79" i="15"/>
  <c r="F79" i="15"/>
  <c r="F82" i="15" s="1"/>
  <c r="E79" i="15"/>
  <c r="E82" i="15" s="1"/>
  <c r="D79" i="15"/>
  <c r="F11" i="35" s="1"/>
  <c r="F15" i="35" s="1"/>
  <c r="C79" i="15"/>
  <c r="E75" i="15"/>
  <c r="F75" i="15" s="1"/>
  <c r="D75" i="15"/>
  <c r="E73" i="15"/>
  <c r="D69" i="15"/>
  <c r="C68" i="15"/>
  <c r="G66" i="15"/>
  <c r="E66" i="15"/>
  <c r="F66" i="15" s="1"/>
  <c r="D66" i="15"/>
  <c r="H66" i="15" s="1"/>
  <c r="D65" i="15"/>
  <c r="C65" i="15"/>
  <c r="D64" i="15"/>
  <c r="D61" i="15"/>
  <c r="C61" i="15"/>
  <c r="E61" i="15" s="1"/>
  <c r="F61" i="15" s="1"/>
  <c r="E60" i="15"/>
  <c r="E59" i="15" s="1"/>
  <c r="D60" i="15"/>
  <c r="G41" i="47" s="1"/>
  <c r="C60" i="15"/>
  <c r="C7" i="33" s="1"/>
  <c r="C59" i="15"/>
  <c r="H184" i="15" s="1"/>
  <c r="E58" i="15"/>
  <c r="G58" i="15" s="1"/>
  <c r="D58" i="15"/>
  <c r="G57" i="15"/>
  <c r="H57" i="15" s="1"/>
  <c r="E57" i="15"/>
  <c r="D57" i="15"/>
  <c r="D56" i="15"/>
  <c r="G13" i="47" s="1"/>
  <c r="C56" i="15"/>
  <c r="E55" i="15"/>
  <c r="D55" i="15"/>
  <c r="F54" i="15"/>
  <c r="F52" i="15" s="1"/>
  <c r="E54" i="15"/>
  <c r="D54" i="15"/>
  <c r="H54" i="15" s="1"/>
  <c r="C54" i="15"/>
  <c r="E53" i="15"/>
  <c r="G53" i="15" s="1"/>
  <c r="H53" i="15" s="1"/>
  <c r="D53" i="15"/>
  <c r="C52" i="15"/>
  <c r="E52" i="15" s="1"/>
  <c r="E51" i="15"/>
  <c r="D51" i="15"/>
  <c r="E48" i="15"/>
  <c r="D48" i="15"/>
  <c r="H45" i="15"/>
  <c r="G45" i="15"/>
  <c r="D45" i="15"/>
  <c r="D44" i="15"/>
  <c r="H43" i="15"/>
  <c r="G43" i="15"/>
  <c r="D43" i="15"/>
  <c r="G41" i="15"/>
  <c r="H41" i="15" s="1"/>
  <c r="E41" i="15"/>
  <c r="D41" i="15"/>
  <c r="G40" i="15"/>
  <c r="N10" i="47" s="1"/>
  <c r="N10" i="48" s="1"/>
  <c r="E40" i="15"/>
  <c r="D40" i="15"/>
  <c r="G38" i="15"/>
  <c r="E38" i="15"/>
  <c r="D38" i="15"/>
  <c r="G37" i="15"/>
  <c r="H37" i="15" s="1"/>
  <c r="E37" i="15"/>
  <c r="D37" i="15"/>
  <c r="G36" i="15"/>
  <c r="E36" i="15"/>
  <c r="D36" i="15"/>
  <c r="G35" i="15"/>
  <c r="E35" i="15"/>
  <c r="D35" i="15"/>
  <c r="C35" i="15"/>
  <c r="E34" i="15"/>
  <c r="G34" i="15" s="1"/>
  <c r="D34" i="15"/>
  <c r="E33" i="15"/>
  <c r="D33" i="15"/>
  <c r="D32" i="15"/>
  <c r="C32" i="15"/>
  <c r="E30" i="15"/>
  <c r="C30" i="15"/>
  <c r="H19" i="47" s="1"/>
  <c r="H19" i="48" s="1"/>
  <c r="H29" i="15"/>
  <c r="G29" i="15"/>
  <c r="D29" i="15"/>
  <c r="H28" i="15"/>
  <c r="G28" i="15"/>
  <c r="F28" i="15"/>
  <c r="E28" i="15"/>
  <c r="D28" i="15"/>
  <c r="C28" i="15"/>
  <c r="F27" i="15"/>
  <c r="F30" i="15" s="1"/>
  <c r="E27" i="15"/>
  <c r="D27" i="15"/>
  <c r="H27" i="15" s="1"/>
  <c r="H30" i="15" s="1"/>
  <c r="M19" i="47" s="1"/>
  <c r="M19" i="48" s="1"/>
  <c r="C27" i="15"/>
  <c r="E24" i="15"/>
  <c r="E22" i="15" s="1"/>
  <c r="C24" i="15"/>
  <c r="D24" i="15" s="1"/>
  <c r="G23" i="15"/>
  <c r="H23" i="15" s="1"/>
  <c r="E23" i="15"/>
  <c r="D23" i="15"/>
  <c r="C23" i="15"/>
  <c r="C22" i="15"/>
  <c r="D21" i="15"/>
  <c r="C21" i="15"/>
  <c r="E21" i="15" s="1"/>
  <c r="F20" i="15"/>
  <c r="F19" i="15" s="1"/>
  <c r="F25" i="15" s="1"/>
  <c r="E20" i="15"/>
  <c r="E19" i="15" s="1"/>
  <c r="D20" i="15"/>
  <c r="C20" i="15"/>
  <c r="D19" i="15"/>
  <c r="G17" i="47" s="1"/>
  <c r="C19" i="15"/>
  <c r="H17" i="47" s="1"/>
  <c r="E18" i="15"/>
  <c r="E16" i="15" s="1"/>
  <c r="C18" i="15"/>
  <c r="G17" i="15"/>
  <c r="E17" i="15"/>
  <c r="D17" i="15"/>
  <c r="C17" i="15"/>
  <c r="C16" i="15"/>
  <c r="D15" i="15"/>
  <c r="C15" i="15"/>
  <c r="E15" i="15" s="1"/>
  <c r="E14" i="15"/>
  <c r="C14" i="15"/>
  <c r="G14" i="15" s="1"/>
  <c r="C67" i="50"/>
  <c r="C65" i="50"/>
  <c r="C59" i="50"/>
  <c r="C47" i="50"/>
  <c r="M20" i="50"/>
  <c r="L20" i="50"/>
  <c r="K20" i="50"/>
  <c r="J20" i="50"/>
  <c r="M19" i="50"/>
  <c r="L19" i="50"/>
  <c r="K19" i="50"/>
  <c r="J19" i="50"/>
  <c r="I19" i="50"/>
  <c r="H19" i="50"/>
  <c r="G19" i="50"/>
  <c r="H17" i="50"/>
  <c r="G17" i="50"/>
  <c r="F17" i="50"/>
  <c r="N26" i="48" l="1"/>
  <c r="E13" i="15"/>
  <c r="E25" i="15" s="1"/>
  <c r="G21" i="15"/>
  <c r="D22" i="15"/>
  <c r="M11" i="47"/>
  <c r="M11" i="48" s="1"/>
  <c r="H52" i="15"/>
  <c r="H27" i="47"/>
  <c r="C146" i="15"/>
  <c r="C149" i="15"/>
  <c r="H14" i="15"/>
  <c r="G16" i="15"/>
  <c r="N16" i="47" s="1"/>
  <c r="N8" i="47"/>
  <c r="N8" i="48" s="1"/>
  <c r="H34" i="15"/>
  <c r="G15" i="15"/>
  <c r="G17" i="48"/>
  <c r="I17" i="47"/>
  <c r="G56" i="15"/>
  <c r="N13" i="47" s="1"/>
  <c r="N13" i="48" s="1"/>
  <c r="E7" i="46"/>
  <c r="G44" i="47"/>
  <c r="D14" i="46"/>
  <c r="C93" i="52"/>
  <c r="D97" i="15"/>
  <c r="P67" i="35"/>
  <c r="C13" i="15"/>
  <c r="H15" i="47" s="1"/>
  <c r="C120" i="15"/>
  <c r="C47" i="15"/>
  <c r="H17" i="15"/>
  <c r="G18" i="15"/>
  <c r="G20" i="15"/>
  <c r="G19" i="15" s="1"/>
  <c r="N17" i="47" s="1"/>
  <c r="N17" i="48" s="1"/>
  <c r="G24" i="15"/>
  <c r="H24" i="15" s="1"/>
  <c r="H22" i="15" s="1"/>
  <c r="G27" i="15"/>
  <c r="G30" i="15" s="1"/>
  <c r="N19" i="47" s="1"/>
  <c r="N19" i="48" s="1"/>
  <c r="D30" i="15"/>
  <c r="G19" i="47" s="1"/>
  <c r="G33" i="15"/>
  <c r="H40" i="15"/>
  <c r="D52" i="15"/>
  <c r="F60" i="15"/>
  <c r="G75" i="15"/>
  <c r="E97" i="15"/>
  <c r="F97" i="15" s="1"/>
  <c r="F100" i="15" s="1"/>
  <c r="F111" i="15" s="1"/>
  <c r="D16" i="46"/>
  <c r="O16" i="46" s="1"/>
  <c r="L29" i="47"/>
  <c r="J29" i="47" s="1"/>
  <c r="C101" i="52"/>
  <c r="H30" i="63"/>
  <c r="H30" i="47"/>
  <c r="C121" i="15"/>
  <c r="G161" i="15"/>
  <c r="N43" i="47" s="1"/>
  <c r="N43" i="48" s="1"/>
  <c r="F161" i="15"/>
  <c r="E72" i="15"/>
  <c r="E69" i="15"/>
  <c r="E56" i="15"/>
  <c r="M56" i="15" s="1"/>
  <c r="E44" i="15"/>
  <c r="H16" i="63"/>
  <c r="H16" i="47"/>
  <c r="E139" i="15"/>
  <c r="F139" i="15" s="1"/>
  <c r="D139" i="15"/>
  <c r="H20" i="15"/>
  <c r="N9" i="47"/>
  <c r="N9" i="48" s="1"/>
  <c r="G48" i="15"/>
  <c r="G51" i="15"/>
  <c r="G13" i="48"/>
  <c r="I13" i="47"/>
  <c r="J13" i="63" s="1"/>
  <c r="D59" i="15"/>
  <c r="H61" i="15"/>
  <c r="M44" i="47" s="1"/>
  <c r="M44" i="48" s="1"/>
  <c r="D68" i="15"/>
  <c r="N20" i="47"/>
  <c r="N20" i="48" s="1"/>
  <c r="C87" i="15"/>
  <c r="H26" i="47" s="1"/>
  <c r="C100" i="15"/>
  <c r="H28" i="47" s="1"/>
  <c r="G97" i="15"/>
  <c r="G100" i="15" s="1"/>
  <c r="D106" i="15"/>
  <c r="G29" i="47" s="1"/>
  <c r="H106" i="15"/>
  <c r="M29" i="47" s="1"/>
  <c r="M29" i="48" s="1"/>
  <c r="J19" i="47"/>
  <c r="L28" i="47"/>
  <c r="J41" i="47"/>
  <c r="J41" i="48" s="1"/>
  <c r="H41" i="48"/>
  <c r="H18" i="63"/>
  <c r="H18" i="47"/>
  <c r="H18" i="48" s="1"/>
  <c r="E32" i="15"/>
  <c r="E100" i="15"/>
  <c r="E110" i="15"/>
  <c r="E111" i="15" s="1"/>
  <c r="F109" i="15"/>
  <c r="F110" i="15" s="1"/>
  <c r="C117" i="15"/>
  <c r="D14" i="15"/>
  <c r="D18" i="15"/>
  <c r="H17" i="48"/>
  <c r="J17" i="47"/>
  <c r="G22" i="15"/>
  <c r="C25" i="15"/>
  <c r="H35" i="15"/>
  <c r="H36" i="15"/>
  <c r="H38" i="15"/>
  <c r="G55" i="15"/>
  <c r="F58" i="15"/>
  <c r="K41" i="47"/>
  <c r="K41" i="48" s="1"/>
  <c r="G41" i="48"/>
  <c r="I41" i="47"/>
  <c r="C67" i="15"/>
  <c r="E67" i="15" s="1"/>
  <c r="E68" i="15"/>
  <c r="H75" i="15"/>
  <c r="H20" i="47"/>
  <c r="H29" i="48"/>
  <c r="C116" i="15"/>
  <c r="C135" i="15"/>
  <c r="C11" i="33"/>
  <c r="H34" i="47"/>
  <c r="E141" i="15"/>
  <c r="C140" i="15"/>
  <c r="D141" i="15"/>
  <c r="N11" i="47"/>
  <c r="N11" i="48" s="1"/>
  <c r="G54" i="15"/>
  <c r="G52" i="15" s="1"/>
  <c r="G60" i="15"/>
  <c r="C64" i="15"/>
  <c r="E65" i="15"/>
  <c r="F65" i="15" s="1"/>
  <c r="I104" i="15"/>
  <c r="D110" i="15"/>
  <c r="H160" i="15"/>
  <c r="M42" i="47" s="1"/>
  <c r="M42" i="48" s="1"/>
  <c r="C105" i="52"/>
  <c r="G17" i="35"/>
  <c r="G21" i="35" s="1"/>
  <c r="F23" i="35"/>
  <c r="G44" i="35"/>
  <c r="I20" i="47"/>
  <c r="G109" i="15"/>
  <c r="G110" i="15" s="1"/>
  <c r="N30" i="47" s="1"/>
  <c r="N30" i="48" s="1"/>
  <c r="C12" i="33"/>
  <c r="H35" i="47"/>
  <c r="G142" i="15"/>
  <c r="N35" i="47" s="1"/>
  <c r="N35" i="48" s="1"/>
  <c r="D32" i="46"/>
  <c r="H42" i="47"/>
  <c r="C103" i="58"/>
  <c r="C63" i="59"/>
  <c r="C56" i="14"/>
  <c r="C60" i="65"/>
  <c r="C52" i="55"/>
  <c r="C77" i="7"/>
  <c r="C104" i="56"/>
  <c r="C38" i="49"/>
  <c r="D7" i="46"/>
  <c r="H44" i="47"/>
  <c r="G61" i="15"/>
  <c r="N44" i="47" s="1"/>
  <c r="N44" i="48" s="1"/>
  <c r="G26" i="48"/>
  <c r="I26" i="47"/>
  <c r="M26" i="48"/>
  <c r="G27" i="48"/>
  <c r="I27" i="47"/>
  <c r="D17" i="46"/>
  <c r="E16" i="46"/>
  <c r="P16" i="46" s="1"/>
  <c r="I25" i="35"/>
  <c r="K29" i="47"/>
  <c r="H109" i="15"/>
  <c r="H110" i="15" s="1"/>
  <c r="M30" i="47" s="1"/>
  <c r="M30" i="48" s="1"/>
  <c r="D142" i="15"/>
  <c r="G42" i="47"/>
  <c r="F44" i="35"/>
  <c r="E32" i="46"/>
  <c r="E34" i="46"/>
  <c r="G43" i="47"/>
  <c r="H161" i="15"/>
  <c r="M43" i="47" s="1"/>
  <c r="M43" i="48" s="1"/>
  <c r="E77" i="7"/>
  <c r="E38" i="49"/>
  <c r="F52" i="55"/>
  <c r="F104" i="56"/>
  <c r="F63" i="59"/>
  <c r="F60" i="65"/>
  <c r="E56" i="14"/>
  <c r="D44" i="35"/>
  <c r="Y13" i="63"/>
  <c r="AD13" i="63" s="1"/>
  <c r="Q13" i="63"/>
  <c r="J43" i="47"/>
  <c r="J43" i="48" s="1"/>
  <c r="H43" i="48"/>
  <c r="E21" i="64"/>
  <c r="H44" i="35" l="1"/>
  <c r="M18" i="47"/>
  <c r="M18" i="48" s="1"/>
  <c r="C22" i="34"/>
  <c r="E22" i="34" s="1"/>
  <c r="O44" i="35"/>
  <c r="J29" i="48"/>
  <c r="N28" i="47"/>
  <c r="G111" i="15"/>
  <c r="AG13" i="63"/>
  <c r="AF13" i="63"/>
  <c r="I43" i="47"/>
  <c r="K43" i="47" s="1"/>
  <c r="K43" i="48" s="1"/>
  <c r="G43" i="48"/>
  <c r="G42" i="48"/>
  <c r="I42" i="47"/>
  <c r="K42" i="47" s="1"/>
  <c r="K42" i="48" s="1"/>
  <c r="E7" i="64"/>
  <c r="H65" i="15"/>
  <c r="H64" i="15" s="1"/>
  <c r="F64" i="15"/>
  <c r="F141" i="15"/>
  <c r="F140" i="15" s="1"/>
  <c r="E140" i="15"/>
  <c r="G141" i="15"/>
  <c r="G135" i="15"/>
  <c r="D135" i="15"/>
  <c r="F68" i="15"/>
  <c r="G68" i="15"/>
  <c r="N18" i="47"/>
  <c r="N18" i="48" s="1"/>
  <c r="G25" i="15"/>
  <c r="D117" i="15"/>
  <c r="G117" i="15"/>
  <c r="C136" i="15"/>
  <c r="E117" i="15"/>
  <c r="F117" i="15" s="1"/>
  <c r="AB16" i="63"/>
  <c r="AA16" i="63"/>
  <c r="H30" i="48"/>
  <c r="L30" i="47"/>
  <c r="L30" i="48" s="1"/>
  <c r="H21" i="64"/>
  <c r="G35" i="47"/>
  <c r="H142" i="15"/>
  <c r="M35" i="47" s="1"/>
  <c r="M35" i="48" s="1"/>
  <c r="K29" i="48"/>
  <c r="E8" i="64"/>
  <c r="D39" i="46"/>
  <c r="G65" i="15"/>
  <c r="G64" i="15" s="1"/>
  <c r="I20" i="48"/>
  <c r="C106" i="52"/>
  <c r="E105" i="52"/>
  <c r="E106" i="52" s="1"/>
  <c r="D105" i="52"/>
  <c r="G105" i="52"/>
  <c r="G106" i="52" s="1"/>
  <c r="E64" i="15"/>
  <c r="C63" i="15"/>
  <c r="H34" i="48"/>
  <c r="J34" i="47"/>
  <c r="L34" i="47" s="1"/>
  <c r="H36" i="47"/>
  <c r="E116" i="15"/>
  <c r="C115" i="15"/>
  <c r="D116" i="15"/>
  <c r="C111" i="15"/>
  <c r="F56" i="15"/>
  <c r="H58" i="15"/>
  <c r="H56" i="15" s="1"/>
  <c r="M13" i="47" s="1"/>
  <c r="M13" i="48" s="1"/>
  <c r="C127" i="15"/>
  <c r="L41" i="47"/>
  <c r="H28" i="48"/>
  <c r="J28" i="47"/>
  <c r="H51" i="15"/>
  <c r="H17" i="35"/>
  <c r="G69" i="15"/>
  <c r="F69" i="15"/>
  <c r="H69" i="15" s="1"/>
  <c r="O30" i="63"/>
  <c r="AB30" i="63" s="1"/>
  <c r="F59" i="15"/>
  <c r="H60" i="15"/>
  <c r="I19" i="47"/>
  <c r="G19" i="48"/>
  <c r="H18" i="15"/>
  <c r="C71" i="15"/>
  <c r="C132" i="15"/>
  <c r="E14" i="46"/>
  <c r="E17" i="46" s="1"/>
  <c r="K24" i="35"/>
  <c r="K28" i="47"/>
  <c r="H97" i="15"/>
  <c r="H100" i="15" s="1"/>
  <c r="J24" i="35"/>
  <c r="D100" i="15"/>
  <c r="H7" i="64"/>
  <c r="H27" i="48"/>
  <c r="J27" i="47"/>
  <c r="F21" i="64"/>
  <c r="G21" i="64"/>
  <c r="L43" i="47"/>
  <c r="H19" i="64"/>
  <c r="I37" i="35"/>
  <c r="N25" i="35"/>
  <c r="O25" i="35" s="1"/>
  <c r="I27" i="35"/>
  <c r="I27" i="48"/>
  <c r="I26" i="48"/>
  <c r="H42" i="48"/>
  <c r="J42" i="47"/>
  <c r="L42" i="47" s="1"/>
  <c r="L42" i="48" s="1"/>
  <c r="J35" i="47"/>
  <c r="H35" i="48"/>
  <c r="L35" i="47"/>
  <c r="I30" i="63"/>
  <c r="G30" i="63"/>
  <c r="G30" i="47"/>
  <c r="N41" i="47"/>
  <c r="N41" i="48" s="1"/>
  <c r="G59" i="15"/>
  <c r="G34" i="47"/>
  <c r="D140" i="15"/>
  <c r="H141" i="15"/>
  <c r="H20" i="48"/>
  <c r="J20" i="47"/>
  <c r="I41" i="48"/>
  <c r="H55" i="15"/>
  <c r="J17" i="48"/>
  <c r="C133" i="15"/>
  <c r="V18" i="63"/>
  <c r="W18" i="63" s="1"/>
  <c r="X18" i="63"/>
  <c r="L28" i="48"/>
  <c r="L31" i="47"/>
  <c r="G29" i="48"/>
  <c r="I29" i="47"/>
  <c r="F42" i="35"/>
  <c r="C42" i="35"/>
  <c r="H139" i="15"/>
  <c r="C129" i="15"/>
  <c r="E101" i="52"/>
  <c r="G101" i="52" s="1"/>
  <c r="D101" i="52"/>
  <c r="H16" i="15"/>
  <c r="M16" i="47" s="1"/>
  <c r="E93" i="52"/>
  <c r="G93" i="52" s="1"/>
  <c r="D93" i="52"/>
  <c r="G139" i="15"/>
  <c r="C130" i="15"/>
  <c r="C158" i="15"/>
  <c r="H44" i="48"/>
  <c r="J44" i="47"/>
  <c r="L44" i="47" s="1"/>
  <c r="E19" i="64"/>
  <c r="G19" i="64" s="1"/>
  <c r="F27" i="35"/>
  <c r="H23" i="35"/>
  <c r="C10" i="33"/>
  <c r="C14" i="33" s="1"/>
  <c r="M9" i="47"/>
  <c r="M9" i="48" s="1"/>
  <c r="D13" i="15"/>
  <c r="G15" i="47" s="1"/>
  <c r="G32" i="15"/>
  <c r="J19" i="48"/>
  <c r="H26" i="48"/>
  <c r="H31" i="48" s="1"/>
  <c r="H31" i="47"/>
  <c r="J26" i="47"/>
  <c r="D67" i="15"/>
  <c r="D63" i="15" s="1"/>
  <c r="H68" i="15"/>
  <c r="H67" i="15" s="1"/>
  <c r="H48" i="15"/>
  <c r="H16" i="48"/>
  <c r="G44" i="15"/>
  <c r="E121" i="15"/>
  <c r="F121" i="15" s="1"/>
  <c r="D121" i="15"/>
  <c r="H121" i="15" s="1"/>
  <c r="L29" i="48"/>
  <c r="E47" i="15"/>
  <c r="C46" i="15"/>
  <c r="D47" i="15"/>
  <c r="D120" i="15"/>
  <c r="G120" i="15"/>
  <c r="C119" i="15"/>
  <c r="E120" i="15"/>
  <c r="N16" i="48"/>
  <c r="E149" i="15"/>
  <c r="C148" i="15"/>
  <c r="H24" i="47" s="1"/>
  <c r="D149" i="15"/>
  <c r="G149" i="15"/>
  <c r="G148" i="15" s="1"/>
  <c r="N24" i="47" s="1"/>
  <c r="N24" i="48" s="1"/>
  <c r="G18" i="47"/>
  <c r="G18" i="48" s="1"/>
  <c r="G18" i="63"/>
  <c r="M10" i="47"/>
  <c r="M10" i="48" s="1"/>
  <c r="N7" i="47"/>
  <c r="H33" i="15"/>
  <c r="C50" i="15"/>
  <c r="C126" i="15"/>
  <c r="O14" i="46"/>
  <c r="S17" i="46" s="1"/>
  <c r="H17" i="46"/>
  <c r="G44" i="48"/>
  <c r="I44" i="47"/>
  <c r="I17" i="48"/>
  <c r="H15" i="15"/>
  <c r="M8" i="47"/>
  <c r="M8" i="48" s="1"/>
  <c r="D16" i="15"/>
  <c r="G13" i="15"/>
  <c r="N15" i="47" s="1"/>
  <c r="E146" i="15"/>
  <c r="C145" i="15"/>
  <c r="D146" i="15"/>
  <c r="H21" i="15"/>
  <c r="AA30" i="63" l="1"/>
  <c r="H36" i="48"/>
  <c r="L44" i="48"/>
  <c r="H23" i="47"/>
  <c r="C151" i="15"/>
  <c r="G16" i="63"/>
  <c r="G16" i="47"/>
  <c r="I44" i="48"/>
  <c r="N7" i="48"/>
  <c r="D25" i="15"/>
  <c r="F146" i="15"/>
  <c r="F145" i="15" s="1"/>
  <c r="E145" i="15"/>
  <c r="K44" i="47"/>
  <c r="K44" i="48" s="1"/>
  <c r="D148" i="15"/>
  <c r="G24" i="47" s="1"/>
  <c r="G146" i="15"/>
  <c r="G145" i="15" s="1"/>
  <c r="E50" i="15"/>
  <c r="F50" i="15" s="1"/>
  <c r="F49" i="15" s="1"/>
  <c r="D50" i="15"/>
  <c r="C49" i="15"/>
  <c r="E49" i="15" s="1"/>
  <c r="H24" i="48"/>
  <c r="J24" i="47"/>
  <c r="E46" i="15"/>
  <c r="E42" i="15" s="1"/>
  <c r="F47" i="15"/>
  <c r="F46" i="15" s="1"/>
  <c r="G37" i="47"/>
  <c r="M16" i="48"/>
  <c r="D42" i="35"/>
  <c r="L31" i="48"/>
  <c r="D133" i="15"/>
  <c r="H133" i="15" s="1"/>
  <c r="G133" i="15"/>
  <c r="F45" i="35"/>
  <c r="G45" i="35"/>
  <c r="E45" i="35"/>
  <c r="D45" i="35"/>
  <c r="C45" i="35"/>
  <c r="C47" i="35" s="1"/>
  <c r="C48" i="35" s="1"/>
  <c r="G30" i="48"/>
  <c r="K30" i="47"/>
  <c r="K30" i="48" s="1"/>
  <c r="I39" i="35"/>
  <c r="I48" i="35" s="1"/>
  <c r="N37" i="35"/>
  <c r="O37" i="35" s="1"/>
  <c r="K28" i="48"/>
  <c r="K31" i="47"/>
  <c r="E71" i="15"/>
  <c r="F71" i="15" s="1"/>
  <c r="F70" i="15" s="1"/>
  <c r="C70" i="15"/>
  <c r="C62" i="15" s="1"/>
  <c r="G71" i="15"/>
  <c r="G70" i="15" s="1"/>
  <c r="N38" i="47" s="1"/>
  <c r="D71" i="15"/>
  <c r="I19" i="48"/>
  <c r="AE30" i="63"/>
  <c r="H21" i="35"/>
  <c r="O17" i="35"/>
  <c r="O21" i="35" s="1"/>
  <c r="D115" i="15"/>
  <c r="H116" i="15"/>
  <c r="H115" i="15" s="1"/>
  <c r="E11" i="35"/>
  <c r="G11" i="35"/>
  <c r="H37" i="47"/>
  <c r="E63" i="15"/>
  <c r="G63" i="15"/>
  <c r="G136" i="15"/>
  <c r="G134" i="15" s="1"/>
  <c r="D136" i="15"/>
  <c r="H136" i="15" s="1"/>
  <c r="G67" i="15"/>
  <c r="D145" i="15"/>
  <c r="M7" i="47"/>
  <c r="F149" i="15"/>
  <c r="F148" i="15" s="1"/>
  <c r="E148" i="15"/>
  <c r="E119" i="15"/>
  <c r="F119" i="15" s="1"/>
  <c r="F120" i="15"/>
  <c r="H120" i="15"/>
  <c r="G47" i="15"/>
  <c r="G46" i="15" s="1"/>
  <c r="G121" i="15"/>
  <c r="J26" i="48"/>
  <c r="J31" i="47"/>
  <c r="P14" i="46"/>
  <c r="F93" i="52"/>
  <c r="H93" i="52" s="1"/>
  <c r="G129" i="15"/>
  <c r="C128" i="15"/>
  <c r="D129" i="15"/>
  <c r="E42" i="35"/>
  <c r="I29" i="48"/>
  <c r="J20" i="48"/>
  <c r="G34" i="48"/>
  <c r="I34" i="47"/>
  <c r="K34" i="47" s="1"/>
  <c r="G36" i="47"/>
  <c r="J35" i="48"/>
  <c r="H13" i="15"/>
  <c r="M15" i="47" s="1"/>
  <c r="P27" i="35"/>
  <c r="G28" i="47"/>
  <c r="D111" i="15"/>
  <c r="K27" i="35"/>
  <c r="K36" i="35"/>
  <c r="K39" i="35" s="1"/>
  <c r="K48" i="35" s="1"/>
  <c r="M41" i="47"/>
  <c r="M41" i="48" s="1"/>
  <c r="H59" i="15"/>
  <c r="L41" i="48"/>
  <c r="H21" i="47"/>
  <c r="C39" i="15"/>
  <c r="C114" i="15"/>
  <c r="J34" i="48"/>
  <c r="J36" i="48" s="1"/>
  <c r="J36" i="47"/>
  <c r="AE16" i="63"/>
  <c r="F67" i="15"/>
  <c r="F63" i="15" s="1"/>
  <c r="F62" i="15" s="1"/>
  <c r="N34" i="47"/>
  <c r="G140" i="15"/>
  <c r="H63" i="15"/>
  <c r="I42" i="48"/>
  <c r="I43" i="48"/>
  <c r="AH13" i="63"/>
  <c r="D46" i="15"/>
  <c r="H47" i="15"/>
  <c r="H46" i="15" s="1"/>
  <c r="Z18" i="63"/>
  <c r="AB18" i="63"/>
  <c r="AE18" i="63" s="1"/>
  <c r="J42" i="48"/>
  <c r="J36" i="35"/>
  <c r="J27" i="35"/>
  <c r="N24" i="35"/>
  <c r="E39" i="46"/>
  <c r="H8" i="64"/>
  <c r="D127" i="15"/>
  <c r="H127" i="15" s="1"/>
  <c r="G127" i="15"/>
  <c r="E185" i="15"/>
  <c r="E183" i="15"/>
  <c r="E184" i="15"/>
  <c r="D13" i="50"/>
  <c r="F116" i="15"/>
  <c r="F115" i="15" s="1"/>
  <c r="E115" i="15"/>
  <c r="H135" i="15"/>
  <c r="D134" i="15"/>
  <c r="H22" i="47"/>
  <c r="D119" i="15"/>
  <c r="G119" i="15"/>
  <c r="N22" i="47" s="1"/>
  <c r="N22" i="48" s="1"/>
  <c r="H44" i="15"/>
  <c r="H32" i="15"/>
  <c r="D126" i="15"/>
  <c r="G126" i="15"/>
  <c r="G125" i="15" s="1"/>
  <c r="C125" i="15"/>
  <c r="C42" i="15"/>
  <c r="H27" i="35"/>
  <c r="O23" i="35"/>
  <c r="J44" i="48"/>
  <c r="G130" i="15"/>
  <c r="D130" i="15"/>
  <c r="H130" i="15" s="1"/>
  <c r="F101" i="52"/>
  <c r="H101" i="52" s="1"/>
  <c r="H19" i="15"/>
  <c r="G42" i="35"/>
  <c r="M34" i="47"/>
  <c r="H140" i="15"/>
  <c r="L35" i="48"/>
  <c r="L43" i="48"/>
  <c r="J27" i="48"/>
  <c r="M28" i="47"/>
  <c r="H111" i="15"/>
  <c r="D132" i="15"/>
  <c r="G132" i="15"/>
  <c r="C131" i="15"/>
  <c r="X30" i="63"/>
  <c r="Z30" i="63" s="1"/>
  <c r="Z31" i="63" s="1"/>
  <c r="Q30" i="63"/>
  <c r="V30" i="63"/>
  <c r="W30" i="63" s="1"/>
  <c r="Y30" i="63" s="1"/>
  <c r="J28" i="48"/>
  <c r="G116" i="15"/>
  <c r="G115" i="15" s="1"/>
  <c r="L34" i="48"/>
  <c r="L36" i="47"/>
  <c r="P15" i="46"/>
  <c r="D106" i="52"/>
  <c r="F105" i="52"/>
  <c r="F106" i="52" s="1"/>
  <c r="F8" i="64"/>
  <c r="G8" i="64" s="1"/>
  <c r="I35" i="47"/>
  <c r="K35" i="47" s="1"/>
  <c r="K35" i="48" s="1"/>
  <c r="G35" i="48"/>
  <c r="H117" i="15"/>
  <c r="C134" i="15"/>
  <c r="F7" i="64"/>
  <c r="G7" i="64" s="1"/>
  <c r="N28" i="48"/>
  <c r="N31" i="48" s="1"/>
  <c r="N31" i="47"/>
  <c r="K34" i="48" l="1"/>
  <c r="K36" i="48" s="1"/>
  <c r="K36" i="47"/>
  <c r="H185" i="15"/>
  <c r="C76" i="15"/>
  <c r="H132" i="15"/>
  <c r="H131" i="15" s="1"/>
  <c r="D131" i="15"/>
  <c r="H21" i="48"/>
  <c r="J21" i="47"/>
  <c r="H25" i="47"/>
  <c r="M17" i="47"/>
  <c r="H25" i="15"/>
  <c r="C123" i="15"/>
  <c r="G22" i="47"/>
  <c r="H119" i="15"/>
  <c r="M22" i="47" s="1"/>
  <c r="M22" i="48" s="1"/>
  <c r="E114" i="15"/>
  <c r="E158" i="15"/>
  <c r="AD18" i="63"/>
  <c r="Z25" i="63"/>
  <c r="M37" i="47"/>
  <c r="M37" i="48" s="1"/>
  <c r="I35" i="48"/>
  <c r="H105" i="52"/>
  <c r="H106" i="52" s="1"/>
  <c r="L36" i="48"/>
  <c r="M28" i="48"/>
  <c r="M31" i="48" s="1"/>
  <c r="M31" i="47"/>
  <c r="J22" i="47"/>
  <c r="H22" i="48"/>
  <c r="H134" i="15"/>
  <c r="F114" i="15"/>
  <c r="F158" i="15"/>
  <c r="H42" i="15"/>
  <c r="M12" i="47" s="1"/>
  <c r="M12" i="48" s="1"/>
  <c r="G28" i="48"/>
  <c r="G31" i="48" s="1"/>
  <c r="I28" i="47"/>
  <c r="G31" i="47"/>
  <c r="G36" i="48"/>
  <c r="H129" i="15"/>
  <c r="H128" i="15" s="1"/>
  <c r="D128" i="15"/>
  <c r="N37" i="47"/>
  <c r="N37" i="48" s="1"/>
  <c r="G62" i="15"/>
  <c r="G15" i="35"/>
  <c r="H45" i="35"/>
  <c r="F42" i="15"/>
  <c r="F76" i="15" s="1"/>
  <c r="G50" i="15"/>
  <c r="G49" i="15" s="1"/>
  <c r="G24" i="48"/>
  <c r="I24" i="47"/>
  <c r="AD30" i="63"/>
  <c r="G131" i="15"/>
  <c r="M34" i="48"/>
  <c r="M36" i="48" s="1"/>
  <c r="M36" i="47"/>
  <c r="H126" i="15"/>
  <c r="H125" i="15" s="1"/>
  <c r="D125" i="15"/>
  <c r="D123" i="15" s="1"/>
  <c r="N27" i="35"/>
  <c r="D85" i="35" s="1"/>
  <c r="O24" i="35"/>
  <c r="O27" i="35" s="1"/>
  <c r="C85" i="35" s="1"/>
  <c r="N36" i="47"/>
  <c r="N34" i="48"/>
  <c r="N36" i="48" s="1"/>
  <c r="D29" i="46"/>
  <c r="H40" i="47"/>
  <c r="E39" i="15"/>
  <c r="F39" i="15" s="1"/>
  <c r="H183" i="15"/>
  <c r="D39" i="15"/>
  <c r="K62" i="35"/>
  <c r="K69" i="35"/>
  <c r="K49" i="35"/>
  <c r="K50" i="35" s="1"/>
  <c r="H146" i="15"/>
  <c r="H145" i="15" s="1"/>
  <c r="E15" i="35"/>
  <c r="H11" i="35"/>
  <c r="H71" i="15"/>
  <c r="H70" i="15" s="1"/>
  <c r="M38" i="47" s="1"/>
  <c r="D70" i="15"/>
  <c r="I69" i="35"/>
  <c r="I62" i="35"/>
  <c r="I50" i="35"/>
  <c r="H23" i="48"/>
  <c r="J23" i="47"/>
  <c r="N21" i="47"/>
  <c r="G114" i="15"/>
  <c r="G158" i="15"/>
  <c r="G128" i="15"/>
  <c r="G123" i="15" s="1"/>
  <c r="N45" i="47" s="1"/>
  <c r="N45" i="48" s="1"/>
  <c r="M7" i="48"/>
  <c r="M14" i="47"/>
  <c r="D151" i="15"/>
  <c r="G23" i="47"/>
  <c r="M21" i="47"/>
  <c r="M21" i="48" s="1"/>
  <c r="H114" i="15"/>
  <c r="H158" i="15"/>
  <c r="N38" i="48"/>
  <c r="N39" i="47"/>
  <c r="C69" i="35"/>
  <c r="C50" i="35"/>
  <c r="D49" i="15"/>
  <c r="D42" i="15" s="1"/>
  <c r="H50" i="15"/>
  <c r="H49" i="15" s="1"/>
  <c r="G151" i="15"/>
  <c r="N23" i="47"/>
  <c r="N23" i="48" s="1"/>
  <c r="E151" i="15"/>
  <c r="G16" i="48"/>
  <c r="H12" i="47"/>
  <c r="C138" i="15"/>
  <c r="D22" i="46"/>
  <c r="N36" i="35"/>
  <c r="J39" i="35"/>
  <c r="J48" i="35" s="1"/>
  <c r="AC16" i="63"/>
  <c r="I34" i="48"/>
  <c r="I36" i="47"/>
  <c r="J31" i="48"/>
  <c r="G42" i="15"/>
  <c r="N12" i="47" s="1"/>
  <c r="H37" i="48"/>
  <c r="J37" i="47"/>
  <c r="L37" i="47"/>
  <c r="G21" i="47"/>
  <c r="G25" i="47" s="1"/>
  <c r="D114" i="15"/>
  <c r="P15" i="35" s="1"/>
  <c r="D158" i="15"/>
  <c r="C16" i="33"/>
  <c r="D6" i="46"/>
  <c r="E70" i="15"/>
  <c r="E62" i="15" s="1"/>
  <c r="E76" i="15" s="1"/>
  <c r="H38" i="47"/>
  <c r="K31" i="48"/>
  <c r="H42" i="35"/>
  <c r="G37" i="48"/>
  <c r="I37" i="47"/>
  <c r="K37" i="47"/>
  <c r="J24" i="48"/>
  <c r="H149" i="15"/>
  <c r="H148" i="15" s="1"/>
  <c r="M24" i="47" s="1"/>
  <c r="M24" i="48" s="1"/>
  <c r="F151" i="15"/>
  <c r="H25" i="48" l="1"/>
  <c r="N39" i="48"/>
  <c r="G12" i="47"/>
  <c r="E22" i="46"/>
  <c r="E85" i="35"/>
  <c r="C105" i="35"/>
  <c r="D138" i="15"/>
  <c r="G138" i="15"/>
  <c r="G137" i="15" s="1"/>
  <c r="E138" i="15"/>
  <c r="C137" i="15"/>
  <c r="I23" i="47"/>
  <c r="G23" i="48"/>
  <c r="H15" i="35"/>
  <c r="O11" i="35"/>
  <c r="O15" i="35" s="1"/>
  <c r="C84" i="35" s="1"/>
  <c r="C14" i="34"/>
  <c r="E16" i="64"/>
  <c r="D8" i="46"/>
  <c r="D38" i="46" s="1"/>
  <c r="E6" i="64"/>
  <c r="N12" i="48"/>
  <c r="N14" i="48" s="1"/>
  <c r="N14" i="47"/>
  <c r="J50" i="35"/>
  <c r="J62" i="35"/>
  <c r="J64" i="35" s="1"/>
  <c r="J69" i="35"/>
  <c r="H12" i="48"/>
  <c r="H14" i="48" s="1"/>
  <c r="J12" i="47"/>
  <c r="H14" i="47"/>
  <c r="K64" i="35"/>
  <c r="D105" i="35"/>
  <c r="M102" i="35"/>
  <c r="D92" i="35"/>
  <c r="I24" i="48"/>
  <c r="K37" i="48"/>
  <c r="K39" i="48" s="1"/>
  <c r="K39" i="47"/>
  <c r="L39" i="47"/>
  <c r="L37" i="48"/>
  <c r="L39" i="48" s="1"/>
  <c r="I36" i="48"/>
  <c r="N39" i="35"/>
  <c r="N48" i="35" s="1"/>
  <c r="J51" i="35" s="1"/>
  <c r="O36" i="35"/>
  <c r="C71" i="35"/>
  <c r="J23" i="48"/>
  <c r="E6" i="46"/>
  <c r="F43" i="35"/>
  <c r="G38" i="47"/>
  <c r="G43" i="35"/>
  <c r="E43" i="35"/>
  <c r="D62" i="15"/>
  <c r="D76" i="15" s="1"/>
  <c r="N49" i="35"/>
  <c r="K63" i="35"/>
  <c r="E29" i="46"/>
  <c r="G40" i="47"/>
  <c r="D41" i="35"/>
  <c r="H39" i="15"/>
  <c r="M40" i="47" s="1"/>
  <c r="E31" i="46"/>
  <c r="G45" i="47"/>
  <c r="F46" i="35"/>
  <c r="E46" i="35"/>
  <c r="G46" i="35"/>
  <c r="O45" i="35"/>
  <c r="C89" i="35" s="1"/>
  <c r="C20" i="34"/>
  <c r="E20" i="34" s="1"/>
  <c r="AG18" i="63"/>
  <c r="AC18" i="63"/>
  <c r="AF18" i="63"/>
  <c r="G22" i="48"/>
  <c r="I22" i="47"/>
  <c r="M17" i="48"/>
  <c r="I37" i="48"/>
  <c r="J38" i="47"/>
  <c r="H39" i="47"/>
  <c r="H38" i="48"/>
  <c r="H39" i="48" s="1"/>
  <c r="J37" i="48"/>
  <c r="D23" i="46"/>
  <c r="M14" i="48"/>
  <c r="I64" i="35"/>
  <c r="M38" i="48"/>
  <c r="M39" i="48" s="1"/>
  <c r="M39" i="47"/>
  <c r="M23" i="47"/>
  <c r="M23" i="48" s="1"/>
  <c r="H151" i="15"/>
  <c r="K70" i="35"/>
  <c r="K71" i="35"/>
  <c r="K76" i="35"/>
  <c r="H40" i="48"/>
  <c r="J40" i="47"/>
  <c r="L40" i="47" s="1"/>
  <c r="H123" i="15"/>
  <c r="M45" i="47" s="1"/>
  <c r="M45" i="48" s="1"/>
  <c r="AF30" i="63"/>
  <c r="AG30" i="63"/>
  <c r="AH30" i="63" s="1"/>
  <c r="AC30" i="63"/>
  <c r="I28" i="48"/>
  <c r="I31" i="48" s="1"/>
  <c r="I31" i="47"/>
  <c r="J22" i="48"/>
  <c r="H62" i="15"/>
  <c r="D31" i="46"/>
  <c r="H45" i="47"/>
  <c r="I76" i="35"/>
  <c r="N69" i="35"/>
  <c r="I71" i="35"/>
  <c r="J21" i="48"/>
  <c r="J25" i="47"/>
  <c r="C19" i="34"/>
  <c r="E19" i="34" s="1"/>
  <c r="O42" i="35"/>
  <c r="C88" i="35" s="1"/>
  <c r="I21" i="47"/>
  <c r="G21" i="48"/>
  <c r="N21" i="48"/>
  <c r="N25" i="48" s="1"/>
  <c r="N25" i="47"/>
  <c r="G39" i="15"/>
  <c r="N40" i="47" s="1"/>
  <c r="G76" i="15"/>
  <c r="G25" i="48" l="1"/>
  <c r="F47" i="35"/>
  <c r="L40" i="48"/>
  <c r="I78" i="35"/>
  <c r="C108" i="35"/>
  <c r="E89" i="35"/>
  <c r="K45" i="47"/>
  <c r="K45" i="48" s="1"/>
  <c r="G45" i="48"/>
  <c r="I45" i="47"/>
  <c r="G40" i="48"/>
  <c r="G46" i="47"/>
  <c r="I40" i="47"/>
  <c r="N32" i="47"/>
  <c r="N32" i="48" s="1"/>
  <c r="G143" i="15"/>
  <c r="G156" i="15" s="1"/>
  <c r="G164" i="15" s="1"/>
  <c r="L45" i="47"/>
  <c r="L45" i="48" s="1"/>
  <c r="H45" i="48"/>
  <c r="J45" i="47"/>
  <c r="J38" i="48"/>
  <c r="J39" i="48" s="1"/>
  <c r="J39" i="47"/>
  <c r="M25" i="48"/>
  <c r="H17" i="64"/>
  <c r="H16" i="64"/>
  <c r="E8" i="46"/>
  <c r="E38" i="46" s="1"/>
  <c r="H6" i="64"/>
  <c r="N46" i="47"/>
  <c r="N47" i="47" s="1"/>
  <c r="N40" i="48"/>
  <c r="N46" i="48" s="1"/>
  <c r="I21" i="48"/>
  <c r="I25" i="47"/>
  <c r="J25" i="48"/>
  <c r="E17" i="64"/>
  <c r="G17" i="64" s="1"/>
  <c r="H46" i="47"/>
  <c r="K77" i="35"/>
  <c r="N70" i="35"/>
  <c r="O70" i="35" s="1"/>
  <c r="D40" i="46"/>
  <c r="E9" i="64"/>
  <c r="I22" i="48"/>
  <c r="AH18" i="63"/>
  <c r="H46" i="35"/>
  <c r="M40" i="48"/>
  <c r="M46" i="48" s="1"/>
  <c r="M46" i="47"/>
  <c r="G47" i="35"/>
  <c r="F6" i="64"/>
  <c r="E10" i="64"/>
  <c r="E25" i="64" s="1"/>
  <c r="D30" i="46"/>
  <c r="H32" i="47"/>
  <c r="H51" i="50"/>
  <c r="C143" i="15"/>
  <c r="C156" i="15" s="1"/>
  <c r="C164" i="15" s="1"/>
  <c r="C118" i="35"/>
  <c r="E105" i="35"/>
  <c r="C139" i="35"/>
  <c r="E139" i="35" s="1"/>
  <c r="E88" i="35"/>
  <c r="N71" i="35"/>
  <c r="H76" i="15"/>
  <c r="H46" i="48"/>
  <c r="D47" i="35"/>
  <c r="D48" i="35" s="1"/>
  <c r="H41" i="35"/>
  <c r="K48" i="47"/>
  <c r="K48" i="48" s="1"/>
  <c r="C97" i="35"/>
  <c r="O49" i="35"/>
  <c r="C93" i="35" s="1"/>
  <c r="G38" i="48"/>
  <c r="G39" i="48" s="1"/>
  <c r="G39" i="47"/>
  <c r="I38" i="47"/>
  <c r="M51" i="35"/>
  <c r="L51" i="35"/>
  <c r="N50" i="35"/>
  <c r="J52" i="35" s="1"/>
  <c r="J66" i="35" s="1"/>
  <c r="K51" i="35"/>
  <c r="I51" i="35"/>
  <c r="D139" i="35"/>
  <c r="D118" i="35"/>
  <c r="D124" i="35" s="1"/>
  <c r="J76" i="35"/>
  <c r="J78" i="35" s="1"/>
  <c r="J71" i="35"/>
  <c r="E137" i="15"/>
  <c r="E143" i="15" s="1"/>
  <c r="E156" i="15" s="1"/>
  <c r="E164" i="15" s="1"/>
  <c r="F138" i="15"/>
  <c r="F137" i="15" s="1"/>
  <c r="F143" i="15" s="1"/>
  <c r="F156" i="15" s="1"/>
  <c r="F164" i="15" s="1"/>
  <c r="K78" i="35"/>
  <c r="C15" i="34"/>
  <c r="E14" i="34"/>
  <c r="E15" i="34" s="1"/>
  <c r="I23" i="48"/>
  <c r="E23" i="46"/>
  <c r="J40" i="48"/>
  <c r="J46" i="47"/>
  <c r="M25" i="47"/>
  <c r="H43" i="35"/>
  <c r="E47" i="35"/>
  <c r="J12" i="48"/>
  <c r="J14" i="48" s="1"/>
  <c r="J14" i="47"/>
  <c r="G16" i="64"/>
  <c r="F16" i="64"/>
  <c r="E84" i="35"/>
  <c r="C104" i="35"/>
  <c r="G29" i="35"/>
  <c r="H138" i="15"/>
  <c r="H137" i="15" s="1"/>
  <c r="F29" i="35"/>
  <c r="E29" i="35"/>
  <c r="D137" i="15"/>
  <c r="G12" i="48"/>
  <c r="G14" i="48" s="1"/>
  <c r="I12" i="47"/>
  <c r="G14" i="47"/>
  <c r="G46" i="48" l="1"/>
  <c r="I14" i="47"/>
  <c r="I12" i="48"/>
  <c r="I14" i="48" s="1"/>
  <c r="F9" i="64"/>
  <c r="G9" i="64" s="1"/>
  <c r="L52" i="35"/>
  <c r="M52" i="35"/>
  <c r="D95" i="35"/>
  <c r="K52" i="35"/>
  <c r="I52" i="35"/>
  <c r="H32" i="48"/>
  <c r="J32" i="47"/>
  <c r="F10" i="64"/>
  <c r="F25" i="64" s="1"/>
  <c r="I25" i="48"/>
  <c r="H13" i="68"/>
  <c r="N84" i="47"/>
  <c r="G28" i="64"/>
  <c r="H177" i="15"/>
  <c r="D64" i="19" s="1"/>
  <c r="D65" i="19" s="1"/>
  <c r="G176" i="15"/>
  <c r="I40" i="48"/>
  <c r="I46" i="47"/>
  <c r="I45" i="48"/>
  <c r="C142" i="35"/>
  <c r="E142" i="35" s="1"/>
  <c r="C121" i="35"/>
  <c r="E108" i="35"/>
  <c r="L46" i="47"/>
  <c r="F33" i="35"/>
  <c r="F35" i="35"/>
  <c r="F39" i="35" s="1"/>
  <c r="F48" i="35" s="1"/>
  <c r="C21" i="34"/>
  <c r="E21" i="34" s="1"/>
  <c r="O43" i="35"/>
  <c r="C90" i="35" s="1"/>
  <c r="I38" i="48"/>
  <c r="I39" i="48" s="1"/>
  <c r="I39" i="47"/>
  <c r="O46" i="35"/>
  <c r="C91" i="35" s="1"/>
  <c r="C23" i="34"/>
  <c r="E23" i="34" s="1"/>
  <c r="M32" i="47"/>
  <c r="M32" i="48" s="1"/>
  <c r="H143" i="15"/>
  <c r="H156" i="15" s="1"/>
  <c r="H164" i="15" s="1"/>
  <c r="E30" i="46"/>
  <c r="G32" i="47"/>
  <c r="G47" i="47" s="1"/>
  <c r="P33" i="35"/>
  <c r="P39" i="35" s="1"/>
  <c r="D143" i="15"/>
  <c r="D156" i="15" s="1"/>
  <c r="D164" i="15" s="1"/>
  <c r="G33" i="35"/>
  <c r="G35" i="35"/>
  <c r="G39" i="35" s="1"/>
  <c r="G48" i="35" s="1"/>
  <c r="M47" i="47"/>
  <c r="E40" i="46"/>
  <c r="H9" i="64"/>
  <c r="H10" i="64" s="1"/>
  <c r="H25" i="64" s="1"/>
  <c r="G48" i="47"/>
  <c r="I48" i="47" s="1"/>
  <c r="P56" i="35"/>
  <c r="P49" i="35"/>
  <c r="F86" i="47"/>
  <c r="C18" i="34"/>
  <c r="H47" i="35"/>
  <c r="O41" i="35"/>
  <c r="E18" i="64"/>
  <c r="D35" i="46"/>
  <c r="D41" i="46" s="1"/>
  <c r="D42" i="46" s="1"/>
  <c r="G6" i="64"/>
  <c r="J45" i="48"/>
  <c r="J46" i="48" s="1"/>
  <c r="K40" i="47"/>
  <c r="L46" i="48"/>
  <c r="H29" i="35"/>
  <c r="E33" i="35"/>
  <c r="E35" i="35"/>
  <c r="C138" i="35"/>
  <c r="E138" i="35" s="1"/>
  <c r="E104" i="35"/>
  <c r="C117" i="35"/>
  <c r="F28" i="64"/>
  <c r="C149" i="35"/>
  <c r="G86" i="47"/>
  <c r="H48" i="47"/>
  <c r="E177" i="15"/>
  <c r="P70" i="35"/>
  <c r="Q70" i="35" s="1"/>
  <c r="N51" i="35"/>
  <c r="D93" i="35"/>
  <c r="E93" i="35" s="1"/>
  <c r="D69" i="35"/>
  <c r="D50" i="35"/>
  <c r="E28" i="64"/>
  <c r="H84" i="47"/>
  <c r="G13" i="68"/>
  <c r="C120" i="35"/>
  <c r="D46" i="46"/>
  <c r="P69" i="35"/>
  <c r="C177" i="15"/>
  <c r="D67" i="19" s="1"/>
  <c r="C176" i="15"/>
  <c r="G14" i="68" s="1"/>
  <c r="D12" i="50"/>
  <c r="H47" i="47"/>
  <c r="I46" i="48" l="1"/>
  <c r="G69" i="35"/>
  <c r="G71" i="35" s="1"/>
  <c r="G50" i="35"/>
  <c r="G49" i="47"/>
  <c r="E39" i="35"/>
  <c r="E48" i="35" s="1"/>
  <c r="H35" i="35"/>
  <c r="F18" i="64"/>
  <c r="F22" i="64" s="1"/>
  <c r="F26" i="64" s="1"/>
  <c r="F27" i="64" s="1"/>
  <c r="E22" i="64"/>
  <c r="E26" i="64" s="1"/>
  <c r="E27" i="64" s="1"/>
  <c r="C24" i="34"/>
  <c r="E18" i="34"/>
  <c r="E24" i="34" s="1"/>
  <c r="G32" i="48"/>
  <c r="I32" i="47"/>
  <c r="C109" i="35"/>
  <c r="E90" i="35"/>
  <c r="J32" i="48"/>
  <c r="J47" i="47"/>
  <c r="K46" i="47"/>
  <c r="K40" i="48"/>
  <c r="K46" i="48" s="1"/>
  <c r="H14" i="68"/>
  <c r="J14" i="68"/>
  <c r="H18" i="68"/>
  <c r="H16" i="68"/>
  <c r="D71" i="35"/>
  <c r="F21" i="50"/>
  <c r="F22" i="50" s="1"/>
  <c r="E21" i="50"/>
  <c r="E22" i="50" s="1"/>
  <c r="H21" i="50"/>
  <c r="H22" i="50" s="1"/>
  <c r="G21" i="50"/>
  <c r="D50" i="46"/>
  <c r="E50" i="46" s="1"/>
  <c r="E32" i="64"/>
  <c r="H32" i="64" s="1"/>
  <c r="M103" i="35"/>
  <c r="M105" i="35" s="1"/>
  <c r="C98" i="35"/>
  <c r="D94" i="35"/>
  <c r="M104" i="35" s="1"/>
  <c r="H18" i="64"/>
  <c r="H22" i="64" s="1"/>
  <c r="H26" i="64" s="1"/>
  <c r="H27" i="64" s="1"/>
  <c r="E35" i="46"/>
  <c r="E41" i="46" s="1"/>
  <c r="E42" i="46" s="1"/>
  <c r="H52" i="47"/>
  <c r="L47" i="47"/>
  <c r="H49" i="47"/>
  <c r="G56" i="47"/>
  <c r="C16" i="34"/>
  <c r="O29" i="35"/>
  <c r="O33" i="35" s="1"/>
  <c r="C86" i="35" s="1"/>
  <c r="H33" i="35"/>
  <c r="G10" i="64"/>
  <c r="G25" i="64" s="1"/>
  <c r="C82" i="35"/>
  <c r="O47" i="35"/>
  <c r="C13" i="68"/>
  <c r="H28" i="64"/>
  <c r="E46" i="46"/>
  <c r="G84" i="47"/>
  <c r="P48" i="35"/>
  <c r="D176" i="15"/>
  <c r="C14" i="68" s="1"/>
  <c r="P55" i="35"/>
  <c r="D13" i="68"/>
  <c r="G88" i="47"/>
  <c r="M84" i="47"/>
  <c r="P51" i="35"/>
  <c r="P57" i="35"/>
  <c r="H176" i="15"/>
  <c r="D14" i="68" s="1"/>
  <c r="E91" i="35"/>
  <c r="C110" i="35"/>
  <c r="F50" i="35"/>
  <c r="F69" i="35"/>
  <c r="F71" i="35" s="1"/>
  <c r="N52" i="35"/>
  <c r="I66" i="35"/>
  <c r="I47" i="47"/>
  <c r="I49" i="47" s="1"/>
  <c r="L48" i="47" l="1"/>
  <c r="C122" i="35"/>
  <c r="E109" i="35"/>
  <c r="C143" i="35"/>
  <c r="E143" i="35" s="1"/>
  <c r="K47" i="47"/>
  <c r="K49" i="47" s="1"/>
  <c r="I32" i="48"/>
  <c r="H39" i="35"/>
  <c r="H48" i="35" s="1"/>
  <c r="O35" i="35"/>
  <c r="O39" i="35" s="1"/>
  <c r="O48" i="35" s="1"/>
  <c r="D16" i="68"/>
  <c r="D18" i="68"/>
  <c r="E50" i="35"/>
  <c r="E69" i="35"/>
  <c r="C102" i="35"/>
  <c r="E82" i="35"/>
  <c r="C92" i="35"/>
  <c r="E16" i="34"/>
  <c r="E17" i="34" s="1"/>
  <c r="E25" i="34" s="1"/>
  <c r="C17" i="34"/>
  <c r="C25" i="34" s="1"/>
  <c r="M49" i="47"/>
  <c r="E110" i="35"/>
  <c r="C144" i="35"/>
  <c r="E144" i="35" s="1"/>
  <c r="C123" i="35"/>
  <c r="C106" i="35"/>
  <c r="E86" i="35"/>
  <c r="G22" i="50"/>
  <c r="G18" i="64"/>
  <c r="G22" i="64" s="1"/>
  <c r="G26" i="64" s="1"/>
  <c r="G27" i="64" s="1"/>
  <c r="H53" i="35" l="1"/>
  <c r="N92" i="35"/>
  <c r="I57" i="50"/>
  <c r="C51" i="35"/>
  <c r="D51" i="35"/>
  <c r="G51" i="35"/>
  <c r="F51" i="35"/>
  <c r="C140" i="35"/>
  <c r="E140" i="35" s="1"/>
  <c r="C119" i="35"/>
  <c r="E106" i="35"/>
  <c r="C94" i="35"/>
  <c r="E94" i="35" s="1"/>
  <c r="E92" i="35"/>
  <c r="E71" i="35"/>
  <c r="H69" i="35"/>
  <c r="E51" i="35"/>
  <c r="H29" i="64"/>
  <c r="E47" i="46"/>
  <c r="O50" i="35"/>
  <c r="C95" i="35" s="1"/>
  <c r="C53" i="35"/>
  <c r="I18" i="50" s="1"/>
  <c r="D53" i="35"/>
  <c r="J18" i="50" s="1"/>
  <c r="J21" i="50" s="1"/>
  <c r="G53" i="35"/>
  <c r="M18" i="50" s="1"/>
  <c r="M21" i="50" s="1"/>
  <c r="M22" i="50" s="1"/>
  <c r="F53" i="35"/>
  <c r="L18" i="50" s="1"/>
  <c r="L21" i="50" s="1"/>
  <c r="L22" i="50" s="1"/>
  <c r="H50" i="35"/>
  <c r="L48" i="48"/>
  <c r="J48" i="47"/>
  <c r="J49" i="47" s="1"/>
  <c r="C115" i="35"/>
  <c r="C124" i="35" s="1"/>
  <c r="C126" i="35" s="1"/>
  <c r="C136" i="35"/>
  <c r="E102" i="35"/>
  <c r="E53" i="35"/>
  <c r="K18" i="50" s="1"/>
  <c r="K21" i="50" s="1"/>
  <c r="K22" i="50" s="1"/>
  <c r="L49" i="47"/>
  <c r="N49" i="47" l="1"/>
  <c r="E136" i="35"/>
  <c r="H71" i="35"/>
  <c r="E72" i="35" s="1"/>
  <c r="O69" i="35"/>
  <c r="Q69" i="35" s="1"/>
  <c r="N94" i="35"/>
  <c r="E95" i="35"/>
  <c r="P50" i="35"/>
  <c r="C52" i="35"/>
  <c r="H52" i="35" s="1"/>
  <c r="D52" i="35"/>
  <c r="F52" i="35"/>
  <c r="G52" i="35"/>
  <c r="J22" i="50"/>
  <c r="D22" i="50" s="1"/>
  <c r="D23" i="50" s="1"/>
  <c r="D21" i="50"/>
  <c r="E52" i="35"/>
  <c r="D18" i="50"/>
  <c r="N18" i="50"/>
  <c r="I21" i="50"/>
  <c r="H51" i="35"/>
  <c r="J42" i="63" l="1"/>
  <c r="L42" i="63" s="1"/>
  <c r="K42" i="63"/>
  <c r="L28" i="63"/>
  <c r="M17" i="63"/>
  <c r="M27" i="63"/>
  <c r="AA27" i="63" s="1"/>
  <c r="M26" i="63"/>
  <c r="M24" i="63"/>
  <c r="AA24" i="63" s="1"/>
  <c r="M23" i="63"/>
  <c r="AA23" i="63" s="1"/>
  <c r="M22" i="63"/>
  <c r="AA22" i="63" s="1"/>
  <c r="M21" i="63"/>
  <c r="AA21" i="63" s="1"/>
  <c r="M20" i="63"/>
  <c r="AA20" i="63" s="1"/>
  <c r="M19" i="63"/>
  <c r="AA19" i="63" s="1"/>
  <c r="M12" i="63"/>
  <c r="M37" i="63"/>
  <c r="M32" i="63"/>
  <c r="AA32" i="63" s="1"/>
  <c r="L12" i="63"/>
  <c r="L14" i="63" s="1"/>
  <c r="M63" i="35"/>
  <c r="E63" i="35"/>
  <c r="E77" i="35" s="1"/>
  <c r="H144" i="52"/>
  <c r="C144" i="52"/>
  <c r="D143" i="52"/>
  <c r="C142" i="52"/>
  <c r="E123" i="52"/>
  <c r="D63" i="35"/>
  <c r="D77" i="35" s="1"/>
  <c r="C63" i="35"/>
  <c r="G144" i="52"/>
  <c r="G143" i="52"/>
  <c r="C86" i="52"/>
  <c r="C76" i="52"/>
  <c r="C68" i="52"/>
  <c r="C56" i="52"/>
  <c r="H44" i="52"/>
  <c r="C44" i="52"/>
  <c r="D43" i="52"/>
  <c r="E42" i="52"/>
  <c r="D40" i="52"/>
  <c r="D37" i="52"/>
  <c r="C34" i="52"/>
  <c r="D33" i="52"/>
  <c r="E28" i="52"/>
  <c r="E144" i="52"/>
  <c r="E143" i="52"/>
  <c r="D50" i="52"/>
  <c r="G44" i="52"/>
  <c r="C43" i="52"/>
  <c r="D42" i="52"/>
  <c r="C40" i="52"/>
  <c r="D39" i="52"/>
  <c r="C37" i="52"/>
  <c r="D36" i="52"/>
  <c r="C33" i="52"/>
  <c r="D32" i="52"/>
  <c r="G63" i="35"/>
  <c r="G77" i="35" s="1"/>
  <c r="D144" i="52"/>
  <c r="C143" i="52"/>
  <c r="E122" i="52"/>
  <c r="E121" i="52"/>
  <c r="C92" i="52"/>
  <c r="C81" i="52"/>
  <c r="C71" i="52"/>
  <c r="C65" i="52"/>
  <c r="C57" i="52"/>
  <c r="D54" i="52"/>
  <c r="C50" i="52"/>
  <c r="D47" i="52"/>
  <c r="E44" i="52"/>
  <c r="H42" i="52"/>
  <c r="C42" i="52"/>
  <c r="C39" i="52"/>
  <c r="C36" i="52"/>
  <c r="D35" i="52"/>
  <c r="C32" i="52"/>
  <c r="D31" i="52"/>
  <c r="C28" i="52"/>
  <c r="M62" i="35"/>
  <c r="G28" i="52"/>
  <c r="C47" i="52"/>
  <c r="D44" i="52"/>
  <c r="C35" i="52"/>
  <c r="G42" i="52"/>
  <c r="G36" i="52"/>
  <c r="H59" i="50"/>
  <c r="I59" i="50" s="1"/>
  <c r="H143" i="52"/>
  <c r="C99" i="52"/>
  <c r="C52" i="52"/>
  <c r="D34" i="52"/>
  <c r="C31" i="52"/>
  <c r="F63" i="35"/>
  <c r="F77" i="35" s="1"/>
  <c r="C128" i="52"/>
  <c r="E124" i="52"/>
  <c r="C54" i="52"/>
  <c r="H36" i="52"/>
  <c r="G39" i="52"/>
  <c r="C19" i="52"/>
  <c r="C26" i="52"/>
  <c r="E40" i="52"/>
  <c r="H40" i="52"/>
  <c r="D20" i="52"/>
  <c r="E37" i="52"/>
  <c r="E23" i="52"/>
  <c r="H27" i="52"/>
  <c r="E32" i="52"/>
  <c r="E34" i="52"/>
  <c r="C75" i="52"/>
  <c r="G34" i="52"/>
  <c r="C17" i="52"/>
  <c r="E54" i="52"/>
  <c r="E22" i="52"/>
  <c r="E21" i="52" s="1"/>
  <c r="G13" i="52"/>
  <c r="D14" i="52"/>
  <c r="G16" i="52"/>
  <c r="C16" i="52"/>
  <c r="C15" i="52" s="1"/>
  <c r="C23" i="52"/>
  <c r="D28" i="52"/>
  <c r="E35" i="52"/>
  <c r="C53" i="52"/>
  <c r="E17" i="52"/>
  <c r="G23" i="52"/>
  <c r="G35" i="52"/>
  <c r="E50" i="52"/>
  <c r="C91" i="52"/>
  <c r="C14" i="52"/>
  <c r="C27" i="52"/>
  <c r="C127" i="52"/>
  <c r="C59" i="52"/>
  <c r="E20" i="52"/>
  <c r="G33" i="52"/>
  <c r="E14" i="52"/>
  <c r="H23" i="52"/>
  <c r="C80" i="52"/>
  <c r="E33" i="52"/>
  <c r="E36" i="52"/>
  <c r="C98" i="52"/>
  <c r="G40" i="52"/>
  <c r="D16" i="52"/>
  <c r="D23" i="52"/>
  <c r="G37" i="52"/>
  <c r="E13" i="52"/>
  <c r="E16" i="52"/>
  <c r="E15" i="52" s="1"/>
  <c r="C20" i="52"/>
  <c r="G27" i="52"/>
  <c r="C100" i="52"/>
  <c r="O34" i="46"/>
  <c r="C64" i="52"/>
  <c r="E47" i="52"/>
  <c r="C67" i="52"/>
  <c r="C22" i="52"/>
  <c r="C21" i="52" s="1"/>
  <c r="P13" i="46"/>
  <c r="P17" i="46" s="1"/>
  <c r="P39" i="46" s="1"/>
  <c r="C13" i="52"/>
  <c r="H28" i="52"/>
  <c r="E39" i="52"/>
  <c r="C85" i="52"/>
  <c r="C141" i="52"/>
  <c r="O13" i="46"/>
  <c r="O17" i="46" s="1"/>
  <c r="O39" i="46" s="1"/>
  <c r="C60" i="52"/>
  <c r="J20" i="63"/>
  <c r="C112" i="52"/>
  <c r="H37" i="52"/>
  <c r="P7" i="46"/>
  <c r="K17" i="63"/>
  <c r="H34" i="52"/>
  <c r="E31" i="52"/>
  <c r="D22" i="52"/>
  <c r="G20" i="52"/>
  <c r="C46" i="52"/>
  <c r="G14" i="52"/>
  <c r="H22" i="52"/>
  <c r="H21" i="52" s="1"/>
  <c r="O7" i="46"/>
  <c r="G50" i="52"/>
  <c r="G17" i="52"/>
  <c r="H13" i="52"/>
  <c r="P32" i="46"/>
  <c r="J26" i="63"/>
  <c r="G54" i="52"/>
  <c r="O32" i="46"/>
  <c r="G47" i="52"/>
  <c r="K29" i="63"/>
  <c r="O29" i="63" s="1"/>
  <c r="G22" i="52"/>
  <c r="G21" i="52" s="1"/>
  <c r="C113" i="52"/>
  <c r="P34" i="46"/>
  <c r="L29" i="63"/>
  <c r="J27" i="63"/>
  <c r="M28" i="63"/>
  <c r="AA28" i="63" s="1"/>
  <c r="H16" i="52"/>
  <c r="D13" i="52"/>
  <c r="K19" i="63"/>
  <c r="O19" i="63" s="1"/>
  <c r="E43" i="52"/>
  <c r="D17" i="52"/>
  <c r="J40" i="63"/>
  <c r="H35" i="52"/>
  <c r="C117" i="52"/>
  <c r="M29" i="63"/>
  <c r="AA29" i="63" s="1"/>
  <c r="C116" i="52"/>
  <c r="H39" i="52"/>
  <c r="J17" i="63"/>
  <c r="C132" i="52"/>
  <c r="G32" i="52"/>
  <c r="H33" i="52"/>
  <c r="C135" i="52"/>
  <c r="M44" i="63"/>
  <c r="AA44" i="63" s="1"/>
  <c r="H54" i="52"/>
  <c r="K33" i="63"/>
  <c r="G31" i="52"/>
  <c r="J29" i="63"/>
  <c r="K20" i="63"/>
  <c r="O20" i="63" s="1"/>
  <c r="J41" i="63"/>
  <c r="J44" i="63"/>
  <c r="C49" i="52"/>
  <c r="C70" i="52"/>
  <c r="H32" i="52"/>
  <c r="H47" i="52"/>
  <c r="H50" i="52"/>
  <c r="K41" i="63"/>
  <c r="O41" i="63" s="1"/>
  <c r="H20" i="52"/>
  <c r="G43" i="52"/>
  <c r="K44" i="63"/>
  <c r="O44" i="63" s="1"/>
  <c r="M33" i="63"/>
  <c r="J19" i="63"/>
  <c r="H14" i="52"/>
  <c r="K26" i="63"/>
  <c r="K34" i="63"/>
  <c r="O34" i="63" s="1"/>
  <c r="H17" i="52"/>
  <c r="M40" i="63"/>
  <c r="AA40" i="63" s="1"/>
  <c r="J43" i="63"/>
  <c r="M43" i="63"/>
  <c r="AA43" i="63" s="1"/>
  <c r="K28" i="63"/>
  <c r="O28" i="63" s="1"/>
  <c r="M34" i="63"/>
  <c r="AA34" i="63" s="1"/>
  <c r="K27" i="63"/>
  <c r="O27" i="63" s="1"/>
  <c r="J34" i="63"/>
  <c r="C123" i="52"/>
  <c r="J33" i="63"/>
  <c r="C121" i="52"/>
  <c r="H43" i="52"/>
  <c r="C122" i="52"/>
  <c r="C124" i="52"/>
  <c r="C38" i="52"/>
  <c r="H31" i="52"/>
  <c r="C62" i="35"/>
  <c r="K24" i="63"/>
  <c r="O24" i="63" s="1"/>
  <c r="O6" i="46"/>
  <c r="O8" i="46" s="1"/>
  <c r="O38" i="46" s="1"/>
  <c r="K22" i="63"/>
  <c r="O22" i="63" s="1"/>
  <c r="J24" i="63"/>
  <c r="K23" i="63"/>
  <c r="O23" i="63" s="1"/>
  <c r="J36" i="63"/>
  <c r="O22" i="46"/>
  <c r="O23" i="46" s="1"/>
  <c r="O40" i="46" s="1"/>
  <c r="K21" i="63"/>
  <c r="O21" i="63" s="1"/>
  <c r="O29" i="46"/>
  <c r="K36" i="63"/>
  <c r="O36" i="63" s="1"/>
  <c r="M39" i="63"/>
  <c r="P29" i="46"/>
  <c r="P6" i="46"/>
  <c r="P8" i="46" s="1"/>
  <c r="P38" i="46" s="1"/>
  <c r="J22" i="63"/>
  <c r="C125" i="52"/>
  <c r="P22" i="46"/>
  <c r="P23" i="46" s="1"/>
  <c r="P40" i="46" s="1"/>
  <c r="J21" i="63"/>
  <c r="O31" i="46"/>
  <c r="K12" i="63"/>
  <c r="P31" i="46"/>
  <c r="K37" i="63"/>
  <c r="J23" i="63"/>
  <c r="K39" i="63"/>
  <c r="J37" i="63"/>
  <c r="D62" i="35"/>
  <c r="O30" i="46"/>
  <c r="K45" i="63"/>
  <c r="O45" i="63" s="1"/>
  <c r="J45" i="63"/>
  <c r="L39" i="63"/>
  <c r="P30" i="46"/>
  <c r="F62" i="35"/>
  <c r="K32" i="63"/>
  <c r="O32" i="63" s="1"/>
  <c r="G62" i="35"/>
  <c r="J32" i="63"/>
  <c r="E62" i="35"/>
  <c r="O71" i="35"/>
  <c r="C72" i="35"/>
  <c r="G72" i="35"/>
  <c r="F72" i="35"/>
  <c r="D72" i="35"/>
  <c r="I22" i="50"/>
  <c r="N22" i="50" s="1"/>
  <c r="N21" i="50"/>
  <c r="H15" i="52" l="1"/>
  <c r="J35" i="63"/>
  <c r="Q36" i="63"/>
  <c r="Y36" i="63"/>
  <c r="AD36" i="63" s="1"/>
  <c r="Y27" i="63"/>
  <c r="AD27" i="63" s="1"/>
  <c r="Q27" i="63"/>
  <c r="O26" i="63"/>
  <c r="K31" i="63"/>
  <c r="E49" i="52"/>
  <c r="E48" i="52" s="1"/>
  <c r="C48" i="52"/>
  <c r="D49" i="52"/>
  <c r="E85" i="52"/>
  <c r="E88" i="52" s="1"/>
  <c r="D85" i="52"/>
  <c r="C88" i="52"/>
  <c r="H27" i="63" s="1"/>
  <c r="V27" i="63" s="1"/>
  <c r="W27" i="63" s="1"/>
  <c r="D53" i="52"/>
  <c r="E53" i="52"/>
  <c r="G53" i="52" s="1"/>
  <c r="E75" i="52"/>
  <c r="D75" i="52"/>
  <c r="C78" i="52"/>
  <c r="H20" i="63" s="1"/>
  <c r="V20" i="63" s="1"/>
  <c r="W20" i="63" s="1"/>
  <c r="G75" i="52"/>
  <c r="E86" i="52"/>
  <c r="G86" i="52" s="1"/>
  <c r="D86" i="52"/>
  <c r="M25" i="63"/>
  <c r="AA17" i="63"/>
  <c r="H72" i="35"/>
  <c r="G64" i="35"/>
  <c r="F22" i="17" s="1"/>
  <c r="G76" i="35"/>
  <c r="G78" i="35" s="1"/>
  <c r="D64" i="35"/>
  <c r="D76" i="35"/>
  <c r="D78" i="35" s="1"/>
  <c r="K38" i="63"/>
  <c r="O37" i="63"/>
  <c r="O35" i="46"/>
  <c r="O41" i="46" s="1"/>
  <c r="Y23" i="63"/>
  <c r="AD23" i="63" s="1"/>
  <c r="Q23" i="63"/>
  <c r="Y24" i="63"/>
  <c r="AD24" i="63" s="1"/>
  <c r="Q24" i="63"/>
  <c r="D124" i="52"/>
  <c r="H124" i="52" s="1"/>
  <c r="G124" i="52"/>
  <c r="G135" i="52"/>
  <c r="G134" i="52" s="1"/>
  <c r="D135" i="52"/>
  <c r="C134" i="52"/>
  <c r="H24" i="63" s="1"/>
  <c r="V24" i="63" s="1"/>
  <c r="W24" i="63" s="1"/>
  <c r="E135" i="52"/>
  <c r="E134" i="52" s="1"/>
  <c r="J25" i="63"/>
  <c r="D117" i="52"/>
  <c r="E117" i="52"/>
  <c r="G117" i="52" s="1"/>
  <c r="E113" i="52"/>
  <c r="G113" i="52" s="1"/>
  <c r="D113" i="52"/>
  <c r="H12" i="52"/>
  <c r="D21" i="52"/>
  <c r="H44" i="63"/>
  <c r="V44" i="63" s="1"/>
  <c r="W44" i="63" s="1"/>
  <c r="E60" i="52"/>
  <c r="G60" i="52" s="1"/>
  <c r="D60" i="52"/>
  <c r="D15" i="52"/>
  <c r="E27" i="52"/>
  <c r="D27" i="52"/>
  <c r="F27" i="52" s="1"/>
  <c r="G15" i="52"/>
  <c r="E26" i="52"/>
  <c r="E29" i="52" s="1"/>
  <c r="C29" i="52"/>
  <c r="H19" i="63" s="1"/>
  <c r="V19" i="63" s="1"/>
  <c r="W19" i="63" s="1"/>
  <c r="D26" i="52"/>
  <c r="M64" i="35"/>
  <c r="M76" i="35"/>
  <c r="N62" i="35"/>
  <c r="E81" i="52"/>
  <c r="D81" i="52"/>
  <c r="G81" i="52"/>
  <c r="E56" i="52"/>
  <c r="C55" i="52"/>
  <c r="H13" i="63" s="1"/>
  <c r="V13" i="63" s="1"/>
  <c r="W13" i="63" s="1"/>
  <c r="D56" i="52"/>
  <c r="H39" i="63"/>
  <c r="E38" i="52"/>
  <c r="G38" i="52" s="1"/>
  <c r="D38" i="52"/>
  <c r="E71" i="52"/>
  <c r="G71" i="52" s="1"/>
  <c r="D71" i="52"/>
  <c r="P35" i="46"/>
  <c r="P41" i="46" s="1"/>
  <c r="P42" i="46" s="1"/>
  <c r="G122" i="52"/>
  <c r="D122" i="52"/>
  <c r="H122" i="52" s="1"/>
  <c r="G123" i="52"/>
  <c r="D123" i="52"/>
  <c r="H123" i="52" s="1"/>
  <c r="K35" i="63"/>
  <c r="O33" i="63"/>
  <c r="Y19" i="63"/>
  <c r="AD19" i="63" s="1"/>
  <c r="Q19" i="63"/>
  <c r="E67" i="52"/>
  <c r="G67" i="52" s="1"/>
  <c r="C66" i="52"/>
  <c r="D67" i="52"/>
  <c r="D100" i="52"/>
  <c r="E100" i="52"/>
  <c r="G100" i="52" s="1"/>
  <c r="I100" i="52"/>
  <c r="E12" i="52"/>
  <c r="C83" i="52"/>
  <c r="H26" i="63" s="1"/>
  <c r="E80" i="52"/>
  <c r="E83" i="52" s="1"/>
  <c r="D80" i="52"/>
  <c r="E19" i="52"/>
  <c r="E18" i="52" s="1"/>
  <c r="E24" i="52" s="1"/>
  <c r="C18" i="52"/>
  <c r="H17" i="63" s="1"/>
  <c r="D19" i="52"/>
  <c r="E57" i="52"/>
  <c r="G57" i="52" s="1"/>
  <c r="D57" i="52"/>
  <c r="E92" i="52"/>
  <c r="G92" i="52" s="1"/>
  <c r="D92" i="52"/>
  <c r="E68" i="52"/>
  <c r="G68" i="52" s="1"/>
  <c r="D68" i="52"/>
  <c r="H43" i="63"/>
  <c r="E142" i="52"/>
  <c r="G142" i="52" s="1"/>
  <c r="D142" i="52"/>
  <c r="P142" i="52"/>
  <c r="AA37" i="63"/>
  <c r="AA26" i="63"/>
  <c r="M31" i="63"/>
  <c r="M42" i="63"/>
  <c r="AA42" i="63" s="1"/>
  <c r="AE42" i="63" s="1"/>
  <c r="O42" i="63"/>
  <c r="O42" i="46"/>
  <c r="C119" i="52"/>
  <c r="H45" i="63" s="1"/>
  <c r="G121" i="52"/>
  <c r="G119" i="52" s="1"/>
  <c r="D121" i="52"/>
  <c r="Y44" i="63"/>
  <c r="AD44" i="63" s="1"/>
  <c r="Q44" i="63"/>
  <c r="G132" i="52"/>
  <c r="G131" i="52" s="1"/>
  <c r="E132" i="52"/>
  <c r="E131" i="52" s="1"/>
  <c r="E137" i="52" s="1"/>
  <c r="D132" i="52"/>
  <c r="C131" i="52"/>
  <c r="K25" i="63"/>
  <c r="O17" i="63"/>
  <c r="E64" i="52"/>
  <c r="G64" i="52" s="1"/>
  <c r="C63" i="52"/>
  <c r="C62" i="52" s="1"/>
  <c r="D64" i="52"/>
  <c r="H33" i="63"/>
  <c r="C126" i="52"/>
  <c r="E127" i="52"/>
  <c r="G127" i="52" s="1"/>
  <c r="D127" i="52"/>
  <c r="E99" i="52"/>
  <c r="G99" i="52" s="1"/>
  <c r="D99" i="52"/>
  <c r="Y32" i="63"/>
  <c r="AD32" i="63" s="1"/>
  <c r="Q32" i="63"/>
  <c r="J38" i="63"/>
  <c r="Y21" i="63"/>
  <c r="AD21" i="63" s="1"/>
  <c r="Q21" i="63"/>
  <c r="H62" i="35"/>
  <c r="C79" i="35"/>
  <c r="C76" i="35"/>
  <c r="C64" i="35"/>
  <c r="E22" i="17" s="1"/>
  <c r="Y28" i="63"/>
  <c r="AD28" i="63" s="1"/>
  <c r="Q28" i="63"/>
  <c r="E76" i="35"/>
  <c r="E78" i="35" s="1"/>
  <c r="E64" i="35"/>
  <c r="F64" i="35"/>
  <c r="F76" i="35"/>
  <c r="F78" i="35" s="1"/>
  <c r="Y45" i="63"/>
  <c r="Q45" i="63"/>
  <c r="O39" i="63"/>
  <c r="O12" i="63"/>
  <c r="K14" i="63"/>
  <c r="H32" i="63"/>
  <c r="V32" i="63" s="1"/>
  <c r="W32" i="63" s="1"/>
  <c r="D125" i="52"/>
  <c r="E125" i="52"/>
  <c r="G125" i="52" s="1"/>
  <c r="AA39" i="63"/>
  <c r="Y22" i="63"/>
  <c r="AD22" i="63" s="1"/>
  <c r="Q22" i="63"/>
  <c r="Y34" i="63"/>
  <c r="AD34" i="63" s="1"/>
  <c r="Q34" i="63"/>
  <c r="AA33" i="63"/>
  <c r="M35" i="63"/>
  <c r="Y41" i="63"/>
  <c r="Q41" i="63"/>
  <c r="E70" i="52"/>
  <c r="E69" i="52" s="1"/>
  <c r="C69" i="52"/>
  <c r="H37" i="63" s="1"/>
  <c r="D70" i="52"/>
  <c r="Y20" i="63"/>
  <c r="AD20" i="63" s="1"/>
  <c r="Q20" i="63"/>
  <c r="E116" i="52"/>
  <c r="E115" i="52" s="1"/>
  <c r="C115" i="52"/>
  <c r="H22" i="63" s="1"/>
  <c r="V22" i="63" s="1"/>
  <c r="W22" i="63" s="1"/>
  <c r="D116" i="52"/>
  <c r="G116" i="52"/>
  <c r="D12" i="52"/>
  <c r="Y29" i="63"/>
  <c r="AD29" i="63" s="1"/>
  <c r="Q29" i="63"/>
  <c r="D46" i="52"/>
  <c r="C45" i="52"/>
  <c r="E46" i="52"/>
  <c r="E45" i="52" s="1"/>
  <c r="E41" i="52" s="1"/>
  <c r="E112" i="52"/>
  <c r="E111" i="52" s="1"/>
  <c r="D112" i="52"/>
  <c r="C111" i="52"/>
  <c r="H41" i="63"/>
  <c r="G141" i="52"/>
  <c r="D141" i="52"/>
  <c r="C12" i="52"/>
  <c r="C102" i="52"/>
  <c r="D98" i="52"/>
  <c r="E98" i="52"/>
  <c r="H40" i="63"/>
  <c r="E59" i="52"/>
  <c r="E58" i="52" s="1"/>
  <c r="C58" i="52"/>
  <c r="H165" i="52" s="1"/>
  <c r="D59" i="52"/>
  <c r="E91" i="52"/>
  <c r="E96" i="52" s="1"/>
  <c r="C96" i="52"/>
  <c r="H28" i="63" s="1"/>
  <c r="V28" i="63" s="1"/>
  <c r="W28" i="63" s="1"/>
  <c r="D91" i="52"/>
  <c r="G12" i="52"/>
  <c r="H34" i="63"/>
  <c r="V34" i="63" s="1"/>
  <c r="W34" i="63" s="1"/>
  <c r="E128" i="52"/>
  <c r="G128" i="52" s="1"/>
  <c r="D128" i="52"/>
  <c r="E52" i="52"/>
  <c r="E51" i="52" s="1"/>
  <c r="C51" i="52"/>
  <c r="D52" i="52"/>
  <c r="G52" i="52"/>
  <c r="E65" i="52"/>
  <c r="G65" i="52" s="1"/>
  <c r="D65" i="52"/>
  <c r="E119" i="52"/>
  <c r="E76" i="52"/>
  <c r="G76" i="52" s="1"/>
  <c r="D76" i="52"/>
  <c r="C77" i="35"/>
  <c r="H77" i="35" s="1"/>
  <c r="H63" i="35"/>
  <c r="M77" i="35"/>
  <c r="N77" i="35" s="1"/>
  <c r="N63" i="35"/>
  <c r="E16" i="67" s="1"/>
  <c r="P37" i="67" s="1"/>
  <c r="M14" i="63"/>
  <c r="AA12" i="63"/>
  <c r="G91" i="52" l="1"/>
  <c r="C41" i="52"/>
  <c r="G46" i="52"/>
  <c r="G45" i="52" s="1"/>
  <c r="N32" i="63"/>
  <c r="P32" i="63" s="1"/>
  <c r="R32" i="63" s="1"/>
  <c r="I32" i="63"/>
  <c r="X32" i="63" s="1"/>
  <c r="AB32" i="63" s="1"/>
  <c r="AE32" i="63" s="1"/>
  <c r="N39" i="63"/>
  <c r="I39" i="63"/>
  <c r="I34" i="63"/>
  <c r="X34" i="63" s="1"/>
  <c r="AB34" i="63" s="1"/>
  <c r="AE34" i="63" s="1"/>
  <c r="N34" i="63"/>
  <c r="P34" i="63" s="1"/>
  <c r="R34" i="63" s="1"/>
  <c r="N33" i="63"/>
  <c r="I33" i="63"/>
  <c r="G126" i="52"/>
  <c r="H12" i="63"/>
  <c r="H164" i="52"/>
  <c r="N43" i="63"/>
  <c r="P43" i="63" s="1"/>
  <c r="R43" i="63" s="1"/>
  <c r="I43" i="63"/>
  <c r="X43" i="63" s="1"/>
  <c r="AB43" i="63" s="1"/>
  <c r="AE43" i="63" s="1"/>
  <c r="G96" i="52"/>
  <c r="E110" i="52"/>
  <c r="AF29" i="63"/>
  <c r="AG29" i="63"/>
  <c r="AG22" i="63"/>
  <c r="AF22" i="63"/>
  <c r="N44" i="63"/>
  <c r="P44" i="63" s="1"/>
  <c r="R44" i="63" s="1"/>
  <c r="I44" i="63"/>
  <c r="X44" i="63" s="1"/>
  <c r="AB44" i="63" s="1"/>
  <c r="AE44" i="63" s="1"/>
  <c r="AG23" i="63"/>
  <c r="AF23" i="63"/>
  <c r="D78" i="52"/>
  <c r="G20" i="63" s="1"/>
  <c r="L20" i="63" s="1"/>
  <c r="F75" i="52"/>
  <c r="O37" i="67"/>
  <c r="M39" i="67" s="1"/>
  <c r="F52" i="67"/>
  <c r="F76" i="52"/>
  <c r="H76" i="52" s="1"/>
  <c r="F52" i="52"/>
  <c r="H52" i="52" s="1"/>
  <c r="D51" i="52"/>
  <c r="F91" i="52"/>
  <c r="D96" i="52"/>
  <c r="G28" i="63" s="1"/>
  <c r="J28" i="63" s="1"/>
  <c r="J31" i="63" s="1"/>
  <c r="G59" i="52"/>
  <c r="V40" i="63"/>
  <c r="W40" i="63" s="1"/>
  <c r="K40" i="63"/>
  <c r="H29" i="63"/>
  <c r="V29" i="63" s="1"/>
  <c r="W29" i="63" s="1"/>
  <c r="C107" i="52"/>
  <c r="V41" i="63"/>
  <c r="W41" i="63" s="1"/>
  <c r="M41" i="63"/>
  <c r="G112" i="52"/>
  <c r="G111" i="52" s="1"/>
  <c r="F46" i="52"/>
  <c r="F45" i="52" s="1"/>
  <c r="D45" i="52"/>
  <c r="V37" i="63"/>
  <c r="AF34" i="63"/>
  <c r="AG34" i="63"/>
  <c r="AH34" i="63" s="1"/>
  <c r="AC34" i="63"/>
  <c r="Y39" i="63"/>
  <c r="Q39" i="63"/>
  <c r="E63" i="52"/>
  <c r="H23" i="63"/>
  <c r="V23" i="63" s="1"/>
  <c r="W23" i="63" s="1"/>
  <c r="C137" i="52"/>
  <c r="M45" i="63"/>
  <c r="AA45" i="63" s="1"/>
  <c r="V45" i="63"/>
  <c r="W45" i="63" s="1"/>
  <c r="G19" i="52"/>
  <c r="G18" i="52" s="1"/>
  <c r="F80" i="52"/>
  <c r="H80" i="52" s="1"/>
  <c r="D83" i="52"/>
  <c r="G26" i="63" s="1"/>
  <c r="F100" i="52"/>
  <c r="H100" i="52" s="1"/>
  <c r="E66" i="52"/>
  <c r="O35" i="63"/>
  <c r="Y33" i="63"/>
  <c r="Q33" i="63"/>
  <c r="Q35" i="63" s="1"/>
  <c r="G39" i="63"/>
  <c r="F38" i="52"/>
  <c r="H38" i="52"/>
  <c r="E15" i="67"/>
  <c r="N64" i="35"/>
  <c r="M85" i="35" s="1"/>
  <c r="G26" i="52"/>
  <c r="G29" i="52" s="1"/>
  <c r="C24" i="52"/>
  <c r="E78" i="52"/>
  <c r="E139" i="52" s="1"/>
  <c r="G85" i="52"/>
  <c r="G88" i="52" s="1"/>
  <c r="G49" i="52"/>
  <c r="G48" i="52" s="1"/>
  <c r="AF27" i="63"/>
  <c r="AG27" i="63"/>
  <c r="G34" i="63"/>
  <c r="L34" i="63" s="1"/>
  <c r="F128" i="52"/>
  <c r="H128" i="52" s="1"/>
  <c r="N41" i="63"/>
  <c r="P41" i="63" s="1"/>
  <c r="R41" i="63" s="1"/>
  <c r="I41" i="63"/>
  <c r="X41" i="63" s="1"/>
  <c r="Y12" i="63"/>
  <c r="Q12" i="63"/>
  <c r="Q14" i="63" s="1"/>
  <c r="O14" i="63"/>
  <c r="C78" i="35"/>
  <c r="H76" i="35"/>
  <c r="H36" i="63"/>
  <c r="H38" i="63" s="1"/>
  <c r="C61" i="52"/>
  <c r="N45" i="63"/>
  <c r="P45" i="63" s="1"/>
  <c r="R45" i="63" s="1"/>
  <c r="I45" i="63"/>
  <c r="X45" i="63" s="1"/>
  <c r="F92" i="52"/>
  <c r="H92" i="52" s="1"/>
  <c r="H31" i="63"/>
  <c r="V26" i="63"/>
  <c r="AG19" i="63"/>
  <c r="AF19" i="63"/>
  <c r="H46" i="63"/>
  <c r="V39" i="63"/>
  <c r="F56" i="52"/>
  <c r="D55" i="52"/>
  <c r="G13" i="63" s="1"/>
  <c r="H56" i="52"/>
  <c r="F53" i="52"/>
  <c r="H53" i="52" s="1"/>
  <c r="F65" i="52"/>
  <c r="H65" i="52" s="1"/>
  <c r="G40" i="63"/>
  <c r="L40" i="63" s="1"/>
  <c r="D58" i="52"/>
  <c r="F59" i="52"/>
  <c r="E102" i="52"/>
  <c r="C110" i="52"/>
  <c r="H21" i="63"/>
  <c r="V21" i="63" s="1"/>
  <c r="W21" i="63" s="1"/>
  <c r="C139" i="52"/>
  <c r="G115" i="52"/>
  <c r="AF28" i="63"/>
  <c r="AG28" i="63"/>
  <c r="M83" i="35"/>
  <c r="E11" i="67"/>
  <c r="O62" i="35"/>
  <c r="H64" i="35"/>
  <c r="O64" i="35" s="1"/>
  <c r="G33" i="63"/>
  <c r="F127" i="52"/>
  <c r="H127" i="52" s="1"/>
  <c r="D126" i="52"/>
  <c r="V33" i="63"/>
  <c r="H35" i="63"/>
  <c r="G63" i="52"/>
  <c r="D131" i="52"/>
  <c r="F132" i="52"/>
  <c r="F131" i="52" s="1"/>
  <c r="AG44" i="63"/>
  <c r="AC44" i="63"/>
  <c r="AF44" i="63"/>
  <c r="AA31" i="63"/>
  <c r="K43" i="63"/>
  <c r="O43" i="63" s="1"/>
  <c r="V43" i="63"/>
  <c r="W43" i="63" s="1"/>
  <c r="D18" i="52"/>
  <c r="G17" i="63" s="1"/>
  <c r="F19" i="52"/>
  <c r="F18" i="52" s="1"/>
  <c r="F24" i="52" s="1"/>
  <c r="G66" i="52"/>
  <c r="F71" i="52"/>
  <c r="H71" i="52" s="1"/>
  <c r="E55" i="52"/>
  <c r="F81" i="52"/>
  <c r="H81" i="52" s="1"/>
  <c r="M78" i="35"/>
  <c r="N76" i="35"/>
  <c r="N78" i="35" s="1"/>
  <c r="D29" i="52"/>
  <c r="G19" i="63" s="1"/>
  <c r="L19" i="63" s="1"/>
  <c r="F26" i="52"/>
  <c r="F29" i="52" s="1"/>
  <c r="G44" i="63"/>
  <c r="L44" i="63" s="1"/>
  <c r="F60" i="52"/>
  <c r="H60" i="52" s="1"/>
  <c r="D24" i="52"/>
  <c r="F113" i="52"/>
  <c r="H113" i="52" s="1"/>
  <c r="H117" i="52"/>
  <c r="F117" i="52"/>
  <c r="AG24" i="63"/>
  <c r="AF24" i="63"/>
  <c r="F86" i="52"/>
  <c r="H86" i="52" s="1"/>
  <c r="G78" i="52"/>
  <c r="F49" i="52"/>
  <c r="F48" i="52" s="1"/>
  <c r="D48" i="52"/>
  <c r="AF36" i="63"/>
  <c r="AG36" i="63"/>
  <c r="O77" i="35"/>
  <c r="O81" i="35" s="1"/>
  <c r="E154" i="15"/>
  <c r="H81" i="35"/>
  <c r="G51" i="52"/>
  <c r="H98" i="52"/>
  <c r="F98" i="52"/>
  <c r="D102" i="52"/>
  <c r="F70" i="52"/>
  <c r="F69" i="52" s="1"/>
  <c r="D69" i="52"/>
  <c r="G37" i="63" s="1"/>
  <c r="G32" i="63"/>
  <c r="L32" i="63" s="1"/>
  <c r="F125" i="52"/>
  <c r="H125" i="52" s="1"/>
  <c r="AG21" i="63"/>
  <c r="AF21" i="63"/>
  <c r="C129" i="52"/>
  <c r="N23" i="63"/>
  <c r="P23" i="63" s="1"/>
  <c r="R23" i="63" s="1"/>
  <c r="I23" i="63"/>
  <c r="X23" i="63" s="1"/>
  <c r="AB23" i="63" s="1"/>
  <c r="AE23" i="63" s="1"/>
  <c r="AC23" i="63" s="1"/>
  <c r="G137" i="52"/>
  <c r="N24" i="63"/>
  <c r="P24" i="63" s="1"/>
  <c r="R24" i="63" s="1"/>
  <c r="I24" i="63"/>
  <c r="X24" i="63" s="1"/>
  <c r="AB24" i="63" s="1"/>
  <c r="AE24" i="63" s="1"/>
  <c r="AC24" i="63" s="1"/>
  <c r="AA14" i="63"/>
  <c r="O63" i="35"/>
  <c r="F154" i="15"/>
  <c r="G98" i="52"/>
  <c r="G102" i="52" s="1"/>
  <c r="G41" i="63"/>
  <c r="L41" i="63" s="1"/>
  <c r="H141" i="52"/>
  <c r="F112" i="52"/>
  <c r="D111" i="52"/>
  <c r="H112" i="52"/>
  <c r="D115" i="52"/>
  <c r="G22" i="63" s="1"/>
  <c r="L22" i="63" s="1"/>
  <c r="F116" i="52"/>
  <c r="F115" i="52" s="1"/>
  <c r="AG20" i="63"/>
  <c r="AH20" i="63" s="1"/>
  <c r="AF20" i="63"/>
  <c r="G70" i="52"/>
  <c r="G69" i="52" s="1"/>
  <c r="AA35" i="63"/>
  <c r="AF32" i="63"/>
  <c r="AG32" i="63"/>
  <c r="AC32" i="63"/>
  <c r="F99" i="52"/>
  <c r="H99" i="52" s="1"/>
  <c r="E126" i="52"/>
  <c r="E129" i="52" s="1"/>
  <c r="F64" i="52"/>
  <c r="H64" i="52" s="1"/>
  <c r="H63" i="52" s="1"/>
  <c r="D63" i="52"/>
  <c r="Q17" i="63"/>
  <c r="Q25" i="63" s="1"/>
  <c r="Y17" i="63"/>
  <c r="O25" i="63"/>
  <c r="H121" i="52"/>
  <c r="H119" i="52" s="1"/>
  <c r="D119" i="52"/>
  <c r="G45" i="63" s="1"/>
  <c r="L45" i="63" s="1"/>
  <c r="Y42" i="63"/>
  <c r="AD42" i="63" s="1"/>
  <c r="Q42" i="63"/>
  <c r="G43" i="63"/>
  <c r="L43" i="63" s="1"/>
  <c r="F142" i="52"/>
  <c r="H142" i="52" s="1"/>
  <c r="M59" i="50" s="1"/>
  <c r="F68" i="52"/>
  <c r="H68" i="52" s="1"/>
  <c r="F57" i="52"/>
  <c r="H57" i="52" s="1"/>
  <c r="V17" i="63"/>
  <c r="H25" i="63"/>
  <c r="G80" i="52"/>
  <c r="G83" i="52" s="1"/>
  <c r="D66" i="52"/>
  <c r="F67" i="52"/>
  <c r="G56" i="52"/>
  <c r="G55" i="52" s="1"/>
  <c r="D134" i="52"/>
  <c r="G24" i="63" s="1"/>
  <c r="L24" i="63" s="1"/>
  <c r="F135" i="52"/>
  <c r="F134" i="52" s="1"/>
  <c r="O38" i="63"/>
  <c r="Y37" i="63"/>
  <c r="Q37" i="63"/>
  <c r="Q38" i="63" s="1"/>
  <c r="AA25" i="63"/>
  <c r="D88" i="52"/>
  <c r="G27" i="63" s="1"/>
  <c r="L27" i="63" s="1"/>
  <c r="F85" i="52"/>
  <c r="F88" i="52" s="1"/>
  <c r="O31" i="63"/>
  <c r="Y26" i="63"/>
  <c r="Q26" i="63"/>
  <c r="Q31" i="63" s="1"/>
  <c r="F58" i="52" l="1"/>
  <c r="F96" i="52"/>
  <c r="F66" i="52"/>
  <c r="D62" i="52"/>
  <c r="AH24" i="63"/>
  <c r="G41" i="52"/>
  <c r="AH32" i="63"/>
  <c r="H116" i="52"/>
  <c r="H115" i="52" s="1"/>
  <c r="H70" i="52"/>
  <c r="H69" i="52" s="1"/>
  <c r="H49" i="52"/>
  <c r="H48" i="52" s="1"/>
  <c r="H26" i="52"/>
  <c r="H29" i="52" s="1"/>
  <c r="E107" i="52"/>
  <c r="AH19" i="63"/>
  <c r="F78" i="52"/>
  <c r="N12" i="63"/>
  <c r="I12" i="63"/>
  <c r="H51" i="52"/>
  <c r="H111" i="52"/>
  <c r="C128" i="35"/>
  <c r="N85" i="35"/>
  <c r="H78" i="35"/>
  <c r="O78" i="35" s="1"/>
  <c r="O76" i="35"/>
  <c r="N83" i="35"/>
  <c r="I17" i="63"/>
  <c r="N17" i="63"/>
  <c r="G24" i="52"/>
  <c r="N28" i="63"/>
  <c r="P28" i="63" s="1"/>
  <c r="R28" i="63" s="1"/>
  <c r="I28" i="63"/>
  <c r="X28" i="63" s="1"/>
  <c r="AB28" i="63" s="1"/>
  <c r="AE28" i="63" s="1"/>
  <c r="AC28" i="63" s="1"/>
  <c r="N35" i="63"/>
  <c r="P33" i="63"/>
  <c r="X39" i="63"/>
  <c r="H85" i="52"/>
  <c r="H88" i="52" s="1"/>
  <c r="H135" i="52"/>
  <c r="H134" i="52" s="1"/>
  <c r="W17" i="63"/>
  <c r="W25" i="63" s="1"/>
  <c r="V25" i="63"/>
  <c r="I37" i="63"/>
  <c r="N37" i="63"/>
  <c r="G21" i="63"/>
  <c r="L21" i="63" s="1"/>
  <c r="D139" i="52"/>
  <c r="D110" i="52"/>
  <c r="N29" i="63"/>
  <c r="P29" i="63" s="1"/>
  <c r="R29" i="63" s="1"/>
  <c r="I29" i="63"/>
  <c r="X29" i="63" s="1"/>
  <c r="AB29" i="63" s="1"/>
  <c r="AE29" i="63" s="1"/>
  <c r="AC29" i="63" s="1"/>
  <c r="G107" i="52"/>
  <c r="AH36" i="63"/>
  <c r="L17" i="63"/>
  <c r="AH44" i="63"/>
  <c r="G62" i="52"/>
  <c r="F126" i="52"/>
  <c r="P47" i="46"/>
  <c r="M92" i="35"/>
  <c r="M87" i="35"/>
  <c r="AH28" i="63"/>
  <c r="AB41" i="63"/>
  <c r="Z41" i="63"/>
  <c r="N19" i="63"/>
  <c r="P19" i="63" s="1"/>
  <c r="R19" i="63" s="1"/>
  <c r="I19" i="63"/>
  <c r="X19" i="63" s="1"/>
  <c r="AB19" i="63" s="1"/>
  <c r="AE19" i="63" s="1"/>
  <c r="AC19" i="63" s="1"/>
  <c r="L26" i="63"/>
  <c r="L31" i="63" s="1"/>
  <c r="H46" i="52"/>
  <c r="H45" i="52" s="1"/>
  <c r="H41" i="52" s="1"/>
  <c r="E165" i="52"/>
  <c r="E166" i="52"/>
  <c r="E164" i="52"/>
  <c r="N40" i="63"/>
  <c r="P40" i="63" s="1"/>
  <c r="R40" i="63" s="1"/>
  <c r="I40" i="63"/>
  <c r="X40" i="63" s="1"/>
  <c r="AB40" i="63" s="1"/>
  <c r="AE40" i="63" s="1"/>
  <c r="G58" i="52"/>
  <c r="H75" i="52"/>
  <c r="H78" i="52" s="1"/>
  <c r="AH23" i="63"/>
  <c r="V12" i="63"/>
  <c r="H14" i="63"/>
  <c r="H47" i="63" s="1"/>
  <c r="P39" i="63"/>
  <c r="L37" i="63"/>
  <c r="Y43" i="63"/>
  <c r="AD43" i="63" s="1"/>
  <c r="Q43" i="63"/>
  <c r="D129" i="52"/>
  <c r="W26" i="63"/>
  <c r="W31" i="63" s="1"/>
  <c r="V31" i="63"/>
  <c r="AD33" i="63"/>
  <c r="Y35" i="63"/>
  <c r="Y31" i="63"/>
  <c r="AD26" i="63"/>
  <c r="Y38" i="63"/>
  <c r="AD37" i="63"/>
  <c r="H67" i="52"/>
  <c r="H66" i="52" s="1"/>
  <c r="H62" i="52" s="1"/>
  <c r="H61" i="52" s="1"/>
  <c r="AG42" i="63"/>
  <c r="AC42" i="63"/>
  <c r="AF42" i="63"/>
  <c r="G36" i="63"/>
  <c r="L36" i="63" s="1"/>
  <c r="D61" i="52"/>
  <c r="F111" i="52"/>
  <c r="F157" i="15"/>
  <c r="F155" i="15"/>
  <c r="F165" i="15"/>
  <c r="AH21" i="63"/>
  <c r="G29" i="63"/>
  <c r="G31" i="63" s="1"/>
  <c r="D107" i="52"/>
  <c r="H19" i="52"/>
  <c r="H18" i="52" s="1"/>
  <c r="H24" i="52" s="1"/>
  <c r="F137" i="52"/>
  <c r="H126" i="52"/>
  <c r="E25" i="67"/>
  <c r="E13" i="67"/>
  <c r="H59" i="52"/>
  <c r="H58" i="52" s="1"/>
  <c r="F55" i="52"/>
  <c r="H166" i="52"/>
  <c r="C72" i="52"/>
  <c r="C138" i="52" s="1"/>
  <c r="C145" i="52" s="1"/>
  <c r="N27" i="63"/>
  <c r="P27" i="63" s="1"/>
  <c r="R27" i="63" s="1"/>
  <c r="I27" i="63"/>
  <c r="X27" i="63" s="1"/>
  <c r="AB27" i="63" s="1"/>
  <c r="AE27" i="63" s="1"/>
  <c r="AC27" i="63" s="1"/>
  <c r="K33" i="48"/>
  <c r="K47" i="48" s="1"/>
  <c r="K49" i="48" s="1"/>
  <c r="D107" i="35"/>
  <c r="D111" i="35" s="1"/>
  <c r="J39" i="63"/>
  <c r="J46" i="63" s="1"/>
  <c r="G46" i="63"/>
  <c r="H83" i="52"/>
  <c r="AD39" i="63"/>
  <c r="W37" i="63"/>
  <c r="N21" i="63"/>
  <c r="P21" i="63" s="1"/>
  <c r="R21" i="63" s="1"/>
  <c r="I21" i="63"/>
  <c r="X21" i="63" s="1"/>
  <c r="AB21" i="63" s="1"/>
  <c r="AE21" i="63" s="1"/>
  <c r="AC21" i="63" s="1"/>
  <c r="G110" i="52"/>
  <c r="G129" i="52" s="1"/>
  <c r="G139" i="52"/>
  <c r="H91" i="52"/>
  <c r="H96" i="52" s="1"/>
  <c r="G77" i="67"/>
  <c r="F64" i="67"/>
  <c r="G64" i="67" s="1"/>
  <c r="G52" i="67"/>
  <c r="E77" i="67" s="1"/>
  <c r="E86" i="67" s="1"/>
  <c r="AH22" i="63"/>
  <c r="H102" i="52"/>
  <c r="G23" i="63"/>
  <c r="L23" i="63" s="1"/>
  <c r="D137" i="52"/>
  <c r="N22" i="17"/>
  <c r="M22" i="17"/>
  <c r="R22" i="17" s="1"/>
  <c r="P22" i="17"/>
  <c r="O22" i="17"/>
  <c r="M94" i="35"/>
  <c r="H55" i="52"/>
  <c r="AB45" i="63"/>
  <c r="AE45" i="63" s="1"/>
  <c r="Z45" i="63"/>
  <c r="AD45" i="63" s="1"/>
  <c r="Y14" i="63"/>
  <c r="AD12" i="63"/>
  <c r="N13" i="63"/>
  <c r="P13" i="63" s="1"/>
  <c r="R13" i="63" s="1"/>
  <c r="I13" i="63"/>
  <c r="X13" i="63" s="1"/>
  <c r="AB13" i="63" s="1"/>
  <c r="AE13" i="63" s="1"/>
  <c r="AC13" i="63" s="1"/>
  <c r="N26" i="63"/>
  <c r="I26" i="63"/>
  <c r="Y25" i="63"/>
  <c r="AD17" i="63"/>
  <c r="F63" i="52"/>
  <c r="F62" i="52" s="1"/>
  <c r="F61" i="52" s="1"/>
  <c r="M93" i="35"/>
  <c r="C112" i="35"/>
  <c r="F102" i="52"/>
  <c r="E155" i="15"/>
  <c r="E157" i="15"/>
  <c r="E165" i="15"/>
  <c r="H48" i="48" s="1"/>
  <c r="N20" i="63"/>
  <c r="P20" i="63" s="1"/>
  <c r="R20" i="63" s="1"/>
  <c r="I20" i="63"/>
  <c r="X20" i="63" s="1"/>
  <c r="AB20" i="63" s="1"/>
  <c r="AE20" i="63" s="1"/>
  <c r="AC20" i="63" s="1"/>
  <c r="H132" i="52"/>
  <c r="H131" i="52" s="1"/>
  <c r="H137" i="52" s="1"/>
  <c r="V35" i="63"/>
  <c r="W33" i="63"/>
  <c r="W35" i="63" s="1"/>
  <c r="G35" i="63"/>
  <c r="L33" i="63"/>
  <c r="L35" i="63" s="1"/>
  <c r="N22" i="63"/>
  <c r="P22" i="63" s="1"/>
  <c r="R22" i="63" s="1"/>
  <c r="I22" i="63"/>
  <c r="X22" i="63" s="1"/>
  <c r="AB22" i="63" s="1"/>
  <c r="AE22" i="63" s="1"/>
  <c r="AC22" i="63" s="1"/>
  <c r="L46" i="63"/>
  <c r="V46" i="63"/>
  <c r="W39" i="63"/>
  <c r="W46" i="63" s="1"/>
  <c r="V36" i="63"/>
  <c r="W36" i="63" s="1"/>
  <c r="M36" i="63"/>
  <c r="AH27" i="63"/>
  <c r="L25" i="67"/>
  <c r="E17" i="67"/>
  <c r="F83" i="52"/>
  <c r="E62" i="52"/>
  <c r="E61" i="52" s="1"/>
  <c r="E72" i="52" s="1"/>
  <c r="E138" i="52" s="1"/>
  <c r="E145" i="52" s="1"/>
  <c r="D41" i="52"/>
  <c r="G12" i="63" s="1"/>
  <c r="AA41" i="63"/>
  <c r="M46" i="63"/>
  <c r="O40" i="63"/>
  <c r="K46" i="63"/>
  <c r="K47" i="63" s="1"/>
  <c r="D94" i="63" s="1"/>
  <c r="F51" i="52"/>
  <c r="F41" i="52" s="1"/>
  <c r="L40" i="67"/>
  <c r="M40" i="67"/>
  <c r="AH29" i="63"/>
  <c r="I35" i="63"/>
  <c r="X33" i="63"/>
  <c r="H72" i="52" l="1"/>
  <c r="G25" i="63"/>
  <c r="I46" i="63"/>
  <c r="V38" i="63"/>
  <c r="H48" i="63"/>
  <c r="E179" i="15"/>
  <c r="E162" i="52"/>
  <c r="P77" i="35"/>
  <c r="E158" i="52"/>
  <c r="H84" i="63"/>
  <c r="I13" i="68"/>
  <c r="D48" i="46"/>
  <c r="O46" i="46"/>
  <c r="O50" i="46" s="1"/>
  <c r="P50" i="46" s="1"/>
  <c r="H84" i="48"/>
  <c r="C158" i="52"/>
  <c r="C156" i="52"/>
  <c r="I14" i="68" s="1"/>
  <c r="C146" i="35"/>
  <c r="D112" i="35"/>
  <c r="D125" i="35" s="1"/>
  <c r="D126" i="35" s="1"/>
  <c r="AG17" i="63"/>
  <c r="AF17" i="63"/>
  <c r="AF25" i="63" s="1"/>
  <c r="AD25" i="63"/>
  <c r="P46" i="63"/>
  <c r="R39" i="63"/>
  <c r="R46" i="63" s="1"/>
  <c r="L33" i="48"/>
  <c r="L47" i="48" s="1"/>
  <c r="L49" i="48" s="1"/>
  <c r="D141" i="35"/>
  <c r="D145" i="35" s="1"/>
  <c r="AB33" i="63"/>
  <c r="X35" i="63"/>
  <c r="AG45" i="63"/>
  <c r="AC45" i="63"/>
  <c r="AF45" i="63"/>
  <c r="G86" i="67"/>
  <c r="AD38" i="63"/>
  <c r="AF37" i="63"/>
  <c r="AF38" i="63" s="1"/>
  <c r="AG37" i="63"/>
  <c r="L38" i="63"/>
  <c r="N46" i="63"/>
  <c r="C107" i="35"/>
  <c r="D154" i="15"/>
  <c r="F129" i="52"/>
  <c r="L25" i="63"/>
  <c r="P37" i="63"/>
  <c r="R33" i="63"/>
  <c r="R35" i="63" s="1"/>
  <c r="P35" i="63"/>
  <c r="Y40" i="63"/>
  <c r="Q40" i="63"/>
  <c r="Q46" i="63" s="1"/>
  <c r="Q47" i="63" s="1"/>
  <c r="D96" i="63" s="1"/>
  <c r="O46" i="63"/>
  <c r="O47" i="63" s="1"/>
  <c r="D93" i="63" s="1"/>
  <c r="D95" i="63" s="1"/>
  <c r="J48" i="48"/>
  <c r="AG43" i="63"/>
  <c r="AC43" i="63"/>
  <c r="AF43" i="63"/>
  <c r="AE41" i="63"/>
  <c r="AA46" i="63"/>
  <c r="AA36" i="63"/>
  <c r="M38" i="63"/>
  <c r="M47" i="63" s="1"/>
  <c r="I31" i="63"/>
  <c r="X26" i="63"/>
  <c r="AG39" i="63"/>
  <c r="AF39" i="63"/>
  <c r="D113" i="35"/>
  <c r="F139" i="52"/>
  <c r="F110" i="52"/>
  <c r="G38" i="63"/>
  <c r="H49" i="63"/>
  <c r="Z46" i="63"/>
  <c r="Z47" i="63" s="1"/>
  <c r="AD41" i="63"/>
  <c r="N36" i="63"/>
  <c r="P36" i="63" s="1"/>
  <c r="R36" i="63" s="1"/>
  <c r="I36" i="63"/>
  <c r="X36" i="63" s="1"/>
  <c r="AB36" i="63" s="1"/>
  <c r="G61" i="52"/>
  <c r="G72" i="52" s="1"/>
  <c r="G138" i="52" s="1"/>
  <c r="G145" i="52" s="1"/>
  <c r="X37" i="63"/>
  <c r="H110" i="52"/>
  <c r="H129" i="52" s="1"/>
  <c r="H138" i="52" s="1"/>
  <c r="H145" i="52" s="1"/>
  <c r="H139" i="52"/>
  <c r="I14" i="63"/>
  <c r="X12" i="63"/>
  <c r="D25" i="67"/>
  <c r="E41" i="67" s="1"/>
  <c r="F25" i="67"/>
  <c r="F34" i="67" s="1"/>
  <c r="X17" i="63"/>
  <c r="I25" i="63"/>
  <c r="J12" i="63"/>
  <c r="J14" i="63" s="1"/>
  <c r="J47" i="63" s="1"/>
  <c r="G14" i="63"/>
  <c r="K25" i="67"/>
  <c r="L41" i="67" s="1"/>
  <c r="M34" i="67"/>
  <c r="M25" i="67"/>
  <c r="F107" i="52"/>
  <c r="F72" i="52"/>
  <c r="P26" i="63"/>
  <c r="N31" i="63"/>
  <c r="AG12" i="63"/>
  <c r="AF12" i="63"/>
  <c r="AF14" i="63" s="1"/>
  <c r="AD14" i="63"/>
  <c r="H107" i="52"/>
  <c r="W38" i="63"/>
  <c r="E18" i="67"/>
  <c r="D27" i="34"/>
  <c r="G48" i="48"/>
  <c r="D72" i="52"/>
  <c r="D138" i="52" s="1"/>
  <c r="D145" i="52" s="1"/>
  <c r="AH42" i="63"/>
  <c r="AF26" i="63"/>
  <c r="AF31" i="63" s="1"/>
  <c r="AG26" i="63"/>
  <c r="AD31" i="63"/>
  <c r="AG33" i="63"/>
  <c r="AD35" i="63"/>
  <c r="AF33" i="63"/>
  <c r="AF35" i="63" s="1"/>
  <c r="V14" i="63"/>
  <c r="W12" i="63"/>
  <c r="W14" i="63" s="1"/>
  <c r="X46" i="63"/>
  <c r="AB39" i="63"/>
  <c r="N25" i="63"/>
  <c r="P17" i="63"/>
  <c r="N87" i="35"/>
  <c r="N33" i="48" s="1"/>
  <c r="N47" i="48" s="1"/>
  <c r="P79" i="35"/>
  <c r="N14" i="63"/>
  <c r="P12" i="63"/>
  <c r="V47" i="63" l="1"/>
  <c r="I38" i="63"/>
  <c r="I47" i="63" s="1"/>
  <c r="D92" i="63" s="1"/>
  <c r="F138" i="52"/>
  <c r="F145" i="52" s="1"/>
  <c r="F162" i="52" s="1"/>
  <c r="L26" i="67"/>
  <c r="AH43" i="63"/>
  <c r="G85" i="63"/>
  <c r="G85" i="48"/>
  <c r="F13" i="68"/>
  <c r="H156" i="52"/>
  <c r="F14" i="68" s="1"/>
  <c r="P64" i="35"/>
  <c r="G48" i="63"/>
  <c r="H85" i="63"/>
  <c r="H85" i="48"/>
  <c r="J13" i="68"/>
  <c r="H158" i="52"/>
  <c r="G156" i="52"/>
  <c r="C148" i="35"/>
  <c r="AB46" i="63"/>
  <c r="AE39" i="63"/>
  <c r="AG41" i="63"/>
  <c r="AH41" i="63" s="1"/>
  <c r="AC41" i="63"/>
  <c r="AF41" i="63"/>
  <c r="AE36" i="63"/>
  <c r="AC36" i="63" s="1"/>
  <c r="AA38" i="63"/>
  <c r="AA47" i="63" s="1"/>
  <c r="D146" i="35"/>
  <c r="E146" i="35" s="1"/>
  <c r="M35" i="67"/>
  <c r="G75" i="67"/>
  <c r="G84" i="67" s="1"/>
  <c r="X31" i="63"/>
  <c r="AB26" i="63"/>
  <c r="P38" i="63"/>
  <c r="R37" i="63"/>
  <c r="R38" i="63" s="1"/>
  <c r="C26" i="34"/>
  <c r="D157" i="15"/>
  <c r="D155" i="15"/>
  <c r="H154" i="15"/>
  <c r="C154" i="15"/>
  <c r="D165" i="15"/>
  <c r="D162" i="52" s="1"/>
  <c r="AH37" i="63"/>
  <c r="AH38" i="63" s="1"/>
  <c r="AG38" i="63"/>
  <c r="D147" i="35"/>
  <c r="AG25" i="63"/>
  <c r="AH17" i="63"/>
  <c r="AH25" i="63" s="1"/>
  <c r="P31" i="63"/>
  <c r="R26" i="63"/>
  <c r="R31" i="63" s="1"/>
  <c r="E75" i="67"/>
  <c r="E84" i="67" s="1"/>
  <c r="F35" i="67"/>
  <c r="F75" i="67"/>
  <c r="F84" i="67" s="1"/>
  <c r="R12" i="63"/>
  <c r="R14" i="63" s="1"/>
  <c r="P14" i="63"/>
  <c r="R17" i="63"/>
  <c r="R25" i="63" s="1"/>
  <c r="P25" i="63"/>
  <c r="W47" i="63"/>
  <c r="AH33" i="63"/>
  <c r="AH35" i="63" s="1"/>
  <c r="AG35" i="63"/>
  <c r="AG31" i="63"/>
  <c r="AH26" i="63"/>
  <c r="AH31" i="63" s="1"/>
  <c r="I48" i="48"/>
  <c r="AG14" i="63"/>
  <c r="AH12" i="63"/>
  <c r="AH14" i="63" s="1"/>
  <c r="X25" i="63"/>
  <c r="AB17" i="63"/>
  <c r="E26" i="67"/>
  <c r="AH39" i="63"/>
  <c r="AD40" i="63"/>
  <c r="Y46" i="63"/>
  <c r="Y47" i="63" s="1"/>
  <c r="N38" i="63"/>
  <c r="C141" i="35"/>
  <c r="E107" i="35"/>
  <c r="C111" i="35"/>
  <c r="E13" i="68"/>
  <c r="E48" i="46"/>
  <c r="P46" i="46"/>
  <c r="G84" i="63"/>
  <c r="G33" i="48"/>
  <c r="P62" i="35"/>
  <c r="Q62" i="35" s="1"/>
  <c r="G84" i="48"/>
  <c r="D179" i="15"/>
  <c r="D156" i="52"/>
  <c r="E14" i="68" s="1"/>
  <c r="AB35" i="63"/>
  <c r="AE33" i="63"/>
  <c r="N47" i="63"/>
  <c r="D28" i="34"/>
  <c r="E27" i="34"/>
  <c r="N31" i="67"/>
  <c r="N28" i="67"/>
  <c r="F50" i="67" s="1"/>
  <c r="F62" i="67" s="1"/>
  <c r="N25" i="67"/>
  <c r="F49" i="67" s="1"/>
  <c r="G47" i="63"/>
  <c r="G31" i="67"/>
  <c r="G28" i="67"/>
  <c r="E50" i="67" s="1"/>
  <c r="G25" i="67"/>
  <c r="E49" i="67" s="1"/>
  <c r="X14" i="63"/>
  <c r="AB12" i="63"/>
  <c r="X38" i="63"/>
  <c r="AB37" i="63"/>
  <c r="P49" i="63"/>
  <c r="R49" i="63" s="1"/>
  <c r="L47" i="63"/>
  <c r="AH45" i="63"/>
  <c r="E112" i="35"/>
  <c r="F179" i="15" l="1"/>
  <c r="P63" i="35"/>
  <c r="Q63" i="35" s="1"/>
  <c r="G49" i="67"/>
  <c r="E61" i="67"/>
  <c r="AF40" i="63"/>
  <c r="AF46" i="63" s="1"/>
  <c r="AF47" i="63" s="1"/>
  <c r="D98" i="63" s="1"/>
  <c r="D100" i="63" s="1"/>
  <c r="AG40" i="63"/>
  <c r="AC40" i="63"/>
  <c r="AD46" i="63"/>
  <c r="AD47" i="63" s="1"/>
  <c r="E62" i="67"/>
  <c r="G62" i="67" s="1"/>
  <c r="G50" i="67"/>
  <c r="E141" i="35"/>
  <c r="E145" i="35" s="1"/>
  <c r="C145" i="35"/>
  <c r="C147" i="35" s="1"/>
  <c r="E147" i="35" s="1"/>
  <c r="P47" i="63"/>
  <c r="F18" i="68"/>
  <c r="F16" i="68"/>
  <c r="AB38" i="63"/>
  <c r="AE37" i="63"/>
  <c r="F74" i="67"/>
  <c r="E51" i="67"/>
  <c r="E74" i="67"/>
  <c r="G74" i="67"/>
  <c r="F51" i="67"/>
  <c r="F63" i="67" s="1"/>
  <c r="R47" i="63"/>
  <c r="C157" i="15"/>
  <c r="C155" i="15"/>
  <c r="G154" i="15"/>
  <c r="C165" i="15"/>
  <c r="E26" i="34"/>
  <c r="C28" i="34"/>
  <c r="E28" i="34" s="1"/>
  <c r="AB31" i="63"/>
  <c r="AE26" i="63"/>
  <c r="J18" i="68"/>
  <c r="J16" i="68"/>
  <c r="F61" i="67"/>
  <c r="F53" i="67"/>
  <c r="AB25" i="63"/>
  <c r="AE17" i="63"/>
  <c r="AB14" i="63"/>
  <c r="AE12" i="63"/>
  <c r="H33" i="48"/>
  <c r="O87" i="35"/>
  <c r="I33" i="48"/>
  <c r="G47" i="48"/>
  <c r="G49" i="48" s="1"/>
  <c r="X47" i="63"/>
  <c r="G49" i="63"/>
  <c r="H55" i="63" s="1"/>
  <c r="H52" i="63"/>
  <c r="AE35" i="63"/>
  <c r="AC33" i="63"/>
  <c r="AC35" i="63" s="1"/>
  <c r="C113" i="35"/>
  <c r="E113" i="35" s="1"/>
  <c r="I99" i="35" s="1"/>
  <c r="E111" i="35"/>
  <c r="C132" i="35" s="1"/>
  <c r="H157" i="15"/>
  <c r="H155" i="15"/>
  <c r="H165" i="15"/>
  <c r="AE46" i="63"/>
  <c r="AC39" i="63"/>
  <c r="AC46" i="63" s="1"/>
  <c r="AB47" i="63" l="1"/>
  <c r="M33" i="48"/>
  <c r="M47" i="48" s="1"/>
  <c r="I47" i="48"/>
  <c r="I49" i="48" s="1"/>
  <c r="AE14" i="63"/>
  <c r="AC12" i="63"/>
  <c r="AC14" i="63" s="1"/>
  <c r="C179" i="15"/>
  <c r="C162" i="52"/>
  <c r="K61" i="67"/>
  <c r="F65" i="67"/>
  <c r="G157" i="15"/>
  <c r="G155" i="15"/>
  <c r="G165" i="15"/>
  <c r="E83" i="67"/>
  <c r="E76" i="67"/>
  <c r="I61" i="67"/>
  <c r="G61" i="67"/>
  <c r="AE31" i="63"/>
  <c r="AC26" i="63"/>
  <c r="AC31" i="63" s="1"/>
  <c r="G76" i="67"/>
  <c r="G83" i="67"/>
  <c r="AE38" i="63"/>
  <c r="AC37" i="63"/>
  <c r="AC38" i="63" s="1"/>
  <c r="E63" i="67"/>
  <c r="G63" i="67" s="1"/>
  <c r="G51" i="67"/>
  <c r="G53" i="67" s="1"/>
  <c r="H65" i="67" s="1"/>
  <c r="H179" i="15"/>
  <c r="H162" i="52"/>
  <c r="J33" i="48"/>
  <c r="J47" i="48" s="1"/>
  <c r="J49" i="48" s="1"/>
  <c r="H47" i="48"/>
  <c r="AE25" i="63"/>
  <c r="AC17" i="63"/>
  <c r="AC25" i="63" s="1"/>
  <c r="S36" i="48"/>
  <c r="S31" i="48"/>
  <c r="S25" i="48"/>
  <c r="S14" i="48"/>
  <c r="S39" i="48"/>
  <c r="S46" i="48"/>
  <c r="S32" i="48"/>
  <c r="S48" i="48"/>
  <c r="S33" i="48"/>
  <c r="F76" i="67"/>
  <c r="F83" i="67"/>
  <c r="AH40" i="63"/>
  <c r="AH46" i="63" s="1"/>
  <c r="AH47" i="63" s="1"/>
  <c r="AG46" i="63"/>
  <c r="AG47" i="63" s="1"/>
  <c r="E53" i="67"/>
  <c r="S47" i="48" l="1"/>
  <c r="S49" i="48" s="1"/>
  <c r="E65" i="67"/>
  <c r="G65" i="67"/>
  <c r="H61" i="67"/>
  <c r="AC47" i="63"/>
  <c r="G85" i="67"/>
  <c r="G73" i="67"/>
  <c r="G82" i="67" s="1"/>
  <c r="G162" i="52"/>
  <c r="G179" i="15"/>
  <c r="AE47" i="63"/>
  <c r="D99" i="63" s="1"/>
  <c r="F73" i="67"/>
  <c r="F82" i="67" s="1"/>
  <c r="F85" i="67"/>
  <c r="H49" i="48"/>
  <c r="H52" i="48"/>
  <c r="E73" i="67"/>
  <c r="E82" i="67" s="1"/>
  <c r="E85" i="67"/>
  <c r="H55" i="48" l="1"/>
  <c r="T36" i="48"/>
  <c r="T31" i="48"/>
  <c r="T25" i="48"/>
  <c r="T14" i="48"/>
  <c r="T39" i="48"/>
  <c r="T46" i="48"/>
  <c r="T32" i="48"/>
  <c r="T48" i="48"/>
  <c r="T33" i="48"/>
  <c r="T47" i="48" l="1"/>
</calcChain>
</file>

<file path=xl/comments1.xml><?xml version="1.0" encoding="utf-8"?>
<comments xmlns="http://schemas.openxmlformats.org/spreadsheetml/2006/main">
  <authors>
    <author>Vic Goldenberg</author>
    <author>User</author>
  </authors>
  <commentList>
    <comment ref="F20" authorId="0" shapeId="0">
      <text>
        <r>
          <rPr>
            <b/>
            <sz val="9"/>
            <rFont val="Tahoma"/>
            <family val="2"/>
          </rPr>
          <t>Vic Goldenberg:</t>
        </r>
        <r>
          <rPr>
            <sz val="9"/>
            <rFont val="Tahoma"/>
            <family val="2"/>
          </rPr>
          <t xml:space="preserve">
DG este in preturi 2023
IPC constructii
</t>
        </r>
      </text>
    </comment>
    <comment ref="G20" authorId="0" shapeId="0">
      <text>
        <r>
          <rPr>
            <b/>
            <sz val="9"/>
            <rFont val="Tahoma"/>
            <family val="2"/>
          </rPr>
          <t>Vic Goldenberg:</t>
        </r>
        <r>
          <rPr>
            <sz val="9"/>
            <rFont val="Tahoma"/>
            <family val="2"/>
          </rPr>
          <t xml:space="preserve">
DG este in preturi 2025
IPC constructii </t>
        </r>
      </text>
    </comment>
    <comment ref="E28" authorId="1" shapeId="0">
      <text>
        <r>
          <rPr>
            <b/>
            <sz val="9"/>
            <rFont val="Segoe UI"/>
            <family val="2"/>
            <charset val="238"/>
          </rPr>
          <t>User:</t>
        </r>
        <r>
          <rPr>
            <sz val="9"/>
            <rFont val="Segoe UI"/>
            <family val="2"/>
            <charset val="238"/>
          </rPr>
          <t xml:space="preserve">
</t>
        </r>
        <r>
          <rPr>
            <sz val="11"/>
            <rFont val="Segoe UI"/>
            <family val="2"/>
            <charset val="238"/>
          </rPr>
          <t>The pro-rata of 60% is an estimative value. Pro-rata should be calculated based on the waste flows for the project.</t>
        </r>
      </text>
    </comment>
  </commentList>
</comments>
</file>

<file path=xl/comments2.xml><?xml version="1.0" encoding="utf-8"?>
<comments xmlns="http://schemas.openxmlformats.org/spreadsheetml/2006/main">
  <authors>
    <author>b</author>
  </authors>
  <commentList>
    <comment ref="Q65" authorId="0" shapeId="0">
      <text>
        <r>
          <rPr>
            <b/>
            <sz val="8"/>
            <color rgb="FF000000"/>
            <rFont val="Tahoma"/>
            <family val="2"/>
          </rPr>
          <t>b: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 xml:space="preserve">lipseste site preparation
</t>
        </r>
      </text>
    </comment>
  </commentList>
</comments>
</file>

<file path=xl/comments3.xml><?xml version="1.0" encoding="utf-8"?>
<comments xmlns="http://schemas.openxmlformats.org/spreadsheetml/2006/main">
  <authors>
    <author>b</author>
  </authors>
  <commentList>
    <comment ref="Q65" authorId="0" shapeId="0">
      <text>
        <r>
          <rPr>
            <b/>
            <sz val="8"/>
            <rFont val="Tahoma"/>
            <family val="2"/>
          </rPr>
          <t>b:</t>
        </r>
        <r>
          <rPr>
            <sz val="8"/>
            <rFont val="Tahoma"/>
            <family val="2"/>
          </rPr>
          <t xml:space="preserve">
lipseste site preparation
</t>
        </r>
      </text>
    </comment>
  </commentList>
</comments>
</file>

<file path=xl/comments4.xml><?xml version="1.0" encoding="utf-8"?>
<comments xmlns="http://schemas.openxmlformats.org/spreadsheetml/2006/main">
  <authors>
    <author>liviu.garlea</author>
  </authors>
  <commentList>
    <comment ref="C23" authorId="0" shapeId="0">
      <text>
        <r>
          <rPr>
            <b/>
            <sz val="9"/>
            <rFont val="Tahoma"/>
            <family val="2"/>
          </rPr>
          <t>liviu.garlea:</t>
        </r>
        <r>
          <rPr>
            <sz val="9"/>
            <rFont val="Tahoma"/>
            <family val="2"/>
          </rPr>
          <t xml:space="preserve">
facem 1km de drum,, restul benef, in ce parte vrea el</t>
        </r>
      </text>
    </comment>
  </commentList>
</comments>
</file>

<file path=xl/comments5.xml><?xml version="1.0" encoding="utf-8"?>
<comments xmlns="http://schemas.openxmlformats.org/spreadsheetml/2006/main">
  <authors>
    <author>b</author>
  </authors>
  <commentList>
    <comment ref="T65" authorId="0" shapeId="0">
      <text>
        <r>
          <rPr>
            <b/>
            <sz val="8"/>
            <rFont val="Tahoma"/>
            <family val="2"/>
          </rPr>
          <t>b:</t>
        </r>
        <r>
          <rPr>
            <sz val="8"/>
            <rFont val="Tahoma"/>
            <family val="2"/>
          </rPr>
          <t xml:space="preserve">
lipseste site preparation
</t>
        </r>
      </text>
    </comment>
  </commentList>
</comments>
</file>

<file path=xl/sharedStrings.xml><?xml version="1.0" encoding="utf-8"?>
<sst xmlns="http://schemas.openxmlformats.org/spreadsheetml/2006/main" count="3517" uniqueCount="1143">
  <si>
    <t>Language (1 = Rom., other - Eng.)</t>
  </si>
  <si>
    <t>Elemente fixe</t>
  </si>
  <si>
    <t>Surse:</t>
  </si>
  <si>
    <t>Prognoza-de-primavara-2023-2026</t>
  </si>
  <si>
    <t>publicata in mai 2023</t>
  </si>
  <si>
    <t>TVA</t>
  </si>
  <si>
    <t>Prognoza-2022-2026-in-profil-teritorial-aferenta-Prognozei-de-toamna-2022 - ianuarie 2023</t>
  </si>
  <si>
    <t>curs euro</t>
  </si>
  <si>
    <t>lei</t>
  </si>
  <si>
    <t xml:space="preserve"> </t>
  </si>
  <si>
    <t>Prognoza-2024-2028-varianta-de-vara-2024</t>
  </si>
  <si>
    <t>publicata in septembrie 2024</t>
  </si>
  <si>
    <t>la data</t>
  </si>
  <si>
    <t>inforeuro februarie 2025</t>
  </si>
  <si>
    <t>Prognoza-2023-2027-in-profil-teritorial-aferenta-Prognozei-macroeconomice-de-toamna-2023</t>
  </si>
  <si>
    <t>publicata in ianuarie 2024</t>
  </si>
  <si>
    <t>Prognoza-Toamna-2024-2028</t>
  </si>
  <si>
    <t>Coeficienti</t>
  </si>
  <si>
    <t>Coeficient inflatie</t>
  </si>
  <si>
    <t>valoare DG</t>
  </si>
  <si>
    <t>din care cap. 4</t>
  </si>
  <si>
    <t>crestere preturi agreata de beneficiar</t>
  </si>
  <si>
    <t>IPC general (fata de devizul anterior aprobat)</t>
  </si>
  <si>
    <t>anul</t>
  </si>
  <si>
    <t>total</t>
  </si>
  <si>
    <t>total (control)</t>
  </si>
  <si>
    <t>procent esalonare</t>
  </si>
  <si>
    <t>cresterea pretului in  constructii(% fata de anul anterior)</t>
  </si>
  <si>
    <t>coeficient crestere preturi in constructie</t>
  </si>
  <si>
    <t>val Esalonare constante</t>
  </si>
  <si>
    <t>val esalonare curente</t>
  </si>
  <si>
    <t>Coeficient ajustare</t>
  </si>
  <si>
    <t>Mecanism finantare</t>
  </si>
  <si>
    <t>(deocamdata)</t>
  </si>
  <si>
    <t>Financing mechanism</t>
  </si>
  <si>
    <t>2024-2026</t>
  </si>
  <si>
    <t>Flat rate</t>
  </si>
  <si>
    <t>%</t>
  </si>
  <si>
    <t>EU grant</t>
  </si>
  <si>
    <t>National public grant</t>
  </si>
  <si>
    <t>Coeficienti pentru intangibile</t>
  </si>
  <si>
    <t>Chapter 3: Expenditure for design and technical assistance</t>
  </si>
  <si>
    <t>3.1</t>
  </si>
  <si>
    <t>Field studies (topo, geotechnical, hydrogeological etc.)</t>
  </si>
  <si>
    <t>of items 1.2+1.3+2+4.1+4.2+5.1.1 (Construction and Installation works)</t>
  </si>
  <si>
    <t>altele decat cele de la SF, care nu intra in acest deviz</t>
  </si>
  <si>
    <t>3.2</t>
  </si>
  <si>
    <t>Attainment of permits and authorisations</t>
  </si>
  <si>
    <t>Costuri avize, acorduri si autorizatii diverse</t>
  </si>
  <si>
    <t>Costuri autorizatia de construire</t>
  </si>
  <si>
    <t>3.5</t>
  </si>
  <si>
    <t>Design and engineering</t>
  </si>
  <si>
    <t>3.6</t>
  </si>
  <si>
    <t>Organization of public procurement procedures</t>
  </si>
  <si>
    <t>3.7</t>
  </si>
  <si>
    <t>Technical Assistance</t>
  </si>
  <si>
    <t>Chapter 5: Other expenditure</t>
  </si>
  <si>
    <t>5.1</t>
  </si>
  <si>
    <t>Site mobilisation</t>
  </si>
  <si>
    <t>of items 1.2+1.3+2+4.1+4.2</t>
  </si>
  <si>
    <t>related Civil works</t>
  </si>
  <si>
    <t>Other expensiture</t>
  </si>
  <si>
    <t>5.2</t>
  </si>
  <si>
    <t>Commissions, legal fees and quotas</t>
  </si>
  <si>
    <t>5.3</t>
  </si>
  <si>
    <t>Technical Contingencies</t>
  </si>
  <si>
    <t>of items 1.2+1.3+1.4+2+3.5+3.8+4</t>
  </si>
  <si>
    <t>expressed in % of "Net Investment"</t>
  </si>
  <si>
    <t>Chapter 6: Expenditure for technological samples and tests and handing over to the beneficiary</t>
  </si>
  <si>
    <t>6.1</t>
  </si>
  <si>
    <t>Training of the operational staff</t>
  </si>
  <si>
    <t>of items 4.3</t>
  </si>
  <si>
    <t>6.2</t>
  </si>
  <si>
    <t>Expenditures for Works Testing</t>
  </si>
  <si>
    <t>Cheltuieli salariale cu echipa de management proiect (max)</t>
  </si>
  <si>
    <t>ROUNDDOWN(max 0,2%*valoarea eligibila a proiectului;0)</t>
  </si>
  <si>
    <t>ok</t>
  </si>
  <si>
    <t>Cheltuieli de deplasare pentru personal management proiect (max)</t>
  </si>
  <si>
    <t>Cheltuieli cu achiziția de active fixe corporale (altele decât terenuri, imobile și mijloace de transport), obiecte de inventar, materiale consumabile</t>
  </si>
  <si>
    <t>max 10.000 euro in preturi curente</t>
  </si>
  <si>
    <t>Sume fixe</t>
  </si>
  <si>
    <t>EURO</t>
  </si>
  <si>
    <t>fara TVA</t>
  </si>
  <si>
    <t xml:space="preserve">Managementul de proiect pentru obiectivul de investitii </t>
  </si>
  <si>
    <t xml:space="preserve">euro, estimat, </t>
  </si>
  <si>
    <t>Audit</t>
  </si>
  <si>
    <t>euro, fara TVA, preturi constante</t>
  </si>
  <si>
    <t>Cheltuieli de informare și publicitate pentru proiect, care rezultă din obligațiile beneficiarului</t>
  </si>
  <si>
    <t xml:space="preserve">euro,estimat  </t>
  </si>
  <si>
    <t>Cheltuieli de promovare a serviciului - campania de constientizare a publicului</t>
  </si>
  <si>
    <t>estimat 0,5 euro/pers</t>
  </si>
  <si>
    <t>Proiectare tehnica pt Centre</t>
  </si>
  <si>
    <t>Proiectare tehnica pt ITDCS</t>
  </si>
  <si>
    <t>1% din valoarea instalatiei</t>
  </si>
  <si>
    <t>de completat manual</t>
  </si>
  <si>
    <t>SISTEM DE MANAGEMENT INTEGRAT AL DEȘEURILOR DIN JUDEȚUL DÂMBOVIȚA</t>
  </si>
  <si>
    <t>DEVIZ GENERAL - v10</t>
  </si>
  <si>
    <t>SMID DÂMBOVIȚA 
cheltuieli totale proiect (PDD+AFM)</t>
  </si>
  <si>
    <t>in conformitate cu HG907/2016 cu modif HG1116/2023</t>
  </si>
  <si>
    <t>Nr. Crt.</t>
  </si>
  <si>
    <t>Denumirea capitolelor si subcapitolelor de cheltuieli</t>
  </si>
  <si>
    <t>Valoare fara  TVA</t>
  </si>
  <si>
    <t xml:space="preserve">TVA </t>
  </si>
  <si>
    <t>Valoare cu  TVA</t>
  </si>
  <si>
    <t>Valoare eligibila</t>
  </si>
  <si>
    <t>TVA eligibil</t>
  </si>
  <si>
    <t>Valoare neeligibila</t>
  </si>
  <si>
    <t>TVA neeligibil</t>
  </si>
  <si>
    <t>LEI</t>
  </si>
  <si>
    <t>CAPITOLUL I - CHELTUIELI PENTRU OBTINEREA SI AMENAJAREA TERENULUI</t>
  </si>
  <si>
    <t>1.1</t>
  </si>
  <si>
    <t>Obtinerea terenului</t>
  </si>
  <si>
    <t>ITDCS</t>
  </si>
  <si>
    <t>1.2</t>
  </si>
  <si>
    <t>Amenajarea terenului</t>
  </si>
  <si>
    <t>1.3</t>
  </si>
  <si>
    <t>Amenajari pentru protectia mediului</t>
  </si>
  <si>
    <t>1.4</t>
  </si>
  <si>
    <t>Cheltuieli pentru relocarea/protectia utilitatilor</t>
  </si>
  <si>
    <t>TOTAL CAP. 1</t>
  </si>
  <si>
    <t>CAPITOLUL 2 - CHELTUIELI PENTRU ASIGURAREA UTILITATILOR NECESARE OBIECTIVULUI DE INVESTITII</t>
  </si>
  <si>
    <t>2.1</t>
  </si>
  <si>
    <t>TOTAL CAP. 2</t>
  </si>
  <si>
    <t>CAPITOLUL 3 - CHELTUIELI PENTRU PROIECTARE SI ASISTENTA TEHNICA</t>
  </si>
  <si>
    <t>Studii</t>
  </si>
  <si>
    <t>3.1.1. Studii de teren</t>
  </si>
  <si>
    <t>3.1.2. Raport privind impactul asupra mediului</t>
  </si>
  <si>
    <t>3.1.3. Alte studii specifice</t>
  </si>
  <si>
    <t>a) Determinarea compozitiei deseurilor menajere, similare si din piete</t>
  </si>
  <si>
    <t>b) Studiu privind posibilitatea colectarii separate a biodeseurilor din deseurile similare</t>
  </si>
  <si>
    <t>c) Alte studii specifice</t>
  </si>
  <si>
    <t>Documentatii-suport si cheltuieli pentru obtinerea de avize, acorduri si autorizatii</t>
  </si>
  <si>
    <t>3.3</t>
  </si>
  <si>
    <t>Expertizare tehnica</t>
  </si>
  <si>
    <t>3.4</t>
  </si>
  <si>
    <t>Certificarea performantei si auditul energetic al cladirilor</t>
  </si>
  <si>
    <t>Proiectare</t>
  </si>
  <si>
    <t>3.5.1 Tema de proiectare</t>
  </si>
  <si>
    <t>3.5.2 PJGD</t>
  </si>
  <si>
    <t>3.5.3 Studiu de fezabilitate si deviz general</t>
  </si>
  <si>
    <t>3.5.4 Documentatii tehnice necesare in vederea obtinerii avizelor/acordurilor/autorizatiilor</t>
  </si>
  <si>
    <t>Proiect tehnic elaborat in cadrul contractului DBO</t>
  </si>
  <si>
    <t>3.5.5 Verificarea tehnica de calitate a proiectului tehnic si a detaliilor de executie</t>
  </si>
  <si>
    <t>3.5.6 Proiect tehnic si detaliile de executie</t>
  </si>
  <si>
    <t xml:space="preserve">Proiect tehnic elaborat de consultant </t>
  </si>
  <si>
    <r>
      <rPr>
        <b/>
        <sz val="10"/>
        <rFont val="Arial"/>
        <family val="2"/>
      </rPr>
      <t>Organizarea procedurilor de achizitii (</t>
    </r>
    <r>
      <rPr>
        <sz val="10"/>
        <rFont val="Arial"/>
        <family val="2"/>
      </rPr>
      <t>inclusiv intocmirea DA)</t>
    </r>
  </si>
  <si>
    <t>AT organizare proceduri achizitie contracte servicii, furnizare, lucrari</t>
  </si>
  <si>
    <t>AT organizare proceduri achizitie contract DBO</t>
  </si>
  <si>
    <t>Consultanta</t>
  </si>
  <si>
    <t xml:space="preserve">3.7.1 Managementul de proiect pentru obiectivul de investitii </t>
  </si>
  <si>
    <t>3.7.2 Auditul financiar</t>
  </si>
  <si>
    <t>3.8</t>
  </si>
  <si>
    <t>Asistenta tehnica</t>
  </si>
  <si>
    <t>3.8.1 Asistenta tehnica din partea proiectantului</t>
  </si>
  <si>
    <t>3.8.1.1 pe perioada de executie a lucrarilor</t>
  </si>
  <si>
    <t>3.8.1.2 pentru participarea proiectantului la fazele incluse in programul de control al lucrarilor de excutie , avizat de catre Inspectoratul de Stat in Constructii</t>
  </si>
  <si>
    <t xml:space="preserve">3.8.2 Dirigentie de santier </t>
  </si>
  <si>
    <t>3.8.3 Coordonator în materie de securitate și sănătate — conform Hotărârii Guvernului nr. 300/2006, cu modificările și completările ulterioare</t>
  </si>
  <si>
    <t>ITDCS (inclus in 3.8.2)</t>
  </si>
  <si>
    <t>TOTAL CAP. 3</t>
  </si>
  <si>
    <t>CAPITOLUL 4 - CHELTUIELI PENTRU INVESTITIA DE BAZA</t>
  </si>
  <si>
    <t>4.1 Constructii si instalatii</t>
  </si>
  <si>
    <t>4.1.1</t>
  </si>
  <si>
    <t xml:space="preserve">TOTAL SUBCAP. 4.1 </t>
  </si>
  <si>
    <t>4.2 Montaj utilaje, echipamente tehnologice si functionale</t>
  </si>
  <si>
    <t>4.2.1</t>
  </si>
  <si>
    <t xml:space="preserve">TOTAL SUBCAP. 4.2 </t>
  </si>
  <si>
    <t>4.3 Utilaje, echipamente tehnologice si functionale care necesita montaj</t>
  </si>
  <si>
    <t>4.3.1</t>
  </si>
  <si>
    <t xml:space="preserve">TOTAL SUBCAP. 4.3 </t>
  </si>
  <si>
    <t>4.4 Utilaje, echipamente tehnologice si functionale care nu necesita montaj si echipamente de transport</t>
  </si>
  <si>
    <t>4.4.1</t>
  </si>
  <si>
    <t>4.4.2</t>
  </si>
  <si>
    <t>Colectare si transport (vehicule)</t>
  </si>
  <si>
    <t xml:space="preserve">TOTAL SUBCAP. 4.4 </t>
  </si>
  <si>
    <t>4.5 Dotări</t>
  </si>
  <si>
    <t>4.5.1</t>
  </si>
  <si>
    <t>4.5.2</t>
  </si>
  <si>
    <t>Colectare si transport  - Recipienti colectare (containere si pubele)</t>
  </si>
  <si>
    <t>4.5.3</t>
  </si>
  <si>
    <t>Compostoare individuale</t>
  </si>
  <si>
    <t xml:space="preserve">TOTAL SUBCAP. 4.5 </t>
  </si>
  <si>
    <t>4.6 Active necorporale</t>
  </si>
  <si>
    <t>4.6.1</t>
  </si>
  <si>
    <t>Software pentru cantarire, monitorizare si control</t>
  </si>
  <si>
    <t xml:space="preserve">TOTAL SUBCAP. 4.6 </t>
  </si>
  <si>
    <t>TOTAL CAP. 4</t>
  </si>
  <si>
    <t>CAPITOLUL 5 - ALTE CHELTUIELI</t>
  </si>
  <si>
    <t>Organizare de santier</t>
  </si>
  <si>
    <t>5.1.1 Lucrari de constructii</t>
  </si>
  <si>
    <t>5.1.2 Cheltuieli conexe organizarii santierului</t>
  </si>
  <si>
    <t>Comisioane, cote, taxe, costul creditului</t>
  </si>
  <si>
    <t>5.2.1 Comisioane si dobanzi aferente creditului bancii finantatoare</t>
  </si>
  <si>
    <t>5.2.2 Cota aferenta ISC pentru controlul calitatii lucrarilor de constructii</t>
  </si>
  <si>
    <t>5.2.3 Cota aferenta ISC pentru controlul statului in amenajarea teritoriului, urbanism si pentru autorizarea lucrarilor</t>
  </si>
  <si>
    <t>5.2.4 Cota aferenta Casei Sociale a Constructorilor - CSC</t>
  </si>
  <si>
    <t>5.2.5 Taxe pentru acorduri, avize conforme si autorizatia de construire/desfiintare</t>
  </si>
  <si>
    <t>Cheltuieli diverse si neprevazute</t>
  </si>
  <si>
    <t>5.4</t>
  </si>
  <si>
    <t>Cheltuieli pentru informare si publicitate</t>
  </si>
  <si>
    <t>TOTAL CAP. 5</t>
  </si>
  <si>
    <t>CAPITOLUL 6 - CHELTUIELI PENTRU PROBE TEHNOLOGICE, TESTE SI PREDAREA LA BENEFICIAR</t>
  </si>
  <si>
    <t>Pregatirea personalului de exploatare</t>
  </si>
  <si>
    <t>Probe tehnologice si teste</t>
  </si>
  <si>
    <t>TOTAL CAP. 6</t>
  </si>
  <si>
    <t>CAPITOLUL 7 - CHELTUIELI AFERENTE MARJEI DE BUGET ȘI PENTRU CONSTITUIREA REZERVEI DE IMPLEMENTARE PENTRU AJUSTAREA DE PREȚ</t>
  </si>
  <si>
    <t>7.1</t>
  </si>
  <si>
    <t>Cheltuieli aferente marjei de buget 25% din (1.2 + 1.3 + 1.4 + 2 + 3.1 + 3.2 + 3.3 + 3.5 + 3.7 + 3.8 + 4 + 5.1.1)</t>
  </si>
  <si>
    <t>7.2</t>
  </si>
  <si>
    <t>Cheltuieli pentru constituirea rezervei de implementare pentru ajustarea de preț</t>
  </si>
  <si>
    <t>TOTAL CAP. 7</t>
  </si>
  <si>
    <t>TOTAL GENERAL (inainte de ajustare pret = preturi constante)</t>
  </si>
  <si>
    <t>TOTAL GENERAL</t>
  </si>
  <si>
    <t>DIN CARE C+M (1.2 + 1.3 + 1.4 + 2 + 4.1 + 4.2 + 5.1.1)</t>
  </si>
  <si>
    <t>CHELTUIELI AFERENTE MANAGEMENTULUI DE PROIECT</t>
  </si>
  <si>
    <t xml:space="preserve">Cheltuieli salariale cu echipa de management proiect </t>
  </si>
  <si>
    <t>TOTAL GENERAL (in preturi CONSTANTE)</t>
  </si>
  <si>
    <t>TOTAL GENERAL (in preturi CURENTE)</t>
  </si>
  <si>
    <t>*ITDCS = Instalatie Tratare Deseuri Colectate Separat Sotanga</t>
  </si>
  <si>
    <t>In preturi la data de :</t>
  </si>
  <si>
    <t>1 Euro =</t>
  </si>
  <si>
    <t>TVA=</t>
  </si>
  <si>
    <t>Data</t>
  </si>
  <si>
    <t>Intocmit</t>
  </si>
  <si>
    <t>31.01.2025</t>
  </si>
  <si>
    <t>Ing.  Liviu Garlea</t>
  </si>
  <si>
    <t>Beneficiar/Investitor</t>
  </si>
  <si>
    <t>UAT Judetul DÂMBOVIȚA</t>
  </si>
  <si>
    <t>Lider de Echipa</t>
  </si>
  <si>
    <t>Anca Tofan</t>
  </si>
  <si>
    <t>din care pentru PDD</t>
  </si>
  <si>
    <t>total euro</t>
  </si>
  <si>
    <t>vechi- sept 2023</t>
  </si>
  <si>
    <t>verificare</t>
  </si>
  <si>
    <t>% din cap 4, cf.HG 363/2010*</t>
  </si>
  <si>
    <t>valoare prag (lei)</t>
  </si>
  <si>
    <t>valoare deviz (lei)</t>
  </si>
  <si>
    <t>HG 363/2020 aborgat in nov 2018</t>
  </si>
  <si>
    <t>DEVIZ GENERAL - v7</t>
  </si>
  <si>
    <t>SMID DÂMBOVIȚA
in preturi curente - valoare totala proiect (Etapa I + Eatpa II)</t>
  </si>
  <si>
    <t>in conformitate cu HG907/2016</t>
  </si>
  <si>
    <t>Proiect tehnic elaborat in cadrul contractelor DBO</t>
  </si>
  <si>
    <t>3.8.2 Dirigentie de santier</t>
  </si>
  <si>
    <t>DIN CARE C+M</t>
  </si>
  <si>
    <t>*ITDCS = Instalatie Tratare Deseuri Colectate Separat</t>
  </si>
  <si>
    <t>In preturi curente</t>
  </si>
  <si>
    <t>din care valoarea pentru PDD</t>
  </si>
  <si>
    <t>Nota. Pentru sumele platite din AFM valoarea in preturi constante e fixa, deci valoarea in preturi curente e egala cu cea in preturi constante; OUG …. Are suma fixa aprobata</t>
  </si>
  <si>
    <t>in versiunea din 23.01.2023</t>
  </si>
  <si>
    <t>din care deja la licitatie sau atribuit</t>
  </si>
  <si>
    <t>Euro (pt preturi constante)</t>
  </si>
  <si>
    <t>ESALONARE INVESTITIE</t>
  </si>
  <si>
    <t>Initial project cost (in constant euro)</t>
  </si>
  <si>
    <t>Eligible PDD</t>
  </si>
  <si>
    <t>FINANTARE AFM</t>
  </si>
  <si>
    <t>TOTAL gen</t>
  </si>
  <si>
    <t>Eligibile PDD</t>
  </si>
  <si>
    <t>TOTAL</t>
  </si>
  <si>
    <t>Finantare AFM</t>
  </si>
  <si>
    <t>Total neel.</t>
  </si>
  <si>
    <t>Land acquisition</t>
  </si>
  <si>
    <t>Total</t>
  </si>
  <si>
    <t>Building and construction</t>
  </si>
  <si>
    <t>ITDCS - total</t>
  </si>
  <si>
    <t>Echipament colectare si transport</t>
  </si>
  <si>
    <t>Plant &amp; machinery</t>
  </si>
  <si>
    <t>Mobile equipment</t>
  </si>
  <si>
    <t>Contingencies</t>
  </si>
  <si>
    <t>ITDCS- total</t>
  </si>
  <si>
    <t>Totals excluding intangibles</t>
  </si>
  <si>
    <t>Intangible components</t>
  </si>
  <si>
    <t>Planning and design fees</t>
  </si>
  <si>
    <t>Supervision during implementation</t>
  </si>
  <si>
    <t xml:space="preserve">Beneficiary Support </t>
  </si>
  <si>
    <t>Publicity</t>
  </si>
  <si>
    <t>Commissions and legal fees</t>
  </si>
  <si>
    <t>Total intangible</t>
  </si>
  <si>
    <t>Grand total w/o VAT</t>
  </si>
  <si>
    <t xml:space="preserve">VAT </t>
  </si>
  <si>
    <t>TOTAL initial investment costs</t>
  </si>
  <si>
    <t>esalonare fara TVA (pe finantari)</t>
  </si>
  <si>
    <t xml:space="preserve">esalonare cu TVA pe finantari </t>
  </si>
  <si>
    <t>esalonare pe total proiect, fara TVA, pentru calcul factor ajustare</t>
  </si>
  <si>
    <t>total PDD</t>
  </si>
  <si>
    <t>total AFM</t>
  </si>
  <si>
    <t>total general</t>
  </si>
  <si>
    <t>implementation scheduler per years</t>
  </si>
  <si>
    <t>inflation rate</t>
  </si>
  <si>
    <t>inflation factor</t>
  </si>
  <si>
    <t>exxchange rate</t>
  </si>
  <si>
    <t>Initial project cost</t>
  </si>
  <si>
    <t>AFM</t>
  </si>
  <si>
    <t>(in current EUR)</t>
  </si>
  <si>
    <t>TOTAL ne-el</t>
  </si>
  <si>
    <t>VAT (non-eligible)</t>
  </si>
  <si>
    <t>TOTAL INITIAL INVESTMENT COSTS</t>
  </si>
  <si>
    <t>esalonare proiect in lei (preturi constante)</t>
  </si>
  <si>
    <t>(in constant RON)</t>
  </si>
  <si>
    <t>VAT (eligible)</t>
  </si>
  <si>
    <t>esalonare proiect in lei (preturi curente)</t>
  </si>
  <si>
    <t>(in current RON)</t>
  </si>
  <si>
    <t>C1 - INVESTMENT - SUMARY</t>
  </si>
  <si>
    <t>Constant prices</t>
  </si>
  <si>
    <t>price adjustment (numai pentru PDD), fara ajustarea TVA</t>
  </si>
  <si>
    <t>Euro</t>
  </si>
  <si>
    <t>Total project costs
(A)</t>
  </si>
  <si>
    <t>Ineligible costs (AFM)
(B)</t>
  </si>
  <si>
    <t>Eligible costs PDD
(C)=(A)-(B)</t>
  </si>
  <si>
    <t>euro</t>
  </si>
  <si>
    <t>1. Planning/design fees</t>
  </si>
  <si>
    <t>PDD</t>
  </si>
  <si>
    <t>2. Land purchase</t>
  </si>
  <si>
    <t>3. Building and construction</t>
  </si>
  <si>
    <t>4. Plant, machinery &amp; mobile equipment</t>
  </si>
  <si>
    <t>5. Contingencies</t>
  </si>
  <si>
    <t>6. Price adjustments</t>
  </si>
  <si>
    <t>7. Technical assistance</t>
  </si>
  <si>
    <t>8. Publicity</t>
  </si>
  <si>
    <t>9. Supervision during implementation</t>
  </si>
  <si>
    <t>10. Commisions and legal taxes</t>
  </si>
  <si>
    <t>11. Sub-TOTAL</t>
  </si>
  <si>
    <t>12. VAT</t>
  </si>
  <si>
    <t>13. TOTAL</t>
  </si>
  <si>
    <t>TVA aferenta chelt eligibile</t>
  </si>
  <si>
    <t>TVA aferenta chelt ne-eligibile</t>
  </si>
  <si>
    <t>Tabel C1 Euro</t>
  </si>
  <si>
    <t>Ineligible costs
(B)</t>
  </si>
  <si>
    <t>Eligible costs
(C)=(A)-(B)</t>
  </si>
  <si>
    <t>din care, neeligibile</t>
  </si>
  <si>
    <t>Input</t>
  </si>
  <si>
    <t>Calculated</t>
  </si>
  <si>
    <t>Sub-total</t>
  </si>
  <si>
    <t>VAT</t>
  </si>
  <si>
    <t>Tabel C1 Lei</t>
  </si>
  <si>
    <t>control</t>
  </si>
  <si>
    <t>prorata ch eligibiile</t>
  </si>
  <si>
    <t>subtotal</t>
  </si>
  <si>
    <t xml:space="preserve"> INVESTMENT COSTS (current prices)</t>
  </si>
  <si>
    <t>STAGE I</t>
  </si>
  <si>
    <t>EUR</t>
  </si>
  <si>
    <t>Eligible costs</t>
  </si>
  <si>
    <t>Ineligibile costs</t>
  </si>
  <si>
    <t>TOTAL COSTS STAGE I</t>
  </si>
  <si>
    <t>STAGE II</t>
  </si>
  <si>
    <t>Eligible costs (but ineligibile costs for STAGE I)</t>
  </si>
  <si>
    <t>TOTAL COSTS STAGE II</t>
  </si>
  <si>
    <t>TOTAL INVESTMENT COSTS</t>
  </si>
  <si>
    <t xml:space="preserve"> FINANCING PLAN (EUR, current prices)</t>
  </si>
  <si>
    <t xml:space="preserve"> FINANCING PLAN (EUR, current prices) - STAGE I</t>
  </si>
  <si>
    <t xml:space="preserve"> FINANCING PLAN (EUR, current prices) - STAGE II</t>
  </si>
  <si>
    <t>1.Total project cost (Total cost = eligible + ineligible costs)</t>
  </si>
  <si>
    <t>1.1 Eligible cost for STAGE I</t>
  </si>
  <si>
    <t>1.1.1 Funding gap</t>
  </si>
  <si>
    <t xml:space="preserve">EU grant LIOP </t>
  </si>
  <si>
    <t>1.1 Eligible cost for STAGE II</t>
  </si>
  <si>
    <t xml:space="preserve">EU grant SDP </t>
  </si>
  <si>
    <t>of 1.1.1</t>
  </si>
  <si>
    <t>of 1</t>
  </si>
  <si>
    <t>of 1.1</t>
  </si>
  <si>
    <t xml:space="preserve">National public grant LIOP </t>
  </si>
  <si>
    <t xml:space="preserve">National public grant SDP </t>
  </si>
  <si>
    <t>(1.1+1.2)</t>
  </si>
  <si>
    <t xml:space="preserve">Beneficiary's contribution </t>
  </si>
  <si>
    <t>1.1.2 Non-funding gap (Beneficiary's contribution)</t>
  </si>
  <si>
    <t>1.2 Ineligible cost (others categories than eligible)</t>
  </si>
  <si>
    <t>1.2.1 Beneficiary's contribution</t>
  </si>
  <si>
    <t>Reclaimed</t>
  </si>
  <si>
    <t>Non-reclaimed</t>
  </si>
  <si>
    <t>of 1.2</t>
  </si>
  <si>
    <t>Ineligible</t>
  </si>
  <si>
    <t xml:space="preserve"> FINANCING SOURCES (EUR, current prices)</t>
  </si>
  <si>
    <t>SOURCES</t>
  </si>
  <si>
    <t>Beneficiary's contribution, out of which:</t>
  </si>
  <si>
    <t>VAT reclaimed</t>
  </si>
  <si>
    <t>TOTAL FINANCING SOURCES</t>
  </si>
  <si>
    <t xml:space="preserve"> FINANCING SOURCES (RON, current prices)</t>
  </si>
  <si>
    <t>Contributia proprie a CJ Dambovia</t>
  </si>
  <si>
    <t>EURO, preturi curente</t>
  </si>
  <si>
    <t>Total, din care</t>
  </si>
  <si>
    <t>Etapa I</t>
  </si>
  <si>
    <t>Etapa II</t>
  </si>
  <si>
    <t>Total, din care:</t>
  </si>
  <si>
    <t>Contributia 2% din deficitul de finantare</t>
  </si>
  <si>
    <t>Contributia beneficiarului NFG (20% etapa I si 10% etapa 2)</t>
  </si>
  <si>
    <t>Total, fara TVA</t>
  </si>
  <si>
    <t>TVA, recuperabil din bugetul MIPE</t>
  </si>
  <si>
    <t>Lei, preturi curente</t>
  </si>
  <si>
    <t>curs BNR pt Deviz (9.03.2018)</t>
  </si>
  <si>
    <t xml:space="preserve">SCHEMA DE ECHIVALENTA a pozitiilor din tabelele   `` Investment cost `` si ``Deviz General`` </t>
  </si>
  <si>
    <t xml:space="preserve">Anexa 5 Ghidul Solicitantului_OS 3.1 </t>
  </si>
  <si>
    <t>preturi constante</t>
  </si>
  <si>
    <t>Tipuri de cheltuieli eligibile (conf. HG 399/2015)</t>
  </si>
  <si>
    <t>Pozitia din  tabelul ``Costuri Eligibile``-Regulament 207/2015 (sectiunea C1 din Anexa II)</t>
  </si>
  <si>
    <t>Pozitia echivalenta  in Devizul General  (intocmit conf.HG 907/2016)</t>
  </si>
  <si>
    <t>Valoare Euro,       fara TVA, preturi constante</t>
  </si>
  <si>
    <t xml:space="preserve">Valoare Lei, fara TVA, preturi constante                                                     </t>
  </si>
  <si>
    <t>Valoare Euro eligibila PDD,       fara TVA, preturi constante</t>
  </si>
  <si>
    <t>Valoare lei eligibila PDD,       fara TVA, preturi constante</t>
  </si>
  <si>
    <t>Valoare Euro ne-eligibila PDD finantata AFM,  fara TVA,       preturi constante</t>
  </si>
  <si>
    <t>Valoare lei ne-eligibila PDD finantata AFM,  fara TVA,       preturi constante</t>
  </si>
  <si>
    <t>Valoare Euro,       cu TVA, preturi constante</t>
  </si>
  <si>
    <t xml:space="preserve">Valoare Lei, cu TVA, preturi constante                                                     </t>
  </si>
  <si>
    <t>Categorie SMIS-cf. Anexa 5 la Ghidul Solicitantului O.S 3.1  POIM</t>
  </si>
  <si>
    <t>Sub-categorie SMIS-cf. Anexa 5 la Ghidul Solicitantului O.S 3.1 POIM</t>
  </si>
  <si>
    <t>Cheltuieli  aferente pregatirii de proiecte, studii de teren, proiectare si inginerie si cheltuieli aferente pregatirii documentatiilor  de licitatie</t>
  </si>
  <si>
    <t>poz. 1- Onorarii legate de proiectare</t>
  </si>
  <si>
    <t xml:space="preserve"> 3.1.1- Studii de teren</t>
  </si>
  <si>
    <t>3.3-Expertizare tehnica</t>
  </si>
  <si>
    <t>3.4-Audit energetic</t>
  </si>
  <si>
    <t xml:space="preserve">3.5-Proiectare </t>
  </si>
  <si>
    <t xml:space="preserve"> 3.6-  Organizarea procedurilor de achizitii (inclusiv intocmirea DA)</t>
  </si>
  <si>
    <t xml:space="preserve"> Σcap. 3.1  +  3.3 +  3.4   +3.5 + 3.6</t>
  </si>
  <si>
    <t>Cheltuieli  pt. obtinerea / achizitia  terenurilor</t>
  </si>
  <si>
    <t>poz.2- Achizitie teren</t>
  </si>
  <si>
    <t xml:space="preserve">Cap.1.1- Cheltuieli  pentru obtinerea  terenului </t>
  </si>
  <si>
    <t xml:space="preserve">Constructii si instalatii, Organizare de Santier (OS),  cheltuieli  conexe OS, amenajare teren, amenajari  pentru  protectia mediului,  cheltuieli pt asigurarea utilitatilor, pregatirea personalului de exploatare, cheltuieli  aferente probelor tehnologice </t>
  </si>
  <si>
    <t>poz.3-Cladiri&amp;Constructii</t>
  </si>
  <si>
    <t>cap.1.2-Amenajarea terenului</t>
  </si>
  <si>
    <t>cap.1.3-Amenajari pentru protectia mediului</t>
  </si>
  <si>
    <t>cap.1.4-Cheltuieli pentru relocarea/protectia utilitatilor</t>
  </si>
  <si>
    <t>cap.2 . Cheltuieli pentru asigurarea utilitatilor</t>
  </si>
  <si>
    <t>cap. 4.1- Constructii si instalatii</t>
  </si>
  <si>
    <t>cap.5.1.1- Organizare de santier-lucrari de constructii</t>
  </si>
  <si>
    <t>cap.5.1.2- Organizare de santier-cheltuieli conexe organizarii santierului</t>
  </si>
  <si>
    <t xml:space="preserve">cap.6.1-Pregatirea personalului de exploatare </t>
  </si>
  <si>
    <t>cap.6.2-Probe tehnologice si teste</t>
  </si>
  <si>
    <t xml:space="preserve"> Σcap. 1.2 + 1.3 + 2 + 4.1 + 5.1.1 + 5.1.2 + 6.1 +  6.2         </t>
  </si>
  <si>
    <t xml:space="preserve"> Montaj utilaj,  echipamente  si utilaje care necesita  montaj, utilaje  fara montaj, dotari , active necorporale</t>
  </si>
  <si>
    <t>poz.4-Echipamente,utilaje &amp; instalatii</t>
  </si>
  <si>
    <t>cap. 4.2-Montaj utilaj</t>
  </si>
  <si>
    <t>cap.4.3- Utilaje si echip. functionale,  cu montaj</t>
  </si>
  <si>
    <t>cap.4.4- Utilaje fara montaj</t>
  </si>
  <si>
    <t>cap. 4.5-Dotari</t>
  </si>
  <si>
    <t>cap. 4.6-Active necorporale</t>
  </si>
  <si>
    <t xml:space="preserve"> Σcap. 4.2 + 4.3 +  4.4 + 4.5 + 4.6   </t>
  </si>
  <si>
    <t>poz.5- Cheltuieli neprevazute</t>
  </si>
  <si>
    <t>cap. 5.3- Chelt. Diverse si neprevazute</t>
  </si>
  <si>
    <t xml:space="preserve">Nedefinit </t>
  </si>
  <si>
    <t>poz. 6- Ajustari de pret</t>
  </si>
  <si>
    <t>cap. 7.2 rezerva de implementare pentru ajustare pret</t>
  </si>
  <si>
    <t>Cheltuieli de comunicare, informare si publicitate pt. proiect</t>
  </si>
  <si>
    <t>poz.7- Publicitate</t>
  </si>
  <si>
    <t xml:space="preserve">Cap. 5.4-Publicitate pentru proiect                                             </t>
  </si>
  <si>
    <t xml:space="preserve">Cheltuieli cu  Supervizarea  lucrarilor </t>
  </si>
  <si>
    <t>poz. 8- Supervizare in cursul executiei lucrarilor</t>
  </si>
  <si>
    <t xml:space="preserve">cap. 3.8.1-  Asistenta  Tehnica acordata de proiectant pe durata executiei </t>
  </si>
  <si>
    <t>cap. 3.8.2-  Dirigentie de santier</t>
  </si>
  <si>
    <t xml:space="preserve"> Σcap.  3.8.1 &amp; 3.8.2 </t>
  </si>
  <si>
    <t>Cheltuieli pt plata serviciilor de consultanta aferente studiilor de piata , consultanta in domeniul managementului executiei,  cheltuieli  pentru  activitatile de audit, cheltuieli  cu salarii PIU, asistenta  tehnica pentru  imbunatatirea capacitatii institutionale a beneficiarului.</t>
  </si>
  <si>
    <t>poz. 9-Asistenta tehnica</t>
  </si>
  <si>
    <t>cap. 3.2- Documentatii-suport si cheltuieli pentru obtinerea de avize, acorduri si autorizatii</t>
  </si>
  <si>
    <t xml:space="preserve"> cap.3.7.1-  Managementul de proiect pentru obiectivul de investitii</t>
  </si>
  <si>
    <t xml:space="preserve">3.7.2 Cheltuieli cu Auditul financiar al proiectului </t>
  </si>
  <si>
    <t>cap. 5.2- Comisioane, taxe, cote legale</t>
  </si>
  <si>
    <t xml:space="preserve"> Σcap. 3.2+ 3.7.1 + 3.7.2 +  3.7.3+ 5.2+ Cheltuieli cu Salarii UIP Beneficiar  </t>
  </si>
  <si>
    <t>TOTAL fara TVA</t>
  </si>
  <si>
    <t>TVA (ne-eligibil)</t>
  </si>
  <si>
    <t>TOTAL cu TVA</t>
  </si>
  <si>
    <t xml:space="preserve">*  Schema de echivalenta  se aplica pentru a stabili corespondenta sumelor inscrise in ``Devizul general`` cu cele din </t>
  </si>
  <si>
    <t>formatul ``Investment costs`` ,  atat in cazul estimarilor in preturi constante  si a celor in preturi curente.</t>
  </si>
  <si>
    <t>Investment costs</t>
  </si>
  <si>
    <t>Water supply system</t>
  </si>
  <si>
    <t>Echivalenta tabel ro</t>
  </si>
  <si>
    <t>Land</t>
  </si>
  <si>
    <t>Planning / design</t>
  </si>
  <si>
    <t>3.1+3.3+3.4</t>
  </si>
  <si>
    <t>poz2</t>
  </si>
  <si>
    <t>Site preparation</t>
  </si>
  <si>
    <t>poz1</t>
  </si>
  <si>
    <t>Costs for the completion of the works</t>
  </si>
  <si>
    <t>6.1+6.2</t>
  </si>
  <si>
    <t>poz3</t>
  </si>
  <si>
    <t>Main works</t>
  </si>
  <si>
    <t>1.3+2+4.1+5.1.1.+5.1.2.</t>
  </si>
  <si>
    <t>Plant and machinery</t>
  </si>
  <si>
    <t>4.2+4.3+4.4+4.5+4.6</t>
  </si>
  <si>
    <t>TA &amp; Training</t>
  </si>
  <si>
    <t>poz4</t>
  </si>
  <si>
    <t>3.5.1+3.5.3</t>
  </si>
  <si>
    <t>poz7</t>
  </si>
  <si>
    <t>Costs for the PIU salaries</t>
  </si>
  <si>
    <t>Costs for the annually audit</t>
  </si>
  <si>
    <t>Supervision</t>
  </si>
  <si>
    <t>3.6.1+3.6.2</t>
  </si>
  <si>
    <t>Public Relation</t>
  </si>
  <si>
    <t>3.5.2</t>
  </si>
  <si>
    <t>poz9</t>
  </si>
  <si>
    <t>poz8</t>
  </si>
  <si>
    <t>Tax/public levies</t>
  </si>
  <si>
    <t>3.2+5.2</t>
  </si>
  <si>
    <t>poz5</t>
  </si>
  <si>
    <t>Total water supply system</t>
  </si>
  <si>
    <t>poz11</t>
  </si>
  <si>
    <t xml:space="preserve"> SISTEM DE MANAGEMENT INTEGRAT AL DEȘEURILOR DIN JUDEȚUL DÂMBOVIȚA</t>
  </si>
  <si>
    <t>SCHEMA DE ECHIVALENTA a pozitiilor din tabelele   `` Investment cost `` si ``Deviz General``</t>
  </si>
  <si>
    <t>preturi constante, cu totaluri in preturi curente - Tabel C1 din CF</t>
  </si>
  <si>
    <t>TOTAL fara TVA - in preturi curente</t>
  </si>
  <si>
    <t>TVA (ne-eligibil) - in preturi curente</t>
  </si>
  <si>
    <t>TOTAL cu TVA - in preturi curente</t>
  </si>
  <si>
    <t>formatul ``Investment costs`` ,  atat in cazul estimarilor in preturi curente  si a celor in preturi curente.</t>
  </si>
  <si>
    <t>Tabel 9-1</t>
  </si>
  <si>
    <t>Descriere măsură</t>
  </si>
  <si>
    <t>Investitii totale proiect (euro)</t>
  </si>
  <si>
    <t>An implementare</t>
  </si>
  <si>
    <t>Cheltuieli eligibile PDD (euro)</t>
  </si>
  <si>
    <t>Cheltuieli neeligibile PDD, investiții finantate de AFM 
(euro)</t>
  </si>
  <si>
    <t>TOTAL (euro)</t>
  </si>
  <si>
    <t>Colectare si transport deseuri menajere reciclabile menajere, similare si piete (extinderea sistemului)</t>
  </si>
  <si>
    <t>Containere și pubele</t>
  </si>
  <si>
    <t>Colectare si transport biodeseuri menajere, similare si piete</t>
  </si>
  <si>
    <t>Containere si pubele</t>
  </si>
  <si>
    <t>Colectare și transport  fluxuri speciale de deșeuri (deșeuri voluminoase, deșeuri municipale periculoase, deșeuri de textile, DCD, etc)</t>
  </si>
  <si>
    <t>Recipiente specifice pentru colectarea deșeurilor textile</t>
  </si>
  <si>
    <t>Compostare individuala</t>
  </si>
  <si>
    <t>Unități de compostare individuală</t>
  </si>
  <si>
    <t>2025-2026</t>
  </si>
  <si>
    <t>Instalație de tratare a deșeurilor colectate separat in vederea valorificarii</t>
  </si>
  <si>
    <t>2027-2029</t>
  </si>
  <si>
    <t>SUB - TOTAL INVESTIȚII</t>
  </si>
  <si>
    <t>Cheltuieli diverse si neprevăzute</t>
  </si>
  <si>
    <t>2026 - 2029</t>
  </si>
  <si>
    <t>SUB - TOTAL INVESTIȚII, INCLUSIV DIVERSE ȘI NEPREVĂZUTE</t>
  </si>
  <si>
    <t>Planificare (Proiectare, Documentatii-suport si cheltuieli pentru obtinerea de avize, acorduri si autorizatii)</t>
  </si>
  <si>
    <t>Asistenta Tehnica (include AT din partea proiectantului, AT pt management de proiect si Audit)</t>
  </si>
  <si>
    <t>2026-2029</t>
  </si>
  <si>
    <t>Informare, publicitate si Constientizare Publica</t>
  </si>
  <si>
    <t>Supervizare pe perioada lucrarilor</t>
  </si>
  <si>
    <t>Suport Beneficiar</t>
  </si>
  <si>
    <t>Comisioane, contributii, taxe legale si documentatii suport si cheltuieli pentru obținere avize, acorduri , autorizatii</t>
  </si>
  <si>
    <t>SUB TOTAL INTANGIBILE</t>
  </si>
  <si>
    <t>TOTAL INVESTITII FĂRĂ TVA</t>
  </si>
  <si>
    <t>AJUSTARE DE PREȚ</t>
  </si>
  <si>
    <t>TOTAL TVA</t>
  </si>
  <si>
    <t>TOTAL INVESTIȚII CU TVA (PRETURI CURENTE)</t>
  </si>
  <si>
    <t xml:space="preserve">*la ITDCS investitiile operator constau in motorul cu gaz ( valoare estimata 1.615.000 euro) - an implementare 2028; </t>
  </si>
  <si>
    <t>si in Centrul de transfer si colectare prin aport voluntar a deșeurilor (numit in toată documentația CAV Șotânga, valoare estimata 875.000 euro, fara TVA</t>
  </si>
  <si>
    <t>aceste sume sunt incluse in costurile de operare ca amortizarea investitiilor proprii, astfel:</t>
  </si>
  <si>
    <t>motorul termic la TM si la DA, iar CAV șotânga la toate componentele proportional cu cantitatea ce rezulta pentru depozitare</t>
  </si>
  <si>
    <t>017. Gestionarea deșeurilor menajere (inclusiv măsuri de minimizare, sortare și reciclare)</t>
  </si>
  <si>
    <t>018. Gestionarea deșeurilor menajere (inclusiv tratarea mecano-biologică, tratarea termică, incinerarea și măsuri de depozitare la groapa de gunoi)</t>
  </si>
  <si>
    <t>total control</t>
  </si>
  <si>
    <t>la ITDCS (fara investitii comune)</t>
  </si>
  <si>
    <t>restul</t>
  </si>
  <si>
    <t>procent /cheie repartitie</t>
  </si>
  <si>
    <t>grant</t>
  </si>
  <si>
    <t>INSTALATIE DE TRATARE A DESEURILOR COLECTATE SEPARAT - CENTRALIZATOR - PRETURI CONSTANTE</t>
  </si>
  <si>
    <t>RON</t>
  </si>
  <si>
    <t>Constructii si utilitati comune</t>
  </si>
  <si>
    <t>Terasamente, sistematizare pe verticala si amenajari exterioare</t>
  </si>
  <si>
    <t>1</t>
  </si>
  <si>
    <t>Constructii si utilitati comune - ITDCS-CCU</t>
  </si>
  <si>
    <t>2</t>
  </si>
  <si>
    <t xml:space="preserve">ITDCS - tratare mecanica </t>
  </si>
  <si>
    <t>3</t>
  </si>
  <si>
    <t>ITDCS tratarea biologica cu digestie anaeroba</t>
  </si>
  <si>
    <t>4</t>
  </si>
  <si>
    <t>ITDCS  compostarea digestat</t>
  </si>
  <si>
    <t>4.1.2 Constructii</t>
  </si>
  <si>
    <t>ITDCS - tratare mecanica</t>
  </si>
  <si>
    <t>INSTALATIE DE TRATARE A DESEURILOR COLECTATE SEPARAT - CONSTRUCTII SI UTILITATI COMUNE - PRETURI CONSTANTE</t>
  </si>
  <si>
    <t>Cantitate</t>
  </si>
  <si>
    <t>Unitate de masura</t>
  </si>
  <si>
    <t>Pret unitar</t>
  </si>
  <si>
    <t>Valoare  cu TVA</t>
  </si>
  <si>
    <t>CAPITOLUL I - CHELTUIELI PENTRU OBTINEREA SI AMENAJAREA TERENULUI - la sumarul pe toata instalatia</t>
  </si>
  <si>
    <t>Amenajari pentru protectia mediului si aducerea terenului la starea initiala</t>
  </si>
  <si>
    <t>Perdea forestiera</t>
  </si>
  <si>
    <t>mp</t>
  </si>
  <si>
    <t>Excavatii suprainaltare inundabiltate (perna balast - procurare, transport, descarcare, compactare))</t>
  </si>
  <si>
    <t>mc</t>
  </si>
  <si>
    <t>Pereu beton inundabilitate</t>
  </si>
  <si>
    <t xml:space="preserve">Consolidare baza pereu cu cosuri de gabioane </t>
  </si>
  <si>
    <t>5</t>
  </si>
  <si>
    <t>Regularizare in subteran raul Valea Perilor</t>
  </si>
  <si>
    <t>buc</t>
  </si>
  <si>
    <t>CAPITOLUL 2 - CHELTUIELI PENTRU ASIGURAREA UTILITATILOR NECESARE OBIECTIVULUI DE INVESTITII - la sumarul pe toata instalatia</t>
  </si>
  <si>
    <t xml:space="preserve">Drum acces - beton, trafic greu </t>
  </si>
  <si>
    <t>m</t>
  </si>
  <si>
    <t>Retea de canalizare menajera</t>
  </si>
  <si>
    <t>n</t>
  </si>
  <si>
    <t>Retea de alimentare si distributie gaz</t>
  </si>
  <si>
    <t xml:space="preserve">Retea de alimentare si distributie apa </t>
  </si>
  <si>
    <t>Terasamente (excavatii vegetal, incarcare, transport)</t>
  </si>
  <si>
    <t>Excavatii - rambleu - debleu (excavare, incarcare, transport, descarcare, imprastiere, compactare)</t>
  </si>
  <si>
    <t>Excavatii - necesar (procurare, excavare, incarcare, transport, compactare)</t>
  </si>
  <si>
    <t>Excavatii - exces (excavare, incarcare, transport, descarcare)</t>
  </si>
  <si>
    <t>Dezafectare cladiri existente</t>
  </si>
  <si>
    <t>Cladire-cabina receptie</t>
  </si>
  <si>
    <t>Cladire administrativa</t>
  </si>
  <si>
    <t>Pod bascula</t>
  </si>
  <si>
    <t>Platforme betonate</t>
  </si>
  <si>
    <t>6</t>
  </si>
  <si>
    <t>Drum betonat</t>
  </si>
  <si>
    <t>7</t>
  </si>
  <si>
    <t>Zid de sprijin beton, h=4m</t>
  </si>
  <si>
    <t>8</t>
  </si>
  <si>
    <t>Canal pluvial pluvial</t>
  </si>
  <si>
    <t>9</t>
  </si>
  <si>
    <t>Separator de hidrocarburi</t>
  </si>
  <si>
    <t>10</t>
  </si>
  <si>
    <t>Retea electricitate</t>
  </si>
  <si>
    <t>11</t>
  </si>
  <si>
    <t>Alveola post TRAFO</t>
  </si>
  <si>
    <t>12</t>
  </si>
  <si>
    <t xml:space="preserve">Grup electrogen </t>
  </si>
  <si>
    <t>13</t>
  </si>
  <si>
    <t>14</t>
  </si>
  <si>
    <t>15</t>
  </si>
  <si>
    <t>Retea de canalizare pluviala</t>
  </si>
  <si>
    <t>16</t>
  </si>
  <si>
    <t>Retea de alimentare cu apa</t>
  </si>
  <si>
    <t>17</t>
  </si>
  <si>
    <t>Gospodarie apa(container, pompe)</t>
  </si>
  <si>
    <t>18</t>
  </si>
  <si>
    <t>Rezervor apa incediu_tehnologic</t>
  </si>
  <si>
    <t>19</t>
  </si>
  <si>
    <t>Statie de spalare automata</t>
  </si>
  <si>
    <t>20</t>
  </si>
  <si>
    <t>Imprejmuire si poarta acces</t>
  </si>
  <si>
    <t>21</t>
  </si>
  <si>
    <t>Statie de carburanti containerizata(rezervor, pompe. aprox. 30 mc)</t>
  </si>
  <si>
    <t>22</t>
  </si>
  <si>
    <t>Puturi de monitorizare</t>
  </si>
  <si>
    <t>23</t>
  </si>
  <si>
    <t>Sistem monitorizare, comunicare si control(SCADA)</t>
  </si>
  <si>
    <t>Post TRAFO</t>
  </si>
  <si>
    <t>Pompe(GA)</t>
  </si>
  <si>
    <t>Statie de carburanti containerizata(aprox. 30 mc)</t>
  </si>
  <si>
    <t>Sistem monitorizare si control</t>
  </si>
  <si>
    <t>Statie de carburanti containerizata</t>
  </si>
  <si>
    <t>Camion cu sistem de ridicare a containerelor si remorca</t>
  </si>
  <si>
    <t xml:space="preserve"> la 155000 euro</t>
  </si>
  <si>
    <t>Container</t>
  </si>
  <si>
    <t>7500 euro</t>
  </si>
  <si>
    <t>Camion de transport cu bena</t>
  </si>
  <si>
    <t>Incarcator frontal</t>
  </si>
  <si>
    <t>Punct PSI</t>
  </si>
  <si>
    <t xml:space="preserve">Lider de Echipa </t>
  </si>
  <si>
    <r>
      <rPr>
        <b/>
        <sz val="16"/>
        <rFont val="Arial"/>
        <family val="2"/>
      </rPr>
      <t xml:space="preserve">INSTALATIE DE TRATARE A DESEURILOR COLECTATE SEPARAT - TRATARE MECANICA  - PRETURI CONSTANTE
</t>
    </r>
    <r>
      <rPr>
        <b/>
        <sz val="12"/>
        <rFont val="Arial"/>
        <family val="2"/>
      </rPr>
      <t>(include: linia de tratare reciclabile, linia de tratare deseuri in amestec, linia de preparare RDF, tratarea deseurilor voluminoase, tratarea deseurilor textile, pre-tratarea biodeseurilor colectate separat)</t>
    </r>
  </si>
  <si>
    <t>Terasamente hala de tratare mecanica(excavatii, perna balast)</t>
  </si>
  <si>
    <t>Terasamente hala deseuri voluminoase(excavatii, perna balast)</t>
  </si>
  <si>
    <t>Terasamente hala textile(excavatii, perna balast)</t>
  </si>
  <si>
    <t>Hala tratare mecanica - structura</t>
  </si>
  <si>
    <t>Hala tratare mecanica - finisaje exterioare(cai de acces, scrugei pluviale, inchideri laterale sandwich,  etc)</t>
  </si>
  <si>
    <t>Hala tratare mecanica - instaltii sanitare(inclusiv grup sanitar in continer)</t>
  </si>
  <si>
    <t>Hala tratare mecanica - canalizare menajera</t>
  </si>
  <si>
    <t>Hala tratare mecanica - canalizare pluviala</t>
  </si>
  <si>
    <t>Hala tratare mecanicae - instalatii electrice</t>
  </si>
  <si>
    <t>Hala tratare mecanica - instalatii incendiu cu hidranti interiori</t>
  </si>
  <si>
    <t>Hala tratare mecanica - sistem monitorizare, comunicare si control</t>
  </si>
  <si>
    <t>Hala deseuri voluminoase - structura</t>
  </si>
  <si>
    <t>Hala deseuri voluminoase - finisaje exterioare(cai de acces, scrugei pluviale, inchideri laterale sandwich,  etc)</t>
  </si>
  <si>
    <t>Hala deseuri voluminoase - instalatii electrice</t>
  </si>
  <si>
    <t>Hala deseuri textile - structura</t>
  </si>
  <si>
    <t>Hala deseuri textile - finisaje exterioare(cai de acces, scrugei pluviale, inchideri laterale sandwich,  etc)</t>
  </si>
  <si>
    <t>Hala deseuri textile - instalatii electrice</t>
  </si>
  <si>
    <t>Buncar subteran descarcare deseuri - LA</t>
  </si>
  <si>
    <t>Desfacator de saci - LA</t>
  </si>
  <si>
    <t>Ciur stationar cu structura metalica(fractie 60 mm)-LA</t>
  </si>
  <si>
    <t>Benzi transportoare-LA</t>
  </si>
  <si>
    <t>Separator magnetic-LA</t>
  </si>
  <si>
    <t>Ciur stationar cu structura metalica(fractie 2 mm)-LA</t>
  </si>
  <si>
    <t>Electricitate si automatizari-LA</t>
  </si>
  <si>
    <t>Desfacator de saci cu buncar de aimentare-LR</t>
  </si>
  <si>
    <t>Sistem de maruntire-LR</t>
  </si>
  <si>
    <t>Ciur stationar cu structura metalica-LR</t>
  </si>
  <si>
    <t>Separator balistic cu structura metalica-LR</t>
  </si>
  <si>
    <t>Separator aeraulic cu structura metalica-LR</t>
  </si>
  <si>
    <t>Separator optic cu structura metalica-LR</t>
  </si>
  <si>
    <t>Platforma de sustinere-LR</t>
  </si>
  <si>
    <t>Ventilatie, climatizare, incalzire-LR</t>
  </si>
  <si>
    <t>Separator EDYY CURRENT_LR</t>
  </si>
  <si>
    <t>Separator magnetic-LR</t>
  </si>
  <si>
    <t>Benzi transportoare-LR</t>
  </si>
  <si>
    <t>Presa de balotat -LR</t>
  </si>
  <si>
    <t>Electricitate si automatizari-LR</t>
  </si>
  <si>
    <t>Cuva pretratere biodeseuri(colectare separata)</t>
  </si>
  <si>
    <t>Instalatie producere RDF (separator balistic dotat cu unitate de uscare, instalatie maruntire secundara, cuva tampon si instalatie balotare/brichetare plus presa etc )</t>
  </si>
  <si>
    <t>Utilaje adiacente</t>
  </si>
  <si>
    <t>Buncar subteran descarcare deseuri-LA</t>
  </si>
  <si>
    <t>Desfacator de saci-LA</t>
  </si>
  <si>
    <t>Container -LA</t>
  </si>
  <si>
    <t>Container - LR</t>
  </si>
  <si>
    <t>Electrostivuitor - LR</t>
  </si>
  <si>
    <t>Graifer(prelucrare voluminoase)</t>
  </si>
  <si>
    <t>INSTALATIE DE TRATARE A DESEURILOR COLECTATE SEPARAT - TRATARE BIOLOGICA CU DIGESTIE ANAEROBA - PRETURI CONSTANTE</t>
  </si>
  <si>
    <t>Terasamente hala de prelucrare digestat(excavatii, perna balast)</t>
  </si>
  <si>
    <t>Terasamente balon gaz(excavatii, perna balast, etc)</t>
  </si>
  <si>
    <t>Terasamente digestoare si stocare(excavatii, perna balast, etc)</t>
  </si>
  <si>
    <t>Hala prelucrare digestat - structura(3 nivele)</t>
  </si>
  <si>
    <t>Hala prelucrare digestat - finisaje exterioare(cai de acces, scrugei pluviale, inchideri laterale sandwich,  etc)</t>
  </si>
  <si>
    <t>Hala prelucrare digestat - instalatii sanitare(inclusiv grup sanitar in continer)</t>
  </si>
  <si>
    <t>Hala prelucrare digestat - canalizare menajera</t>
  </si>
  <si>
    <t>Hala prelucrare digestat - canalizare pluviala</t>
  </si>
  <si>
    <t>Hala prelucrare digestat - instalatii electrice</t>
  </si>
  <si>
    <t>Hala prelucrare digestat - sistem monitorizare, comunicare si control</t>
  </si>
  <si>
    <t xml:space="preserve">Digestie anaeroba fundatii (2 buncăre, 2 rezervoare sedimentare, 2 rezervoare tampon, 3 digestoare, pompe, sistem de stocare gaz, etc) </t>
  </si>
  <si>
    <t xml:space="preserve">Utilaje specifice digestieie anaerobe (2 instalații maruntire, 3 digestoare, pompe, sistem de stocare gaz, 3 instalatii centrifugare si 2 instalatii uscare etc) </t>
  </si>
  <si>
    <t>INSTALATIE DE TRATARE A DESEURILOR COLECTATE SEPARAT - TRATARE BIOLOGICA CU DIGESTIE ANAEROBA(COMPOSTARE DIGESTAT) - PRETURI CONSTANTE</t>
  </si>
  <si>
    <t>Terasamente hala compostare - perna balast(procurare, transport, descarcare, compactare)</t>
  </si>
  <si>
    <t>Terasamente hala compostare (excavatii, perna balast)</t>
  </si>
  <si>
    <t>Terasamente hala de compostare deseuri verzi - perna balast(procurare, transport, descarcare, compactare)</t>
  </si>
  <si>
    <t>Terasamente hala compostare deseuri verzi(excavatii, perna balast)</t>
  </si>
  <si>
    <t>Hala compostare  - structura</t>
  </si>
  <si>
    <t>Hala compostare  - finisaje exterioare(cai de acces, scurgeri pluviale, inchideri laterale sandwich,  etc)</t>
  </si>
  <si>
    <t>Hala compostare - instalatii electrice</t>
  </si>
  <si>
    <t>Hala compostare - sistem monitorizare, comunicare si control</t>
  </si>
  <si>
    <t>Masina de intors brazdele</t>
  </si>
  <si>
    <t xml:space="preserve">Ciur mobil </t>
  </si>
  <si>
    <t>ECHIPAMENTE COLECTARE SI TRANSPORT - PRETURI CONSTANTE</t>
  </si>
  <si>
    <t>Denumirea capitolelor si subcapitolelor de cheltuieli din Devizul general</t>
  </si>
  <si>
    <t>val</t>
  </si>
  <si>
    <t>Autocompactor 22 mc biodeseuri</t>
  </si>
  <si>
    <t>Autocompactor 16 mc biodeseuri</t>
  </si>
  <si>
    <t>Autocompactor 7 mc biodeseuri</t>
  </si>
  <si>
    <t>Autoutilitara carosata, volum cca 5 mc - pentru textile</t>
  </si>
  <si>
    <t>Autocompactor 24 mc reciclabile</t>
  </si>
  <si>
    <t>Autocompactor 16 mc reciclabile</t>
  </si>
  <si>
    <t>Autocompactor 7 mc reciclabile</t>
  </si>
  <si>
    <t>Platforma cu brat pentru colectare igloo si clopote capacitate bena 24 mc</t>
  </si>
  <si>
    <t xml:space="preserve"> Platforma cu brat pentru colectare igloo si clopote capacitate bena 12 mc</t>
  </si>
  <si>
    <t>4.5 Dotari</t>
  </si>
  <si>
    <t>Pubele 120l biodeseuri</t>
  </si>
  <si>
    <t>Pubele 120l reciclabile HC</t>
  </si>
  <si>
    <t>Pubele 120l reciclabile PM</t>
  </si>
  <si>
    <t>Recipiente dedicate colectare separata textile, volum = 2.5 mc</t>
  </si>
  <si>
    <t>Containere 1.100l biodeseuri</t>
  </si>
  <si>
    <t>Containere 1.100l sticlă (rural)</t>
  </si>
  <si>
    <t>Containere 3 mc sticla</t>
  </si>
  <si>
    <t>Containere 2500l, reciclabile (tip IGLOO)</t>
  </si>
  <si>
    <t>Containere 1100l, reciclabile urban blocuri</t>
  </si>
  <si>
    <t>Containere 1100 l reciclabile de sticla rural</t>
  </si>
  <si>
    <t>TOTAL SUBCAP. 4.5</t>
  </si>
  <si>
    <t>Ing.  Liviu Marius Calitescu</t>
  </si>
  <si>
    <t>repartizare</t>
  </si>
  <si>
    <t>pubele si containere reciclabile</t>
  </si>
  <si>
    <t>120l</t>
  </si>
  <si>
    <t>90l</t>
  </si>
  <si>
    <t>3000l</t>
  </si>
  <si>
    <t>1100l</t>
  </si>
  <si>
    <t>total lei</t>
  </si>
  <si>
    <t>Municipiul Galati</t>
  </si>
  <si>
    <t>Tg. Bujor, Beresti</t>
  </si>
  <si>
    <t>Rural</t>
  </si>
  <si>
    <t>autocompactoare</t>
  </si>
  <si>
    <t>16 mc</t>
  </si>
  <si>
    <t>12 mc</t>
  </si>
  <si>
    <t>total  lei</t>
  </si>
  <si>
    <t>pentru reciclabile</t>
  </si>
  <si>
    <t>achizitie, loturi si esalonare</t>
  </si>
  <si>
    <t>valoare</t>
  </si>
  <si>
    <t>termen</t>
  </si>
  <si>
    <t>recipienti</t>
  </si>
  <si>
    <t>Lot 1 - vehicule</t>
  </si>
  <si>
    <t>vehicule</t>
  </si>
  <si>
    <t>Lot 3 pubele si containerre</t>
  </si>
  <si>
    <t>Lot 4 - sotware</t>
  </si>
  <si>
    <t>procent din tot</t>
  </si>
  <si>
    <t>total schema AFM</t>
  </si>
  <si>
    <t>lei, fara TVA</t>
  </si>
  <si>
    <t>UCI</t>
  </si>
  <si>
    <t>software</t>
  </si>
  <si>
    <t>raman pentru masini</t>
  </si>
  <si>
    <t>masini</t>
  </si>
  <si>
    <t>SISTEM DE MANAGEMENT INTEGRAT AL DESEURILOR IN JUD. GALATI</t>
  </si>
  <si>
    <t>DEVIZ GENERAL</t>
  </si>
  <si>
    <t>COLECTARE SI TRANSPORT - investitii operator</t>
  </si>
  <si>
    <t>Organizarea procedurilor de achizitii</t>
  </si>
  <si>
    <t>Echipamente colectare in amestec deseuri similare si piete in rural, Tg. Bujor si Beresti</t>
  </si>
  <si>
    <t>Colectare reciclabile menajere</t>
  </si>
  <si>
    <t>Pubele 80l reciclabile Tecuci</t>
  </si>
  <si>
    <t xml:space="preserve">Containere 1100l reciclabile Tecuci </t>
  </si>
  <si>
    <t>Saci 60 l reciclabile Tecuci, Galați, Tg. Bujor și Beresti</t>
  </si>
  <si>
    <t>Colectare reciclabile similare si piete</t>
  </si>
  <si>
    <t>Recipiente colectare total judet</t>
  </si>
  <si>
    <t>Colectare biodeseuri menajere</t>
  </si>
  <si>
    <t>Containere 1100l biodeseuri</t>
  </si>
  <si>
    <t>Pubele 80l biodeseuri</t>
  </si>
  <si>
    <t>Autocompactor 6-18 m3 menajere in amestec rural, Tg. Bujor și Beresti</t>
  </si>
  <si>
    <t>Autocompactoare pentru deseuri similare si din piete in amestec in rural, Tg. Bujor si Beresti</t>
  </si>
  <si>
    <t>Autocompactoare 12 m3 biodeseuri</t>
  </si>
  <si>
    <t>Autocompactoare 16 - 18 m3 biodeseuri</t>
  </si>
  <si>
    <r>
      <rPr>
        <sz val="10"/>
        <color theme="1"/>
        <rFont val="Arial"/>
        <family val="2"/>
      </rPr>
      <t xml:space="preserve">Autocompactor 16 m3 deseuri reciclabile </t>
    </r>
    <r>
      <rPr>
        <b/>
        <sz val="10"/>
        <color theme="1"/>
        <rFont val="Arial"/>
        <family val="2"/>
      </rPr>
      <t>SIMILARE si PIETE</t>
    </r>
  </si>
  <si>
    <t>Autocompactor 12 m3 deseuri reciclabile menajere, Mun Tecuci</t>
  </si>
  <si>
    <t>Masini specializate deseuri periculoase</t>
  </si>
  <si>
    <t>Masini tip platforma actionate hidraulic (voluminoase)</t>
  </si>
  <si>
    <t>5.1.1 Lucrari de constructii si instalatii aferente organizarii de santier</t>
  </si>
  <si>
    <t>CAPITOLUL 6 - CHELTUIELI PENTRU PROBE TEHNOLOGICE SI TESTE</t>
  </si>
  <si>
    <t>In preturi la data de 09.03.2018;</t>
  </si>
  <si>
    <t>1 Euro = 4,657</t>
  </si>
  <si>
    <t>UAT Judetul Galati</t>
  </si>
  <si>
    <t>Nota</t>
  </si>
  <si>
    <t>aceste valori se regasesc in ACB ca anuitati, dupa cum urmeaza:</t>
  </si>
  <si>
    <t>- pubelele sunt materiale de natura obiectelor de inventar; ele se inlocuiesc anual, cam 1/3 din numarul lor</t>
  </si>
  <si>
    <t>- containerele metalice au o durata normata de 4 ani</t>
  </si>
  <si>
    <t>- autovehiculele au o durata normata de 4-8 ani; deoarece contractul de delegare pt C&amp;T va fi pe 5 ani, s-a ales o durata de 5 ani pt amortizare</t>
  </si>
  <si>
    <t>comparare</t>
  </si>
  <si>
    <t>nou</t>
  </si>
  <si>
    <t>vechi</t>
  </si>
  <si>
    <t>Autocompactor 24 mc biodeseuri</t>
  </si>
  <si>
    <t>Autoutilitara carosata, volum cca 2 mc - pentru textile</t>
  </si>
  <si>
    <t>Vehicule colectare deșeuri periculoase din deșeuri menajere</t>
  </si>
  <si>
    <t>Vehicule cu benă de 20 mc pt colectare deseuri voluminoase</t>
  </si>
  <si>
    <t>Recipiente dedicate colectarii deșeurilor periculoase din deșeuri menajere</t>
  </si>
  <si>
    <t>Containere 1.100l sticlă</t>
  </si>
  <si>
    <t>Containere 2500l, reciclabile HC, PM, sticlă (tip IGLOO)</t>
  </si>
  <si>
    <t>DEVIZ OBIECT</t>
  </si>
  <si>
    <t>COMPOSTOARE INDIVIDUALE - IN PRETURI CONSTANTE</t>
  </si>
  <si>
    <t>Pret unitar (lei)</t>
  </si>
  <si>
    <t>UCI volum unitar 400l</t>
  </si>
  <si>
    <t>Ing.  Marius Calitescu</t>
  </si>
  <si>
    <t>adjudecat pe suma de</t>
  </si>
  <si>
    <t>Bugetul va fi prezentat defalcat după cum urmează, pe:</t>
  </si>
  <si>
    <t>*</t>
  </si>
  <si>
    <t>activități (corelat cu C.1.) - sheet C.1. Cost investitie</t>
  </si>
  <si>
    <t>ani de implementare (secțiunea G.1.2 din Cererea de finanțare) - sheet G.1.2 plan annual</t>
  </si>
  <si>
    <t>amplasament/câmpuri de intervenție  / formă de finanțare / tip teritoriu/ activitate economica/ obiectiv tematic/mecanism aplicare teritorială (secțiunea B.2 din Cererea de finanțare)</t>
  </si>
  <si>
    <t>secțiunea B.2 din Cererea de finanțare</t>
  </si>
  <si>
    <t>in preturi constante 2018</t>
  </si>
  <si>
    <r>
      <rPr>
        <b/>
        <sz val="9.5"/>
        <rFont val="Times New Roman"/>
        <family val="1"/>
      </rPr>
      <t>B.2.1.</t>
    </r>
    <r>
      <rPr>
        <sz val="9.5"/>
        <rFont val="Times New Roman"/>
        <family val="1"/>
      </rPr>
      <t xml:space="preserve"> Cod  (coduri)  pentru  dimensiunea „domeniu de intervenție” (Ar trebui să se folosească mai multe coduri dacă, pe baza unui calcul pro rata, sunt vizate mai multe domenii de intervenție)</t>
    </r>
  </si>
  <si>
    <t>pro-rata</t>
  </si>
  <si>
    <t>valoarea in euro</t>
  </si>
  <si>
    <t>aici intra colectare si sortare</t>
  </si>
  <si>
    <t>aici restul</t>
  </si>
  <si>
    <t>pe baza valorilor din tabelul 9-1 din SF</t>
  </si>
  <si>
    <t>CONTRACTE DE SERVICII</t>
  </si>
  <si>
    <t>Cod contract</t>
  </si>
  <si>
    <t>Descriere contract</t>
  </si>
  <si>
    <t>Valoare estimata, fara TVA (lei, preturi constante ale anului 2024)</t>
  </si>
  <si>
    <t>Valoare estimata, fara TVA (euro, preturi constante ale anului 2024)</t>
  </si>
  <si>
    <t>Forma de contractare</t>
  </si>
  <si>
    <t>Procedura de atribuire</t>
  </si>
  <si>
    <t>Comentarii</t>
  </si>
  <si>
    <t>check</t>
  </si>
  <si>
    <t>Valoare estimata, fara TVA (lei, preturi curente)</t>
  </si>
  <si>
    <t>Valoare estimata, fara TVA (euro, preturi curente)</t>
  </si>
  <si>
    <t>DB-CS-01</t>
  </si>
  <si>
    <t xml:space="preserve">Asistenta tehnică pentru managementul Proiectului şi Supervizarea lucrărilor de construcții din cadrul proiectului </t>
  </si>
  <si>
    <t>Servicii</t>
  </si>
  <si>
    <t>Licitație deschisă cf. Legii 98/2016</t>
  </si>
  <si>
    <t>Asistenta tehnică pentru managementul Proiectului şi Supervizarea lucrărilor de construcții din cadrul proiectului</t>
  </si>
  <si>
    <t>DB-CS-02</t>
  </si>
  <si>
    <t xml:space="preserve">Servicii de audit al proiectului </t>
  </si>
  <si>
    <t>Procedură simplificată cf. Legii 98/2016</t>
  </si>
  <si>
    <t>Total contracte servicii</t>
  </si>
  <si>
    <t>CONTRACTE DE FURNIZARE</t>
  </si>
  <si>
    <t>Comentarii-suma  AFM, cf OUG 63/2024</t>
  </si>
  <si>
    <t>DB-CF-01</t>
  </si>
  <si>
    <t>Furnizare echipamente de colectare si transport - recipienti</t>
  </si>
  <si>
    <t>Furnizare</t>
  </si>
  <si>
    <t>valoare veche OUG 63/2024 = 30.372.058,99 lei, ajustat = 32.671.223,86</t>
  </si>
  <si>
    <t>Furnizare echipamente de colectare si transport - vehicule</t>
  </si>
  <si>
    <t>Furnizare unitati de compostare individuale</t>
  </si>
  <si>
    <t>DF-CF-01</t>
  </si>
  <si>
    <t>Furnizare echipamente de colectare si transport (recipienti), inclusiv unitati de compostare individuale</t>
  </si>
  <si>
    <t>CONTRACTE DE LUCRARI</t>
  </si>
  <si>
    <t>DB-CL-01-PEO</t>
  </si>
  <si>
    <t>Proiectare, execuție și operare instalație de tratare  deseuri colectate separat in vederea valorificarii si CAV Sotanga</t>
  </si>
  <si>
    <t>Lucrari, "proiectare, executie, operare"</t>
  </si>
  <si>
    <t>valoarea include NUMAI faza de proiectare si executie, nu si operarea instalatiei</t>
  </si>
  <si>
    <t>Total contracte lucrari</t>
  </si>
  <si>
    <t>Nota : Contractele NU includ si Diverse si neprevazute</t>
  </si>
  <si>
    <t>Nota : Contractele includ si Diverse si neprevazute</t>
  </si>
  <si>
    <t>Nota : Valoarea se refera doar la etapele P+E, fara operare</t>
  </si>
  <si>
    <t>ELEMENTE  IN AFARA PROCEDURILOR DE ACHIZITIE</t>
  </si>
  <si>
    <t>capitol de DG</t>
  </si>
  <si>
    <t xml:space="preserve">Descriere </t>
  </si>
  <si>
    <t>Diverse si neprevazute</t>
  </si>
  <si>
    <t>Cheltuieli salariale cu echipa de management de proiect</t>
  </si>
  <si>
    <t>Cheltuieli de deplasare pentru personalul UIP</t>
  </si>
  <si>
    <t>Total sume in afara procedurilor de achizitie</t>
  </si>
  <si>
    <t>Total sume inafara procedurilor de achizitie</t>
  </si>
  <si>
    <t>SUMAR</t>
  </si>
  <si>
    <t>Contracte de servicii</t>
  </si>
  <si>
    <t>Contracte de furnizare</t>
  </si>
  <si>
    <t>Contracte de lucrari</t>
  </si>
  <si>
    <t>Cheltuieli platite direct de CJ</t>
  </si>
  <si>
    <t>TOTAL GENERAL (fara TVA)</t>
  </si>
  <si>
    <t>TOTAL GENERAL (fara TVA</t>
  </si>
  <si>
    <t>check (DG constante)</t>
  </si>
  <si>
    <t>check (DG)</t>
  </si>
  <si>
    <t>check (esalonare)</t>
  </si>
  <si>
    <t>check (DG curente)</t>
  </si>
  <si>
    <t>PLAN DE ACHIZITII</t>
  </si>
  <si>
    <t>Valoare estimata, fara TVA (lei, preturi constante)</t>
  </si>
  <si>
    <t>Valoare TVA</t>
  </si>
  <si>
    <t>Total (incluzand TVA)</t>
  </si>
  <si>
    <t>Valoare estimata, fara TVA (euro, preturi constante)</t>
  </si>
  <si>
    <t>Furnizare echipamente de colectare si transport (recipienti), unitati de compostare individuale</t>
  </si>
  <si>
    <t>Licitație deschisă cf. Legii 98/2016, pe loturi, parte atribuita</t>
  </si>
  <si>
    <t>Proiectare, execuție și operare instalație de tratare deseuri colectate separat in vederea valorificarii si CAV Sotanga</t>
  </si>
  <si>
    <t>Licitație deschisă cf. Legii 98 sau 100/2016</t>
  </si>
  <si>
    <t xml:space="preserve">Total contracte </t>
  </si>
  <si>
    <t>ELEMENTE PLATITE DE CATRE CJ, IN AFARA PROCEDURILOR DE ACHIZITIE</t>
  </si>
  <si>
    <t>forma de contractare</t>
  </si>
  <si>
    <t xml:space="preserve">achizitie directa </t>
  </si>
  <si>
    <t>la toate</t>
  </si>
  <si>
    <t>Total sume platite direct de CJ</t>
  </si>
  <si>
    <t>Contracte</t>
  </si>
  <si>
    <t xml:space="preserve"> CENTRU STOCARE TEMPORARA SI TRANSFER CAV SOTANGA - PRETURI CONSTANTE </t>
  </si>
  <si>
    <t>Denumirea capitolelor si subcapitolelor de cheltuieli din devizul general</t>
  </si>
  <si>
    <t>Terasamente(excavatii vegetal, incarcare, transport)</t>
  </si>
  <si>
    <t>Terasamente fundatii (excavatii, perna balast)</t>
  </si>
  <si>
    <t>Sopron metalic</t>
  </si>
  <si>
    <t>Sistem de monitorizare</t>
  </si>
  <si>
    <t>Vehicul transport containere cu sistem de ridicare a containerelor</t>
  </si>
  <si>
    <t>Stivuitor</t>
  </si>
  <si>
    <t>Containere deseuri periculoase - capacitate cca 1mc</t>
  </si>
  <si>
    <t xml:space="preserve">Containere de 30 mc cu sistem de prindere </t>
  </si>
  <si>
    <t>Rezervor metalic de stocare ulei alimentar uzat</t>
  </si>
  <si>
    <t>Containere mobile 10 mc cu sistem de prindere</t>
  </si>
  <si>
    <t>Rezervor metalic de stocare hidrocarburi</t>
  </si>
  <si>
    <t>Containere deseuri reciclabile - capacitate cca 5 mc</t>
  </si>
  <si>
    <t>Containere deseuri voluminoase - capacitate cca 5 mc</t>
  </si>
  <si>
    <t>Containere deseuri textile - capacitate cca 2,5 mc</t>
  </si>
  <si>
    <t>Deviz estimativ. Va fi finantat de operator</t>
  </si>
  <si>
    <t>21.10.2024</t>
  </si>
  <si>
    <t>ajustat la 31.01.2025</t>
  </si>
  <si>
    <t>Valoare totala proiect</t>
  </si>
  <si>
    <t>comparatie versiuni proiect</t>
  </si>
  <si>
    <t>Versiune</t>
  </si>
  <si>
    <t>Valoare euro preturi constante fara TVA</t>
  </si>
  <si>
    <t>Valoare lei preturi constante cu TVA</t>
  </si>
  <si>
    <t>Valoare euro preturi curente fara TVA</t>
  </si>
  <si>
    <t>Valoare euro preturi curente cu TVA</t>
  </si>
  <si>
    <t>Valoare lei preturi constante fara TVA</t>
  </si>
  <si>
    <t>Valoare lei preturi curente fara TVA</t>
  </si>
  <si>
    <t>Valoare lei preturi curente cu TVA</t>
  </si>
  <si>
    <t>septembrie 2023</t>
  </si>
  <si>
    <t>octombrie 2024 total</t>
  </si>
  <si>
    <t>din care PDD</t>
  </si>
  <si>
    <t>octombrie 2024 cu 10% la instalatie</t>
  </si>
  <si>
    <t>21 ianuarie 2025 cu 30% la instalatie</t>
  </si>
  <si>
    <t>31 ianuarie 2025 cu 30% la instalatie si AFM ajustat</t>
  </si>
  <si>
    <t>4 februarie 2025 cu 30% la instalatie si la echipamente C&amp;T neatribuite</t>
  </si>
  <si>
    <t>Echipamente ce vor fi finantate prin AFM</t>
  </si>
  <si>
    <t>Valoare fara TVA</t>
  </si>
  <si>
    <t>Valoare cu TVA</t>
  </si>
  <si>
    <t>Vehicule</t>
  </si>
  <si>
    <t>Software monitorizare</t>
  </si>
  <si>
    <t>FG</t>
  </si>
  <si>
    <t>Valoare totala Euro,       fara TVA, preturi curente</t>
  </si>
  <si>
    <t xml:space="preserve">Valoare totala Lei, fara TVA, preturi curente                                                </t>
  </si>
  <si>
    <t>Valoare lei, cu TVA, preturi curente</t>
  </si>
  <si>
    <t>Valoare eligibila Euro,       fara TVA, preturi curente</t>
  </si>
  <si>
    <t xml:space="preserve">Valoare eligibila Lei, fara TVA, preturi curente                                                </t>
  </si>
  <si>
    <t>Valoare ne-eligibila Euro,       fara TVA, preturi curente</t>
  </si>
  <si>
    <t xml:space="preserve">Valoare ne-eligibila Lei, fara TVA, preturi curente                                                </t>
  </si>
  <si>
    <t>Valoare FG, fara TVA</t>
  </si>
  <si>
    <t>Valoare FG, cu TVA</t>
  </si>
  <si>
    <t>Valoare rambursabila (98%), fara TVA</t>
  </si>
  <si>
    <t>Valoare rambursabila (98%), inclusiv TVA eligibila</t>
  </si>
  <si>
    <t>pret unitar, fara TVA</t>
  </si>
  <si>
    <t>val. Totala fara TVA</t>
  </si>
  <si>
    <t>valoare TVA</t>
  </si>
  <si>
    <t>eligibil</t>
  </si>
  <si>
    <t>neeligibil</t>
  </si>
  <si>
    <t>val totala</t>
  </si>
  <si>
    <t>val tot elig</t>
  </si>
  <si>
    <t>val tot neelig</t>
  </si>
  <si>
    <t>contrib. proprie elig</t>
  </si>
  <si>
    <t>public</t>
  </si>
  <si>
    <t>neramburs</t>
  </si>
  <si>
    <t>5'</t>
  </si>
  <si>
    <t>10=7*FG</t>
  </si>
  <si>
    <t>8= 6*FG</t>
  </si>
  <si>
    <t>11 = 10*98%</t>
  </si>
  <si>
    <t>10= 8*98%</t>
  </si>
  <si>
    <t>1=H</t>
  </si>
  <si>
    <t>2=1</t>
  </si>
  <si>
    <t>3=I-H</t>
  </si>
  <si>
    <t>4=O</t>
  </si>
  <si>
    <t>5=zero</t>
  </si>
  <si>
    <t>6=M</t>
  </si>
  <si>
    <t>7=3</t>
  </si>
  <si>
    <t>8=9+10</t>
  </si>
  <si>
    <t>9=4+5</t>
  </si>
  <si>
    <t>10=6+7</t>
  </si>
  <si>
    <t>11=2%x9</t>
  </si>
  <si>
    <t>12=9</t>
  </si>
  <si>
    <t>13=12-11</t>
  </si>
  <si>
    <t>Cheltuieli de deplasare pentru personal management proiect</t>
  </si>
  <si>
    <t>Buget centralizator MYSMIS-pag.119</t>
  </si>
  <si>
    <t>1. cheltuieli totale proiect</t>
  </si>
  <si>
    <t>2.cheltuieli totale eligibile actualizate proiect</t>
  </si>
  <si>
    <t>3.cheltuieli totale eligibile  neactualizate proiect</t>
  </si>
  <si>
    <t>4.public</t>
  </si>
  <si>
    <t>5.cheltuieli totale nerambursabile</t>
  </si>
  <si>
    <t>6. cheltuieli totale ajutor de stat</t>
  </si>
  <si>
    <t>7.cheltuieli totale contributie publica</t>
  </si>
  <si>
    <t>8.cheltuieli totale neeligibile proiect</t>
  </si>
  <si>
    <t>9.intensitatea interventiei</t>
  </si>
  <si>
    <t>Indicatori macroeconomici</t>
  </si>
  <si>
    <t>inflatie lei</t>
  </si>
  <si>
    <t>index</t>
  </si>
  <si>
    <t>4,657*</t>
  </si>
  <si>
    <t>*cursul Devizului General</t>
  </si>
  <si>
    <t xml:space="preserve">G.1.2. Planul anual de  cheltuieli   eligibile   totale </t>
  </si>
  <si>
    <t>In preturi constante</t>
  </si>
  <si>
    <t>Cheltuieli eligibile totale</t>
  </si>
  <si>
    <t>ANII</t>
  </si>
  <si>
    <t>(În EUR)</t>
  </si>
  <si>
    <t>(În LEI)</t>
  </si>
  <si>
    <t>in preturi curente</t>
  </si>
  <si>
    <t>CONTRACT ATMP</t>
  </si>
  <si>
    <t>de la beneficiar</t>
  </si>
  <si>
    <t>PROPUS</t>
  </si>
  <si>
    <t>Element deviz</t>
  </si>
  <si>
    <t>Valoare preturi constante, lei fara TVA</t>
  </si>
  <si>
    <t>Valoare preturi curente, lei fara TVA</t>
  </si>
  <si>
    <t>LOT 1</t>
  </si>
  <si>
    <t>3.6.</t>
  </si>
  <si>
    <t>in contractele de DB si DBO</t>
  </si>
  <si>
    <t>3.7.1.</t>
  </si>
  <si>
    <t>Managementul Proiectului</t>
  </si>
  <si>
    <t>3.6 Organizarea procedurilor de achizitii (inclusiv intocmirea DA), pentru delegarea operarii</t>
  </si>
  <si>
    <t>5.4.</t>
  </si>
  <si>
    <t>in contractul nostru, respectiv in DB si DBO</t>
  </si>
  <si>
    <t>LOT 2</t>
  </si>
  <si>
    <t>3.8.2.</t>
  </si>
  <si>
    <t>Dirigintie de santier</t>
  </si>
  <si>
    <t>5.4 Cheltuieli pentru informare si publicitate</t>
  </si>
  <si>
    <t>CONTRACT SUPERVIZARE</t>
  </si>
  <si>
    <t>SV</t>
  </si>
  <si>
    <t>Contractul nostru</t>
  </si>
  <si>
    <t>Plati</t>
  </si>
  <si>
    <t>SF cap 3.5.3</t>
  </si>
  <si>
    <t>ne-eligibil, neinclus in DG</t>
  </si>
  <si>
    <t>PT la VM dep</t>
  </si>
  <si>
    <t>master plan</t>
  </si>
  <si>
    <t>de incasat</t>
  </si>
  <si>
    <t>la ate studii, aplicatia de finantare</t>
  </si>
  <si>
    <t>la AT achizitii la eval, de adaugat</t>
  </si>
  <si>
    <t>la SF 3.5.3</t>
  </si>
  <si>
    <t>SF 3.5.3 drumuri</t>
  </si>
  <si>
    <t>evaluare impact mediu 3.1.3 c</t>
  </si>
  <si>
    <t>prezenta proiectantului legea 10</t>
  </si>
  <si>
    <t>Contractul</t>
  </si>
  <si>
    <t>Initial</t>
  </si>
  <si>
    <t>AA1-EIA</t>
  </si>
  <si>
    <t>contract MP</t>
  </si>
  <si>
    <t>AA2 - drumuri</t>
  </si>
  <si>
    <t>Contract Inchidere depozit Tecuci, Statii de transfer si SC Tecuci</t>
  </si>
  <si>
    <t>Elemente deviz</t>
  </si>
  <si>
    <t>INCHIDERE DEPOZIT TECUCI</t>
  </si>
  <si>
    <t>SC SI ST TECUCI</t>
  </si>
  <si>
    <t>ST TG. BUJOR</t>
  </si>
  <si>
    <t>TOTAL PROIECTARE</t>
  </si>
  <si>
    <t>LUCRARI</t>
  </si>
  <si>
    <t>cap 1</t>
  </si>
  <si>
    <t>cap 2</t>
  </si>
  <si>
    <t>Investitia de baza</t>
  </si>
  <si>
    <t>Organizare santier</t>
  </si>
  <si>
    <t>TOTAL C+M</t>
  </si>
  <si>
    <t>TOTAL , fara diverse si neprevazute</t>
  </si>
  <si>
    <t>TOTAL DBO</t>
  </si>
  <si>
    <t>TOTAL ST</t>
  </si>
  <si>
    <t>TOTAL TMB</t>
  </si>
  <si>
    <t>Pamant vegetal spatiu verde(inclusiv inierbare)</t>
  </si>
  <si>
    <t>TOTAL 1</t>
  </si>
  <si>
    <t>TOTAL 2</t>
  </si>
  <si>
    <t>5.1 Organizare de santier</t>
  </si>
  <si>
    <t>TOTAL Contract DBO</t>
  </si>
  <si>
    <t>din deviz proiectant CJ</t>
  </si>
  <si>
    <t>3.8.1 Asistenta tehnica din partea proiectantului pe perioada de executie a lucrarilor pentru participarea proiectantului la fazele incluse in programul de control al lucrarilor de excutie , avizat de catre Inspectoratul de Stat in Constructii</t>
  </si>
  <si>
    <t>proiectare tehnica utilitati</t>
  </si>
  <si>
    <t>1. Drum acces 1 Valea Marului</t>
  </si>
  <si>
    <t>2. Drum acces 2 Valea Marului</t>
  </si>
  <si>
    <t>3. Drum acces Galati</t>
  </si>
  <si>
    <t>4. Drum acces Tecuci</t>
  </si>
  <si>
    <t>TOTAL drumuri acces</t>
  </si>
  <si>
    <t>1. Alimentare cu energie electrica Valea Marului</t>
  </si>
  <si>
    <t>2. Consolidare ravena Valea Marului</t>
  </si>
  <si>
    <t>3. Alimentare cu energie electrica Galati</t>
  </si>
  <si>
    <t>4. Alimentare cu apa Galati</t>
  </si>
  <si>
    <t>5. Canalizare Galati</t>
  </si>
  <si>
    <t>TOTAL utilitati</t>
  </si>
  <si>
    <t>TOTAL INVESTITIA DE BAZA</t>
  </si>
  <si>
    <t>5.3 Cheltuieli diverse si neprevazute</t>
  </si>
  <si>
    <t>TOTAL 5</t>
  </si>
  <si>
    <t>TOTAL contract</t>
  </si>
  <si>
    <t>de refacut dupa tabelul Cristinei</t>
  </si>
  <si>
    <t>An impl</t>
  </si>
  <si>
    <t>Investitii eligibile POIM</t>
  </si>
  <si>
    <t>Investitii neeligibile POIM</t>
  </si>
  <si>
    <t>Investitii suportate din alte fonduri</t>
  </si>
  <si>
    <t>Costuri totale de investitii</t>
  </si>
  <si>
    <t>populatie</t>
  </si>
  <si>
    <t>Costuri de investitii €</t>
  </si>
  <si>
    <t>Colectare deseuri reziduale</t>
  </si>
  <si>
    <t>inv specifica</t>
  </si>
  <si>
    <t>Pubele/containere Galati</t>
  </si>
  <si>
    <t>Pubele/containere Tecuci</t>
  </si>
  <si>
    <t>Pubele/containere Tg. Bujor, Beresti si rural</t>
  </si>
  <si>
    <t>Autocompactoare</t>
  </si>
  <si>
    <t>Colectare deseuri reciclabile</t>
  </si>
  <si>
    <t>Pubele/containere Tg. Bujor si Beresti</t>
  </si>
  <si>
    <t>Pubele/containere rural</t>
  </si>
  <si>
    <t>Autocompactoare ( Galati)</t>
  </si>
  <si>
    <t>Autocompactare Tecuci</t>
  </si>
  <si>
    <t>Autocompactoare Tg. Bujor si Beresti</t>
  </si>
  <si>
    <t>Autocompactoare rural</t>
  </si>
  <si>
    <t>Colectare biodeseuri</t>
  </si>
  <si>
    <t>Pubele/containere total urban</t>
  </si>
  <si>
    <t>Autocompactoare total urban</t>
  </si>
  <si>
    <t>Centre de stocare temporara deseuri voluminoase si periculoase</t>
  </si>
  <si>
    <t xml:space="preserve"> Centre stocare temporara - valoarea lucrarilor pentru acestea este inclusa in valoarea ST Tecuci, ST TG. Bujor; </t>
  </si>
  <si>
    <t>Recipienti colectare /  stocare</t>
  </si>
  <si>
    <t>Vehicule specializate</t>
  </si>
  <si>
    <t>Drumuri de acces si utilitati pentru instalatiile din proiect</t>
  </si>
  <si>
    <t>Drum acces la MBT Galati</t>
  </si>
  <si>
    <t>Drum acces la depozit si SS Valea Marului</t>
  </si>
  <si>
    <t>Utilitati MBT Galati</t>
  </si>
  <si>
    <t>Utilitati Valea Marului</t>
  </si>
  <si>
    <t>Drum acces si utilitati Tecuci</t>
  </si>
  <si>
    <t>Drum acces si utilitati Tg. Bujor</t>
  </si>
  <si>
    <t>Statii de transfer</t>
  </si>
  <si>
    <t>Tecuci</t>
  </si>
  <si>
    <t>Tg. Bujor</t>
  </si>
  <si>
    <t xml:space="preserve">Galati  </t>
  </si>
  <si>
    <t>Statii de sortare</t>
  </si>
  <si>
    <t>Valea Marului</t>
  </si>
  <si>
    <t>Tecuci (existenta)</t>
  </si>
  <si>
    <t>Galati (existenta)</t>
  </si>
  <si>
    <t>Statii compostare</t>
  </si>
  <si>
    <t>Tg. Bujor (existenta, retehnologizare)</t>
  </si>
  <si>
    <t>Unitati de compostare</t>
  </si>
  <si>
    <t>Tratare mecano-biologica</t>
  </si>
  <si>
    <t>STMBRE Galati</t>
  </si>
  <si>
    <t>Eliminare</t>
  </si>
  <si>
    <t>Depozit Valea Marului (preparation of site and construirea celului 1, echipamente)</t>
  </si>
  <si>
    <t>Inchidere depozite neconforme</t>
  </si>
  <si>
    <t>Inchidere depozit neconform Tecuci Rates</t>
  </si>
  <si>
    <t xml:space="preserve">TOTAL </t>
  </si>
  <si>
    <t>Planificare/Proiectare</t>
  </si>
  <si>
    <t>Asistenta Tehnica</t>
  </si>
  <si>
    <t>Constientizare Publica</t>
  </si>
  <si>
    <t>Comisioane, contributii si taxe legale</t>
  </si>
  <si>
    <t>Total (preturi constante)</t>
  </si>
  <si>
    <t>Total (preturi curente)</t>
  </si>
  <si>
    <t>Sistem stocare energie +invertor</t>
  </si>
  <si>
    <t>Sistem stocare energie+invertor</t>
  </si>
  <si>
    <t>ANEXA nr. 2 la Hotarârea nr......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</si>
</sst>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lei&quot;_-;\-* #,##0.00\ &quot;lei&quot;_-;_-* &quot;-&quot;??\ &quot;lei&quot;_-;_-@_-"/>
    <numFmt numFmtId="165" formatCode="_-* #,##0.00\ _l_e_i_-;\-* #,##0.00\ _l_e_i_-;_-* &quot;-&quot;??\ _l_e_i_-;_-@_-"/>
    <numFmt numFmtId="166" formatCode="_-* #,##0.00_-;\-* #,##0.00_-;_-* &quot;-&quot;??_-;_-@_-"/>
    <numFmt numFmtId="167" formatCode="_ * #,##0.00_ ;_ * \-#,##0.00_ ;_ * &quot;-&quot;??_ ;_ @_ "/>
    <numFmt numFmtId="168" formatCode="_-* #,##0.00\ _€_-;\-* #,##0.00\ _€_-;_-* &quot;-&quot;??\ _€_-;_-@_-"/>
    <numFmt numFmtId="169" formatCode="_(* #,##0_);_(* \(#,##0\);_(* &quot;-&quot;??_);_(@_)"/>
    <numFmt numFmtId="170" formatCode="0.0000"/>
    <numFmt numFmtId="171" formatCode="0.000000%"/>
    <numFmt numFmtId="172" formatCode="#,##0.000"/>
    <numFmt numFmtId="173" formatCode="#.##0.00"/>
    <numFmt numFmtId="174" formatCode="#,##0.0000"/>
    <numFmt numFmtId="175" formatCode="_(* #,##0.0000_);_(* \(#,##0.0000\);_(* &quot;-&quot;??_);_(@_)"/>
    <numFmt numFmtId="176" formatCode="#,##0.0"/>
    <numFmt numFmtId="177" formatCode="_(* #,##0.0_);_(* \(#,##0.0\);_(* &quot;-&quot;??_);_(@_)"/>
    <numFmt numFmtId="178" formatCode="0.0%"/>
    <numFmt numFmtId="179" formatCode="_-* #,##0\ _€_-;\-* #,##0\ _€_-;_-* &quot;-&quot;??\ _€_-;_-@_-"/>
    <numFmt numFmtId="180" formatCode="_-* #,##0_-;\-* #,##0_-;_-* &quot;-&quot;??_-;_-@_-"/>
    <numFmt numFmtId="181" formatCode="_(* #,##0.00_);_(* \(#,##0.00\);_(* &quot;-&quot;??.00_);_(@_)"/>
    <numFmt numFmtId="182" formatCode="_(* #,##0.000_);_(* \(#,##0.000\);_(* &quot;-&quot;??_);_(@_)"/>
    <numFmt numFmtId="183" formatCode="_-* #,##0.0000\ _l_e_i_-;\-* #,##0.0000\ _l_e_i_-;_-* &quot;-&quot;????\ _l_e_i_-;_-@_-"/>
    <numFmt numFmtId="184" formatCode="0.000"/>
  </numFmts>
  <fonts count="100">
    <font>
      <sz val="10"/>
      <name val="Arial"/>
      <charset val="134"/>
    </font>
    <font>
      <sz val="10"/>
      <color rgb="FFFF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2"/>
      <name val="Arial"/>
      <family val="2"/>
    </font>
    <font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0"/>
      <color theme="0"/>
      <name val="Arial"/>
      <family val="2"/>
    </font>
    <font>
      <sz val="7.5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7"/>
      <name val="Calibri"/>
      <family val="2"/>
    </font>
    <font>
      <sz val="8"/>
      <name val="Times New Roman"/>
      <family val="1"/>
    </font>
    <font>
      <sz val="5"/>
      <name val="Calibri"/>
      <family val="2"/>
    </font>
    <font>
      <sz val="5.5"/>
      <name val="Calibri"/>
      <family val="2"/>
    </font>
    <font>
      <i/>
      <sz val="8.5"/>
      <name val="Times New Roman"/>
      <family val="1"/>
    </font>
    <font>
      <i/>
      <sz val="8"/>
      <name val="Times New Roman"/>
      <family val="1"/>
    </font>
    <font>
      <sz val="8.5"/>
      <name val="Times New Roman"/>
      <family val="1"/>
    </font>
    <font>
      <i/>
      <sz val="9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9"/>
      <color indexed="8"/>
      <name val="Calibri"/>
      <family val="2"/>
    </font>
    <font>
      <b/>
      <sz val="12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  <scheme val="minor"/>
    </font>
    <font>
      <sz val="11"/>
      <color indexed="8"/>
      <name val="Arial"/>
      <family val="2"/>
    </font>
    <font>
      <b/>
      <sz val="11"/>
      <name val="Calibri"/>
      <family val="2"/>
    </font>
    <font>
      <i/>
      <sz val="10"/>
      <color indexed="10"/>
      <name val="Calibri"/>
      <family val="2"/>
    </font>
    <font>
      <i/>
      <sz val="10"/>
      <name val="Calibri"/>
      <family val="2"/>
    </font>
    <font>
      <i/>
      <sz val="10"/>
      <color theme="0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10"/>
      <color rgb="FFFF0000"/>
      <name val="Arial"/>
      <family val="2"/>
    </font>
    <font>
      <i/>
      <sz val="11"/>
      <color indexed="8"/>
      <name val="Calibri"/>
      <family val="2"/>
    </font>
    <font>
      <sz val="11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FF0000"/>
      <name val="Arial"/>
      <family val="2"/>
    </font>
    <font>
      <sz val="12"/>
      <name val="Symbol"/>
      <family val="1"/>
      <charset val="2"/>
    </font>
    <font>
      <sz val="9.5"/>
      <name val="Times New Roman"/>
      <family val="1"/>
    </font>
    <font>
      <sz val="10"/>
      <color rgb="FFFF0000"/>
      <name val="Times New Roman"/>
      <family val="1"/>
    </font>
    <font>
      <sz val="9.5"/>
      <color rgb="FFFF0000"/>
      <name val="Times New Roman"/>
      <family val="1"/>
    </font>
    <font>
      <b/>
      <sz val="1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 tint="-0.34998626667073579"/>
      <name val="Arial"/>
      <family val="2"/>
    </font>
    <font>
      <sz val="9"/>
      <name val="Arial"/>
      <family val="2"/>
    </font>
    <font>
      <u/>
      <sz val="10"/>
      <color rgb="FFFF0000"/>
      <name val="Verdana"/>
      <family val="2"/>
    </font>
    <font>
      <b/>
      <i/>
      <sz val="14"/>
      <name val="Arial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b/>
      <sz val="1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theme="0" tint="-0.34998626667073579"/>
      <name val="Arial"/>
      <family val="2"/>
    </font>
    <font>
      <i/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b/>
      <sz val="9.5"/>
      <name val="Times New Roman"/>
      <family val="1"/>
    </font>
    <font>
      <b/>
      <sz val="8"/>
      <name val="Tahoma"/>
      <family val="2"/>
    </font>
    <font>
      <b/>
      <sz val="9"/>
      <name val="Tahoma"/>
      <family val="2"/>
    </font>
    <font>
      <sz val="9"/>
      <name val="Segoe UI"/>
      <family val="2"/>
      <charset val="238"/>
    </font>
    <font>
      <b/>
      <sz val="9"/>
      <name val="Segoe UI"/>
      <family val="2"/>
      <charset val="238"/>
    </font>
    <font>
      <sz val="9"/>
      <name val="Tahoma"/>
      <family val="2"/>
    </font>
    <font>
      <sz val="11"/>
      <name val="Segoe UI"/>
      <family val="2"/>
      <charset val="238"/>
    </font>
    <font>
      <sz val="8"/>
      <name val="Tahoma"/>
      <family val="2"/>
    </font>
    <font>
      <sz val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2EEB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7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3743705557422"/>
        <bgColor indexed="64"/>
      </patternFill>
    </fill>
  </fills>
  <borders count="16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 style="medium">
        <color theme="9" tint="-0.24994659260841701"/>
      </left>
      <right style="thin">
        <color auto="1"/>
      </right>
      <top style="medium">
        <color theme="9" tint="-0.24994659260841701"/>
      </top>
      <bottom style="thin">
        <color auto="1"/>
      </bottom>
      <diagonal/>
    </border>
    <border>
      <left style="thin">
        <color auto="1"/>
      </left>
      <right style="medium">
        <color theme="9" tint="-0.24994659260841701"/>
      </right>
      <top style="medium">
        <color theme="9" tint="-0.24994659260841701"/>
      </top>
      <bottom style="thin">
        <color auto="1"/>
      </bottom>
      <diagonal/>
    </border>
    <border>
      <left style="medium">
        <color theme="9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9" tint="-0.24994659260841701"/>
      </right>
      <top style="thin">
        <color auto="1"/>
      </top>
      <bottom style="thin">
        <color auto="1"/>
      </bottom>
      <diagonal/>
    </border>
    <border>
      <left style="medium">
        <color theme="9" tint="-0.24994659260841701"/>
      </left>
      <right style="thin">
        <color auto="1"/>
      </right>
      <top style="thin">
        <color auto="1"/>
      </top>
      <bottom style="medium">
        <color theme="9" tint="-0.24994659260841701"/>
      </bottom>
      <diagonal/>
    </border>
    <border>
      <left style="thin">
        <color auto="1"/>
      </left>
      <right style="medium">
        <color theme="9" tint="-0.24994659260841701"/>
      </right>
      <top style="thin">
        <color auto="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499984740745262"/>
      </left>
      <right/>
      <top/>
      <bottom/>
      <diagonal/>
    </border>
    <border>
      <left style="medium">
        <color theme="9" tint="-0.499984740745262"/>
      </left>
      <right/>
      <top/>
      <bottom style="medium">
        <color theme="9" tint="-0.24994659260841701"/>
      </bottom>
      <diagonal/>
    </border>
    <border>
      <left style="thin">
        <color auto="1"/>
      </left>
      <right style="thin">
        <color auto="1"/>
      </right>
      <top style="medium">
        <color theme="9" tint="-0.24994659260841701"/>
      </top>
      <bottom style="thin">
        <color auto="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9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auto="1"/>
      </bottom>
      <diagonal/>
    </border>
    <border>
      <left style="medium">
        <color theme="8" tint="-0.249977111117893"/>
      </left>
      <right style="thin">
        <color auto="1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auto="1"/>
      </left>
      <right style="thin">
        <color auto="1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auto="1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/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auto="1"/>
      </top>
      <bottom style="thin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auto="1"/>
      </top>
      <bottom style="thin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thin">
        <color auto="1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 style="thin">
        <color auto="1"/>
      </right>
      <top style="medium">
        <color theme="8" tint="-0.249977111117893"/>
      </top>
      <bottom/>
      <diagonal/>
    </border>
    <border>
      <left style="thin">
        <color auto="1"/>
      </left>
      <right style="thin">
        <color auto="1"/>
      </right>
      <top style="medium">
        <color theme="8" tint="-0.249977111117893"/>
      </top>
      <bottom/>
      <diagonal/>
    </border>
    <border>
      <left style="thin">
        <color auto="1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theme="9" tint="-0.249977111117893"/>
      </left>
      <right style="thin">
        <color auto="1"/>
      </right>
      <top style="medium">
        <color theme="9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9" tint="-0.249977111117893"/>
      </top>
      <bottom/>
      <diagonal/>
    </border>
    <border>
      <left style="thin">
        <color auto="1"/>
      </left>
      <right/>
      <top style="medium">
        <color theme="9" tint="-0.249977111117893"/>
      </top>
      <bottom style="thin">
        <color auto="1"/>
      </bottom>
      <diagonal/>
    </border>
    <border>
      <left style="thin">
        <color theme="1"/>
      </left>
      <right style="medium">
        <color theme="9" tint="-0.249977111117893"/>
      </right>
      <top style="medium">
        <color theme="9" tint="-0.249977111117893"/>
      </top>
      <bottom style="thin">
        <color auto="1"/>
      </bottom>
      <diagonal/>
    </border>
    <border>
      <left style="medium">
        <color theme="9" tint="-0.24997711111789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theme="9" tint="-0.249977111117893"/>
      </right>
      <top style="thin">
        <color auto="1"/>
      </top>
      <bottom style="thin">
        <color auto="1"/>
      </bottom>
      <diagonal/>
    </border>
    <border>
      <left style="medium">
        <color theme="9" tint="-0.249977111117893"/>
      </left>
      <right style="thin">
        <color auto="1"/>
      </right>
      <top style="thin">
        <color auto="1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/>
      <bottom style="medium">
        <color theme="9" tint="-0.249977111117893"/>
      </bottom>
      <diagonal/>
    </border>
    <border>
      <left style="thin">
        <color auto="1"/>
      </left>
      <right/>
      <top style="thin">
        <color auto="1"/>
      </top>
      <bottom style="medium">
        <color theme="9" tint="-0.249977111117893"/>
      </bottom>
      <diagonal/>
    </border>
    <border>
      <left style="thin">
        <color theme="1"/>
      </left>
      <right style="medium">
        <color theme="9" tint="-0.249977111117893"/>
      </right>
      <top style="thin">
        <color auto="1"/>
      </top>
      <bottom style="medium">
        <color theme="9" tint="-0.249977111117893"/>
      </bottom>
      <diagonal/>
    </border>
  </borders>
  <cellStyleXfs count="49">
    <xf numFmtId="0" fontId="0" fillId="0" borderId="0"/>
    <xf numFmtId="43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82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7" fillId="0" borderId="0" applyFont="0" applyFill="0" applyBorder="0" applyAlignment="0" applyProtection="0"/>
    <xf numFmtId="166" fontId="75" fillId="0" borderId="0" applyFont="0" applyFill="0" applyBorder="0" applyAlignment="0" applyProtection="0"/>
    <xf numFmtId="168" fontId="97" fillId="0" borderId="0" applyFont="0" applyFill="0" applyBorder="0" applyAlignment="0" applyProtection="0"/>
    <xf numFmtId="44" fontId="88" fillId="0" borderId="0" applyFont="0" applyFill="0" applyBorder="0" applyAlignment="0" applyProtection="0"/>
    <xf numFmtId="164" fontId="88" fillId="0" borderId="0" applyFont="0" applyFill="0" applyBorder="0" applyAlignment="0" applyProtection="0"/>
    <xf numFmtId="44" fontId="88" fillId="0" borderId="0" applyFont="0" applyFill="0" applyBorder="0" applyAlignment="0" applyProtection="0"/>
    <xf numFmtId="0" fontId="97" fillId="0" borderId="0"/>
    <xf numFmtId="0" fontId="88" fillId="0" borderId="0"/>
    <xf numFmtId="0" fontId="88" fillId="0" borderId="0"/>
    <xf numFmtId="0" fontId="88" fillId="0" borderId="0"/>
    <xf numFmtId="0" fontId="97" fillId="0" borderId="0"/>
    <xf numFmtId="0" fontId="88" fillId="0" borderId="0"/>
    <xf numFmtId="0" fontId="97" fillId="0" borderId="0"/>
    <xf numFmtId="0" fontId="97" fillId="0" borderId="0"/>
    <xf numFmtId="0" fontId="97" fillId="0" borderId="0"/>
    <xf numFmtId="0" fontId="82" fillId="0" borderId="0"/>
    <xf numFmtId="0" fontId="97" fillId="0" borderId="0"/>
    <xf numFmtId="0" fontId="66" fillId="0" borderId="0"/>
    <xf numFmtId="0" fontId="97" fillId="0" borderId="0"/>
    <xf numFmtId="0" fontId="97" fillId="0" borderId="0"/>
    <xf numFmtId="0" fontId="97" fillId="0" borderId="0"/>
    <xf numFmtId="0" fontId="88" fillId="0" borderId="0"/>
    <xf numFmtId="0" fontId="97" fillId="0" borderId="0"/>
    <xf numFmtId="0" fontId="88" fillId="0" borderId="0"/>
    <xf numFmtId="0" fontId="97" fillId="0" borderId="0"/>
    <xf numFmtId="0" fontId="97" fillId="0" borderId="0"/>
    <xf numFmtId="0" fontId="73" fillId="0" borderId="0"/>
    <xf numFmtId="0" fontId="75" fillId="0" borderId="0"/>
    <xf numFmtId="0" fontId="46" fillId="0" borderId="0"/>
    <xf numFmtId="0" fontId="97" fillId="0" borderId="0"/>
    <xf numFmtId="0" fontId="97" fillId="0" borderId="0"/>
    <xf numFmtId="0" fontId="97" fillId="0" borderId="0"/>
    <xf numFmtId="9" fontId="8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82" fillId="0" borderId="0" applyFont="0" applyFill="0" applyBorder="0" applyAlignment="0" applyProtection="0"/>
    <xf numFmtId="43" fontId="97" fillId="0" borderId="0" applyFont="0" applyFill="0" applyBorder="0" applyAlignment="0" applyProtection="0"/>
  </cellStyleXfs>
  <cellXfs count="2130">
    <xf numFmtId="0" fontId="0" fillId="0" borderId="0" xfId="0"/>
    <xf numFmtId="0" fontId="97" fillId="2" borderId="0" xfId="32" applyFill="1"/>
    <xf numFmtId="0" fontId="97" fillId="0" borderId="0" xfId="32"/>
    <xf numFmtId="0" fontId="1" fillId="2" borderId="0" xfId="32" applyFont="1" applyFill="1"/>
    <xf numFmtId="0" fontId="2" fillId="3" borderId="1" xfId="32" applyFont="1" applyFill="1" applyBorder="1" applyAlignment="1">
      <alignment vertical="top" wrapText="1"/>
    </xf>
    <xf numFmtId="0" fontId="3" fillId="3" borderId="1" xfId="32" applyFont="1" applyFill="1" applyBorder="1" applyAlignment="1">
      <alignment horizontal="center" vertical="top" wrapText="1"/>
    </xf>
    <xf numFmtId="0" fontId="3" fillId="4" borderId="1" xfId="32" applyFont="1" applyFill="1" applyBorder="1" applyAlignment="1">
      <alignment horizontal="center" vertical="top" wrapText="1"/>
    </xf>
    <xf numFmtId="0" fontId="3" fillId="5" borderId="1" xfId="32" applyFont="1" applyFill="1" applyBorder="1" applyAlignment="1">
      <alignment horizontal="center" vertical="top" wrapText="1"/>
    </xf>
    <xf numFmtId="0" fontId="3" fillId="3" borderId="2" xfId="32" applyFont="1" applyFill="1" applyBorder="1" applyAlignment="1">
      <alignment vertical="top" wrapText="1"/>
    </xf>
    <xf numFmtId="0" fontId="97" fillId="3" borderId="2" xfId="32" applyFill="1" applyBorder="1" applyAlignment="1">
      <alignment horizontal="center" vertical="top" wrapText="1"/>
    </xf>
    <xf numFmtId="0" fontId="97" fillId="3" borderId="6" xfId="32" applyFill="1" applyBorder="1" applyAlignment="1">
      <alignment vertical="top"/>
    </xf>
    <xf numFmtId="0" fontId="97" fillId="0" borderId="2" xfId="32" applyBorder="1" applyAlignment="1">
      <alignment vertical="top" wrapText="1"/>
    </xf>
    <xf numFmtId="0" fontId="97" fillId="0" borderId="2" xfId="32" applyBorder="1" applyAlignment="1">
      <alignment horizontal="center" vertical="top"/>
    </xf>
    <xf numFmtId="169" fontId="0" fillId="4" borderId="2" xfId="1" applyNumberFormat="1" applyFont="1" applyFill="1" applyBorder="1" applyAlignment="1">
      <alignment horizontal="center" vertical="top"/>
    </xf>
    <xf numFmtId="169" fontId="0" fillId="5" borderId="2" xfId="1" applyNumberFormat="1" applyFont="1" applyFill="1" applyBorder="1" applyAlignment="1">
      <alignment horizontal="center" vertical="top"/>
    </xf>
    <xf numFmtId="169" fontId="0" fillId="0" borderId="2" xfId="1" applyNumberFormat="1" applyFont="1" applyBorder="1" applyAlignment="1">
      <alignment horizontal="center" vertical="top"/>
    </xf>
    <xf numFmtId="169" fontId="0" fillId="3" borderId="6" xfId="1" applyNumberFormat="1" applyFont="1" applyFill="1" applyBorder="1" applyAlignment="1">
      <alignment horizontal="center" vertical="top"/>
    </xf>
    <xf numFmtId="3" fontId="97" fillId="2" borderId="0" xfId="32" applyNumberFormat="1" applyFill="1"/>
    <xf numFmtId="169" fontId="1" fillId="4" borderId="2" xfId="1" applyNumberFormat="1" applyFont="1" applyFill="1" applyBorder="1" applyAlignment="1">
      <alignment horizontal="center" vertical="top"/>
    </xf>
    <xf numFmtId="169" fontId="0" fillId="4" borderId="6" xfId="1" applyNumberFormat="1" applyFont="1" applyFill="1" applyBorder="1" applyAlignment="1">
      <alignment horizontal="center" vertical="top"/>
    </xf>
    <xf numFmtId="169" fontId="97" fillId="2" borderId="0" xfId="32" applyNumberFormat="1" applyFill="1"/>
    <xf numFmtId="0" fontId="3" fillId="6" borderId="2" xfId="32" applyFont="1" applyFill="1" applyBorder="1" applyAlignment="1">
      <alignment vertical="top" wrapText="1"/>
    </xf>
    <xf numFmtId="0" fontId="97" fillId="6" borderId="2" xfId="32" applyFill="1" applyBorder="1" applyAlignment="1">
      <alignment horizontal="center" vertical="top"/>
    </xf>
    <xf numFmtId="169" fontId="0" fillId="6" borderId="2" xfId="1" applyNumberFormat="1" applyFont="1" applyFill="1" applyBorder="1" applyAlignment="1">
      <alignment horizontal="center" vertical="top"/>
    </xf>
    <xf numFmtId="0" fontId="97" fillId="3" borderId="6" xfId="32" applyFill="1" applyBorder="1" applyAlignment="1">
      <alignment vertical="top" wrapText="1"/>
    </xf>
    <xf numFmtId="169" fontId="3" fillId="3" borderId="6" xfId="1" applyNumberFormat="1" applyFont="1" applyFill="1" applyBorder="1" applyAlignment="1">
      <alignment horizontal="center" vertical="top" wrapText="1"/>
    </xf>
    <xf numFmtId="0" fontId="3" fillId="7" borderId="2" xfId="32" applyFont="1" applyFill="1" applyBorder="1" applyAlignment="1">
      <alignment vertical="top" wrapText="1"/>
    </xf>
    <xf numFmtId="0" fontId="97" fillId="7" borderId="2" xfId="32" applyFill="1" applyBorder="1" applyAlignment="1">
      <alignment horizontal="center" vertical="top"/>
    </xf>
    <xf numFmtId="169" fontId="3" fillId="8" borderId="2" xfId="1" applyNumberFormat="1" applyFont="1" applyFill="1" applyBorder="1" applyAlignment="1">
      <alignment horizontal="center" vertical="top"/>
    </xf>
    <xf numFmtId="169" fontId="3" fillId="5" borderId="2" xfId="1" applyNumberFormat="1" applyFont="1" applyFill="1" applyBorder="1" applyAlignment="1">
      <alignment horizontal="center" vertical="top"/>
    </xf>
    <xf numFmtId="0" fontId="97" fillId="0" borderId="6" xfId="32" applyBorder="1" applyAlignment="1">
      <alignment horizontal="center" vertical="top"/>
    </xf>
    <xf numFmtId="0" fontId="3" fillId="0" borderId="2" xfId="32" applyFont="1" applyBorder="1" applyAlignment="1">
      <alignment vertical="top" wrapText="1"/>
    </xf>
    <xf numFmtId="169" fontId="3" fillId="4" borderId="2" xfId="1" applyNumberFormat="1" applyFont="1" applyFill="1" applyBorder="1" applyAlignment="1">
      <alignment horizontal="center" vertical="top"/>
    </xf>
    <xf numFmtId="169" fontId="0" fillId="5" borderId="6" xfId="1" applyNumberFormat="1" applyFont="1" applyFill="1" applyBorder="1" applyAlignment="1">
      <alignment horizontal="center" vertical="top"/>
    </xf>
    <xf numFmtId="0" fontId="3" fillId="7" borderId="6" xfId="32" applyFont="1" applyFill="1" applyBorder="1" applyAlignment="1">
      <alignment vertical="top" wrapText="1"/>
    </xf>
    <xf numFmtId="0" fontId="97" fillId="7" borderId="7" xfId="32" applyFill="1" applyBorder="1" applyAlignment="1">
      <alignment vertical="top"/>
    </xf>
    <xf numFmtId="0" fontId="3" fillId="0" borderId="6" xfId="32" applyFont="1" applyBorder="1" applyAlignment="1">
      <alignment vertical="top" wrapText="1"/>
    </xf>
    <xf numFmtId="0" fontId="97" fillId="0" borderId="6" xfId="32" applyBorder="1" applyAlignment="1">
      <alignment vertical="top"/>
    </xf>
    <xf numFmtId="169" fontId="3" fillId="0" borderId="6" xfId="1" applyNumberFormat="1" applyFont="1" applyBorder="1" applyAlignment="1">
      <alignment horizontal="center" vertical="top"/>
    </xf>
    <xf numFmtId="169" fontId="3" fillId="0" borderId="2" xfId="1" applyNumberFormat="1" applyFont="1" applyBorder="1" applyAlignment="1">
      <alignment horizontal="center" vertical="top"/>
    </xf>
    <xf numFmtId="0" fontId="97" fillId="2" borderId="0" xfId="32" applyFill="1" applyAlignment="1">
      <alignment horizontal="center"/>
    </xf>
    <xf numFmtId="169" fontId="0" fillId="2" borderId="0" xfId="1" applyNumberFormat="1" applyFont="1" applyFill="1"/>
    <xf numFmtId="43" fontId="0" fillId="2" borderId="0" xfId="1" applyFont="1" applyFill="1"/>
    <xf numFmtId="169" fontId="3" fillId="2" borderId="0" xfId="32" applyNumberFormat="1" applyFont="1" applyFill="1"/>
    <xf numFmtId="9" fontId="0" fillId="2" borderId="0" xfId="2" applyFont="1" applyFill="1"/>
    <xf numFmtId="0" fontId="0" fillId="9" borderId="8" xfId="0" applyFill="1" applyBorder="1"/>
    <xf numFmtId="0" fontId="0" fillId="9" borderId="9" xfId="0" applyFill="1" applyBorder="1" applyAlignment="1">
      <alignment wrapText="1"/>
    </xf>
    <xf numFmtId="0" fontId="3" fillId="9" borderId="10" xfId="0" applyFont="1" applyFill="1" applyBorder="1"/>
    <xf numFmtId="0" fontId="3" fillId="9" borderId="11" xfId="0" applyFont="1" applyFill="1" applyBorder="1" applyAlignment="1">
      <alignment horizontal="center" wrapText="1"/>
    </xf>
    <xf numFmtId="0" fontId="3" fillId="0" borderId="10" xfId="0" applyFont="1" applyBorder="1"/>
    <xf numFmtId="0" fontId="0" fillId="0" borderId="12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12" xfId="0" applyNumberFormat="1" applyBorder="1"/>
    <xf numFmtId="3" fontId="0" fillId="0" borderId="0" xfId="0" applyNumberFormat="1"/>
    <xf numFmtId="3" fontId="3" fillId="0" borderId="12" xfId="0" applyNumberFormat="1" applyFont="1" applyBorder="1"/>
    <xf numFmtId="0" fontId="0" fillId="0" borderId="12" xfId="0" applyBorder="1"/>
    <xf numFmtId="0" fontId="3" fillId="0" borderId="10" xfId="0" applyFont="1" applyBorder="1" applyAlignment="1">
      <alignment wrapText="1"/>
    </xf>
    <xf numFmtId="169" fontId="0" fillId="0" borderId="0" xfId="1" applyNumberFormat="1" applyFont="1"/>
    <xf numFmtId="0" fontId="0" fillId="2" borderId="0" xfId="0" applyFill="1"/>
    <xf numFmtId="3" fontId="0" fillId="2" borderId="0" xfId="0" applyNumberFormat="1" applyFill="1"/>
    <xf numFmtId="0" fontId="0" fillId="9" borderId="13" xfId="0" applyFill="1" applyBorder="1" applyAlignment="1">
      <alignment wrapText="1"/>
    </xf>
    <xf numFmtId="0" fontId="3" fillId="9" borderId="12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3" fontId="0" fillId="0" borderId="14" xfId="0" applyNumberFormat="1" applyBorder="1"/>
    <xf numFmtId="0" fontId="3" fillId="0" borderId="10" xfId="30" applyFont="1" applyBorder="1" applyAlignment="1">
      <alignment horizontal="left" vertical="top" wrapText="1"/>
    </xf>
    <xf numFmtId="3" fontId="0" fillId="10" borderId="12" xfId="0" applyNumberFormat="1" applyFill="1" applyBorder="1"/>
    <xf numFmtId="3" fontId="97" fillId="0" borderId="10" xfId="30" applyNumberFormat="1" applyBorder="1" applyAlignment="1">
      <alignment vertical="top" wrapText="1"/>
    </xf>
    <xf numFmtId="3" fontId="0" fillId="0" borderId="12" xfId="0" applyNumberFormat="1" applyBorder="1" applyAlignment="1">
      <alignment horizontal="center" wrapText="1"/>
    </xf>
    <xf numFmtId="3" fontId="3" fillId="10" borderId="12" xfId="0" applyNumberFormat="1" applyFont="1" applyFill="1" applyBorder="1"/>
    <xf numFmtId="3" fontId="3" fillId="0" borderId="14" xfId="0" applyNumberFormat="1" applyFont="1" applyBorder="1"/>
    <xf numFmtId="0" fontId="0" fillId="0" borderId="12" xfId="0" applyBorder="1" applyAlignment="1">
      <alignment horizontal="center" wrapText="1"/>
    </xf>
    <xf numFmtId="0" fontId="0" fillId="0" borderId="10" xfId="0" applyBorder="1"/>
    <xf numFmtId="3" fontId="3" fillId="0" borderId="12" xfId="0" applyNumberFormat="1" applyFont="1" applyBorder="1" applyAlignment="1">
      <alignment horizontal="center" wrapText="1"/>
    </xf>
    <xf numFmtId="0" fontId="0" fillId="10" borderId="12" xfId="0" applyFill="1" applyBorder="1" applyAlignment="1">
      <alignment wrapText="1"/>
    </xf>
    <xf numFmtId="3" fontId="0" fillId="0" borderId="12" xfId="0" applyNumberFormat="1" applyBorder="1" applyAlignment="1">
      <alignment wrapText="1"/>
    </xf>
    <xf numFmtId="0" fontId="0" fillId="10" borderId="12" xfId="0" applyFill="1" applyBorder="1"/>
    <xf numFmtId="0" fontId="0" fillId="0" borderId="14" xfId="0" applyBorder="1"/>
    <xf numFmtId="0" fontId="0" fillId="0" borderId="15" xfId="0" applyBorder="1" applyAlignment="1">
      <alignment wrapText="1"/>
    </xf>
    <xf numFmtId="0" fontId="0" fillId="10" borderId="16" xfId="0" applyFill="1" applyBorder="1"/>
    <xf numFmtId="3" fontId="0" fillId="0" borderId="16" xfId="0" applyNumberFormat="1" applyBorder="1"/>
    <xf numFmtId="0" fontId="0" fillId="0" borderId="17" xfId="0" applyBorder="1"/>
    <xf numFmtId="169" fontId="3" fillId="2" borderId="0" xfId="1" applyNumberFormat="1" applyFont="1" applyFill="1"/>
    <xf numFmtId="0" fontId="3" fillId="2" borderId="0" xfId="0" applyFont="1" applyFill="1"/>
    <xf numFmtId="0" fontId="97" fillId="0" borderId="10" xfId="22" applyBorder="1" applyAlignment="1">
      <alignment horizontal="left" vertical="top" wrapText="1"/>
    </xf>
    <xf numFmtId="170" fontId="0" fillId="0" borderId="12" xfId="0" applyNumberFormat="1" applyBorder="1"/>
    <xf numFmtId="169" fontId="0" fillId="0" borderId="12" xfId="1" applyNumberFormat="1" applyFont="1" applyFill="1" applyBorder="1"/>
    <xf numFmtId="49" fontId="0" fillId="0" borderId="10" xfId="0" applyNumberFormat="1" applyBorder="1" applyAlignment="1">
      <alignment wrapText="1"/>
    </xf>
    <xf numFmtId="49" fontId="0" fillId="0" borderId="15" xfId="0" applyNumberFormat="1" applyBorder="1"/>
    <xf numFmtId="3" fontId="0" fillId="10" borderId="16" xfId="0" applyNumberFormat="1" applyFill="1" applyBorder="1"/>
    <xf numFmtId="0" fontId="0" fillId="0" borderId="16" xfId="0" applyBorder="1"/>
    <xf numFmtId="1" fontId="0" fillId="2" borderId="0" xfId="0" applyNumberFormat="1" applyFill="1"/>
    <xf numFmtId="0" fontId="0" fillId="9" borderId="8" xfId="0" applyFill="1" applyBorder="1" applyAlignment="1">
      <alignment vertical="center"/>
    </xf>
    <xf numFmtId="0" fontId="0" fillId="9" borderId="13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4" fillId="0" borderId="10" xfId="0" applyFont="1" applyBorder="1"/>
    <xf numFmtId="0" fontId="5" fillId="0" borderId="10" xfId="0" applyFont="1" applyBorder="1" applyAlignment="1">
      <alignment wrapText="1"/>
    </xf>
    <xf numFmtId="3" fontId="3" fillId="0" borderId="10" xfId="0" applyNumberFormat="1" applyFont="1" applyBorder="1" applyAlignment="1">
      <alignment wrapText="1"/>
    </xf>
    <xf numFmtId="0" fontId="5" fillId="0" borderId="10" xfId="0" applyFont="1" applyBorder="1"/>
    <xf numFmtId="49" fontId="3" fillId="0" borderId="10" xfId="0" applyNumberFormat="1" applyFont="1" applyBorder="1" applyAlignment="1">
      <alignment wrapText="1"/>
    </xf>
    <xf numFmtId="49" fontId="5" fillId="0" borderId="10" xfId="0" applyNumberFormat="1" applyFont="1" applyBorder="1" applyAlignment="1">
      <alignment wrapText="1"/>
    </xf>
    <xf numFmtId="3" fontId="5" fillId="0" borderId="14" xfId="0" applyNumberFormat="1" applyFont="1" applyBorder="1"/>
    <xf numFmtId="3" fontId="5" fillId="0" borderId="0" xfId="0" applyNumberFormat="1" applyFont="1"/>
    <xf numFmtId="0" fontId="4" fillId="0" borderId="15" xfId="0" applyFont="1" applyBorder="1"/>
    <xf numFmtId="3" fontId="3" fillId="0" borderId="0" xfId="0" applyNumberFormat="1" applyFont="1"/>
    <xf numFmtId="0" fontId="3" fillId="0" borderId="15" xfId="0" applyFont="1" applyBorder="1"/>
    <xf numFmtId="3" fontId="3" fillId="0" borderId="17" xfId="0" applyNumberFormat="1" applyFont="1" applyBorder="1"/>
    <xf numFmtId="0" fontId="6" fillId="9" borderId="3" xfId="0" applyFont="1" applyFill="1" applyBorder="1"/>
    <xf numFmtId="0" fontId="0" fillId="9" borderId="4" xfId="0" applyFill="1" applyBorder="1"/>
    <xf numFmtId="0" fontId="0" fillId="9" borderId="5" xfId="0" applyFill="1" applyBorder="1"/>
    <xf numFmtId="0" fontId="3" fillId="2" borderId="18" xfId="0" applyFont="1" applyFill="1" applyBorder="1"/>
    <xf numFmtId="0" fontId="0" fillId="2" borderId="19" xfId="0" applyFill="1" applyBorder="1"/>
    <xf numFmtId="0" fontId="0" fillId="2" borderId="18" xfId="0" applyFill="1" applyBorder="1"/>
    <xf numFmtId="43" fontId="3" fillId="2" borderId="0" xfId="1" applyFont="1" applyFill="1" applyBorder="1"/>
    <xf numFmtId="43" fontId="0" fillId="0" borderId="0" xfId="1" applyFont="1" applyFill="1" applyBorder="1"/>
    <xf numFmtId="0" fontId="3" fillId="2" borderId="7" xfId="0" applyFont="1" applyFill="1" applyBorder="1"/>
    <xf numFmtId="43" fontId="3" fillId="2" borderId="20" xfId="1" applyFont="1" applyFill="1" applyBorder="1"/>
    <xf numFmtId="0" fontId="0" fillId="2" borderId="20" xfId="0" applyFill="1" applyBorder="1"/>
    <xf numFmtId="43" fontId="0" fillId="2" borderId="0" xfId="1" applyFont="1" applyFill="1" applyBorder="1"/>
    <xf numFmtId="0" fontId="0" fillId="2" borderId="7" xfId="0" applyFill="1" applyBorder="1"/>
    <xf numFmtId="43" fontId="0" fillId="2" borderId="20" xfId="1" applyFont="1" applyFill="1" applyBorder="1"/>
    <xf numFmtId="0" fontId="0" fillId="2" borderId="21" xfId="0" applyFill="1" applyBorder="1"/>
    <xf numFmtId="0" fontId="7" fillId="2" borderId="22" xfId="0" applyFont="1" applyFill="1" applyBorder="1" applyAlignment="1">
      <alignment horizontal="center" vertical="center"/>
    </xf>
    <xf numFmtId="43" fontId="7" fillId="0" borderId="13" xfId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43" fontId="7" fillId="0" borderId="14" xfId="1" applyFont="1" applyBorder="1" applyAlignment="1">
      <alignment vertical="center"/>
    </xf>
    <xf numFmtId="43" fontId="8" fillId="0" borderId="14" xfId="1" applyFont="1" applyBorder="1" applyAlignment="1">
      <alignment vertical="center"/>
    </xf>
    <xf numFmtId="0" fontId="0" fillId="0" borderId="16" xfId="0" applyBorder="1" applyAlignment="1">
      <alignment vertical="center"/>
    </xf>
    <xf numFmtId="43" fontId="8" fillId="0" borderId="17" xfId="1" applyFont="1" applyBorder="1" applyAlignment="1">
      <alignment vertical="center"/>
    </xf>
    <xf numFmtId="0" fontId="9" fillId="2" borderId="0" xfId="0" applyFont="1" applyFill="1"/>
    <xf numFmtId="43" fontId="9" fillId="2" borderId="0" xfId="0" applyNumberFormat="1" applyFont="1" applyFill="1"/>
    <xf numFmtId="0" fontId="10" fillId="0" borderId="12" xfId="0" applyFont="1" applyBorder="1" applyAlignment="1">
      <alignment horizontal="left" vertical="center" wrapText="1" indent="1"/>
    </xf>
    <xf numFmtId="0" fontId="11" fillId="0" borderId="12" xfId="0" applyFont="1" applyBorder="1"/>
    <xf numFmtId="10" fontId="12" fillId="11" borderId="12" xfId="0" applyNumberFormat="1" applyFont="1" applyFill="1" applyBorder="1" applyAlignment="1">
      <alignment horizontal="center" vertical="center"/>
    </xf>
    <xf numFmtId="10" fontId="11" fillId="0" borderId="0" xfId="28" applyNumberFormat="1" applyFont="1" applyAlignment="1">
      <alignment horizontal="center" wrapText="1"/>
    </xf>
    <xf numFmtId="10" fontId="12" fillId="11" borderId="12" xfId="0" applyNumberFormat="1" applyFont="1" applyFill="1" applyBorder="1" applyAlignment="1">
      <alignment horizontal="center" vertical="center" wrapText="1"/>
    </xf>
    <xf numFmtId="170" fontId="11" fillId="0" borderId="12" xfId="2" applyNumberFormat="1" applyFont="1" applyBorder="1"/>
    <xf numFmtId="170" fontId="11" fillId="0" borderId="12" xfId="0" applyNumberFormat="1" applyFont="1" applyBorder="1"/>
    <xf numFmtId="0" fontId="12" fillId="11" borderId="12" xfId="0" applyFont="1" applyFill="1" applyBorder="1" applyAlignment="1">
      <alignment horizontal="center" vertical="center"/>
    </xf>
    <xf numFmtId="0" fontId="11" fillId="0" borderId="0" xfId="28" applyFont="1" applyAlignment="1">
      <alignment horizontal="center" wrapText="1"/>
    </xf>
    <xf numFmtId="0" fontId="11" fillId="0" borderId="0" xfId="0" applyFont="1"/>
    <xf numFmtId="0" fontId="13" fillId="0" borderId="0" xfId="0" applyFont="1"/>
    <xf numFmtId="0" fontId="14" fillId="0" borderId="1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5" fillId="0" borderId="2" xfId="0" applyFont="1" applyBorder="1" applyAlignment="1">
      <alignment horizontal="center"/>
    </xf>
    <xf numFmtId="0" fontId="10" fillId="0" borderId="24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horizontal="left" vertical="center" wrapText="1" indent="1"/>
    </xf>
    <xf numFmtId="169" fontId="18" fillId="0" borderId="25" xfId="1" applyNumberFormat="1" applyFont="1" applyBorder="1" applyAlignment="1">
      <alignment vertical="center" wrapText="1"/>
    </xf>
    <xf numFmtId="169" fontId="19" fillId="0" borderId="25" xfId="1" applyNumberFormat="1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0" fillId="0" borderId="25" xfId="0" applyBorder="1" applyAlignment="1">
      <alignment vertical="top" wrapText="1"/>
    </xf>
    <xf numFmtId="0" fontId="10" fillId="0" borderId="12" xfId="0" applyFont="1" applyBorder="1" applyAlignment="1">
      <alignment horizontal="center" vertical="center" wrapText="1"/>
    </xf>
    <xf numFmtId="9" fontId="11" fillId="0" borderId="12" xfId="0" applyNumberFormat="1" applyFont="1" applyBorder="1"/>
    <xf numFmtId="10" fontId="11" fillId="0" borderId="12" xfId="2" applyNumberFormat="1" applyFont="1" applyBorder="1"/>
    <xf numFmtId="3" fontId="19" fillId="0" borderId="0" xfId="0" applyNumberFormat="1" applyFont="1"/>
    <xf numFmtId="0" fontId="16" fillId="0" borderId="0" xfId="0" applyFont="1" applyAlignment="1">
      <alignment vertical="center" wrapText="1"/>
    </xf>
    <xf numFmtId="16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3" fontId="11" fillId="0" borderId="12" xfId="1" applyFont="1" applyBorder="1"/>
    <xf numFmtId="10" fontId="11" fillId="0" borderId="12" xfId="0" applyNumberFormat="1" applyFont="1" applyBorder="1"/>
    <xf numFmtId="169" fontId="0" fillId="0" borderId="0" xfId="0" applyNumberFormat="1"/>
    <xf numFmtId="3" fontId="20" fillId="0" borderId="0" xfId="0" applyNumberFormat="1" applyFont="1"/>
    <xf numFmtId="0" fontId="19" fillId="0" borderId="0" xfId="0" applyFont="1"/>
    <xf numFmtId="169" fontId="19" fillId="0" borderId="0" xfId="0" applyNumberFormat="1" applyFont="1"/>
    <xf numFmtId="171" fontId="0" fillId="0" borderId="0" xfId="2" applyNumberFormat="1" applyFont="1"/>
    <xf numFmtId="0" fontId="18" fillId="0" borderId="25" xfId="0" applyFont="1" applyBorder="1" applyAlignment="1">
      <alignment vertical="center" wrapText="1"/>
    </xf>
    <xf numFmtId="0" fontId="21" fillId="0" borderId="0" xfId="20" applyFont="1" applyAlignment="1">
      <alignment horizontal="center"/>
    </xf>
    <xf numFmtId="0" fontId="22" fillId="0" borderId="0" xfId="20" applyFont="1"/>
    <xf numFmtId="0" fontId="23" fillId="0" borderId="0" xfId="20" applyFont="1"/>
    <xf numFmtId="0" fontId="97" fillId="0" borderId="0" xfId="20"/>
    <xf numFmtId="0" fontId="24" fillId="0" borderId="0" xfId="20" applyFont="1"/>
    <xf numFmtId="0" fontId="97" fillId="0" borderId="0" xfId="20" applyAlignment="1">
      <alignment horizontal="center" vertical="center"/>
    </xf>
    <xf numFmtId="172" fontId="97" fillId="0" borderId="0" xfId="20" applyNumberFormat="1" applyAlignment="1">
      <alignment horizontal="center" vertical="center"/>
    </xf>
    <xf numFmtId="3" fontId="97" fillId="0" borderId="0" xfId="20" applyNumberFormat="1" applyAlignment="1">
      <alignment horizontal="center" vertical="center"/>
    </xf>
    <xf numFmtId="0" fontId="25" fillId="12" borderId="0" xfId="20" applyFont="1" applyFill="1" applyAlignment="1">
      <alignment horizontal="center" vertical="center" wrapText="1"/>
    </xf>
    <xf numFmtId="0" fontId="26" fillId="0" borderId="0" xfId="20" applyFont="1"/>
    <xf numFmtId="0" fontId="27" fillId="0" borderId="12" xfId="20" applyFont="1" applyBorder="1" applyAlignment="1">
      <alignment horizontal="center" vertical="center" wrapText="1"/>
    </xf>
    <xf numFmtId="0" fontId="28" fillId="0" borderId="12" xfId="20" applyFont="1" applyBorder="1" applyAlignment="1">
      <alignment horizontal="center" vertical="center" wrapText="1"/>
    </xf>
    <xf numFmtId="172" fontId="29" fillId="0" borderId="12" xfId="20" applyNumberFormat="1" applyFont="1" applyBorder="1" applyAlignment="1">
      <alignment horizontal="center" vertical="center" wrapText="1"/>
    </xf>
    <xf numFmtId="0" fontId="21" fillId="0" borderId="12" xfId="20" applyFont="1" applyBorder="1" applyAlignment="1">
      <alignment horizontal="center"/>
    </xf>
    <xf numFmtId="0" fontId="21" fillId="0" borderId="12" xfId="20" applyFont="1" applyBorder="1" applyAlignment="1">
      <alignment horizontal="center" vertical="center" wrapText="1"/>
    </xf>
    <xf numFmtId="3" fontId="21" fillId="0" borderId="12" xfId="20" applyNumberFormat="1" applyFont="1" applyBorder="1" applyAlignment="1">
      <alignment horizontal="center" vertical="center" wrapText="1"/>
    </xf>
    <xf numFmtId="0" fontId="30" fillId="0" borderId="12" xfId="20" applyFont="1" applyBorder="1" applyAlignment="1">
      <alignment vertical="center" wrapText="1"/>
    </xf>
    <xf numFmtId="0" fontId="32" fillId="0" borderId="12" xfId="20" applyFont="1" applyBorder="1" applyAlignment="1">
      <alignment horizontal="left" wrapText="1"/>
    </xf>
    <xf numFmtId="43" fontId="33" fillId="0" borderId="12" xfId="1" applyFont="1" applyBorder="1" applyAlignment="1">
      <alignment horizontal="center" vertical="center" wrapText="1"/>
    </xf>
    <xf numFmtId="43" fontId="32" fillId="0" borderId="12" xfId="1" applyFont="1" applyBorder="1" applyAlignment="1">
      <alignment horizontal="center" vertical="center" wrapText="1"/>
    </xf>
    <xf numFmtId="0" fontId="32" fillId="0" borderId="12" xfId="20" applyFont="1" applyBorder="1" applyAlignment="1">
      <alignment vertical="center" wrapText="1"/>
    </xf>
    <xf numFmtId="0" fontId="33" fillId="0" borderId="12" xfId="20" applyFont="1" applyBorder="1" applyAlignment="1">
      <alignment horizontal="left" vertical="center" wrapText="1"/>
    </xf>
    <xf numFmtId="0" fontId="34" fillId="12" borderId="12" xfId="20" applyFont="1" applyFill="1" applyBorder="1" applyAlignment="1">
      <alignment horizontal="left" vertical="center" wrapText="1"/>
    </xf>
    <xf numFmtId="43" fontId="34" fillId="12" borderId="12" xfId="1" applyFont="1" applyFill="1" applyBorder="1" applyAlignment="1">
      <alignment horizontal="center" vertical="center" wrapText="1"/>
    </xf>
    <xf numFmtId="0" fontId="30" fillId="0" borderId="12" xfId="20" applyFont="1" applyBorder="1" applyAlignment="1">
      <alignment horizontal="left" vertical="center" wrapText="1"/>
    </xf>
    <xf numFmtId="16" fontId="32" fillId="0" borderId="12" xfId="20" applyNumberFormat="1" applyFont="1" applyBorder="1" applyAlignment="1">
      <alignment horizontal="left" vertical="center" wrapText="1"/>
    </xf>
    <xf numFmtId="16" fontId="35" fillId="0" borderId="12" xfId="20" applyNumberFormat="1" applyFont="1" applyBorder="1" applyAlignment="1">
      <alignment horizontal="left" vertical="center" wrapText="1"/>
    </xf>
    <xf numFmtId="0" fontId="32" fillId="0" borderId="12" xfId="20" applyFont="1" applyBorder="1" applyAlignment="1">
      <alignment horizontal="left" vertical="center"/>
    </xf>
    <xf numFmtId="0" fontId="32" fillId="0" borderId="12" xfId="20" applyFont="1" applyBorder="1" applyAlignment="1">
      <alignment horizontal="left" vertical="center" wrapText="1"/>
    </xf>
    <xf numFmtId="0" fontId="31" fillId="0" borderId="12" xfId="20" applyFont="1" applyBorder="1" applyAlignment="1">
      <alignment horizontal="left" vertical="center" wrapText="1"/>
    </xf>
    <xf numFmtId="16" fontId="36" fillId="0" borderId="12" xfId="20" applyNumberFormat="1" applyFont="1" applyBorder="1" applyAlignment="1">
      <alignment horizontal="left" vertical="center" wrapText="1"/>
    </xf>
    <xf numFmtId="0" fontId="37" fillId="0" borderId="12" xfId="20" applyFont="1" applyBorder="1" applyAlignment="1">
      <alignment horizontal="left" vertical="center" wrapText="1"/>
    </xf>
    <xf numFmtId="16" fontId="31" fillId="0" borderId="12" xfId="20" applyNumberFormat="1" applyFont="1" applyBorder="1" applyAlignment="1">
      <alignment horizontal="left" vertical="center" wrapText="1"/>
    </xf>
    <xf numFmtId="43" fontId="31" fillId="0" borderId="12" xfId="1" applyFont="1" applyBorder="1" applyAlignment="1">
      <alignment horizontal="center" vertical="center"/>
    </xf>
    <xf numFmtId="43" fontId="29" fillId="0" borderId="12" xfId="1" applyFont="1" applyBorder="1" applyAlignment="1">
      <alignment horizontal="center" vertical="center"/>
    </xf>
    <xf numFmtId="0" fontId="38" fillId="13" borderId="0" xfId="20" applyFont="1" applyFill="1" applyAlignment="1">
      <alignment horizontal="center"/>
    </xf>
    <xf numFmtId="0" fontId="39" fillId="0" borderId="0" xfId="20" applyFont="1"/>
    <xf numFmtId="0" fontId="39" fillId="0" borderId="0" xfId="20" applyFont="1" applyAlignment="1">
      <alignment horizontal="center" vertical="center"/>
    </xf>
    <xf numFmtId="172" fontId="39" fillId="0" borderId="0" xfId="20" applyNumberFormat="1" applyFont="1" applyAlignment="1">
      <alignment horizontal="center" vertical="center"/>
    </xf>
    <xf numFmtId="172" fontId="40" fillId="0" borderId="0" xfId="20" applyNumberFormat="1" applyFont="1" applyAlignment="1">
      <alignment horizontal="center" vertical="center"/>
    </xf>
    <xf numFmtId="173" fontId="39" fillId="0" borderId="0" xfId="20" applyNumberFormat="1" applyFont="1" applyAlignment="1">
      <alignment horizontal="center" vertical="center"/>
    </xf>
    <xf numFmtId="174" fontId="9" fillId="0" borderId="0" xfId="20" applyNumberFormat="1" applyFont="1" applyAlignment="1">
      <alignment horizontal="center" vertical="center"/>
    </xf>
    <xf numFmtId="3" fontId="9" fillId="0" borderId="0" xfId="20" applyNumberFormat="1" applyFont="1" applyAlignment="1">
      <alignment horizontal="center" vertical="center"/>
    </xf>
    <xf numFmtId="172" fontId="9" fillId="0" borderId="0" xfId="20" applyNumberFormat="1" applyFont="1" applyAlignment="1">
      <alignment horizontal="center" vertical="center"/>
    </xf>
    <xf numFmtId="0" fontId="42" fillId="0" borderId="0" xfId="20" applyFont="1"/>
    <xf numFmtId="175" fontId="0" fillId="0" borderId="0" xfId="6" applyNumberFormat="1" applyFont="1" applyAlignment="1">
      <alignment vertical="center"/>
    </xf>
    <xf numFmtId="0" fontId="1" fillId="0" borderId="0" xfId="20" applyFont="1"/>
    <xf numFmtId="0" fontId="43" fillId="0" borderId="0" xfId="20" applyFont="1"/>
    <xf numFmtId="0" fontId="1" fillId="0" borderId="0" xfId="20" applyFont="1" applyAlignment="1">
      <alignment horizontal="center" vertical="center"/>
    </xf>
    <xf numFmtId="3" fontId="1" fillId="0" borderId="0" xfId="20" applyNumberFormat="1" applyFont="1" applyAlignment="1">
      <alignment horizontal="center" vertical="center"/>
    </xf>
    <xf numFmtId="172" fontId="1" fillId="0" borderId="0" xfId="20" applyNumberFormat="1" applyFont="1" applyAlignment="1">
      <alignment horizontal="center" vertical="center"/>
    </xf>
    <xf numFmtId="0" fontId="44" fillId="0" borderId="12" xfId="20" applyFont="1" applyBorder="1"/>
    <xf numFmtId="172" fontId="1" fillId="0" borderId="0" xfId="20" applyNumberFormat="1" applyFont="1"/>
    <xf numFmtId="172" fontId="9" fillId="0" borderId="0" xfId="20" applyNumberFormat="1" applyFont="1"/>
    <xf numFmtId="43" fontId="32" fillId="13" borderId="12" xfId="1" applyFont="1" applyFill="1" applyBorder="1" applyAlignment="1">
      <alignment horizontal="center" vertical="center"/>
    </xf>
    <xf numFmtId="43" fontId="31" fillId="14" borderId="12" xfId="1" applyFont="1" applyFill="1" applyBorder="1" applyAlignment="1">
      <alignment horizontal="center" vertical="center"/>
    </xf>
    <xf numFmtId="43" fontId="45" fillId="13" borderId="12" xfId="1" applyFont="1" applyFill="1" applyBorder="1" applyAlignment="1">
      <alignment horizontal="center" vertical="center"/>
    </xf>
    <xf numFmtId="43" fontId="31" fillId="0" borderId="0" xfId="1" applyFont="1" applyBorder="1" applyAlignment="1">
      <alignment horizontal="center" vertical="center"/>
    </xf>
    <xf numFmtId="43" fontId="29" fillId="0" borderId="0" xfId="1" applyFont="1" applyBorder="1" applyAlignment="1">
      <alignment horizontal="center" vertical="center"/>
    </xf>
    <xf numFmtId="0" fontId="38" fillId="13" borderId="0" xfId="20" applyFont="1" applyFill="1"/>
    <xf numFmtId="3" fontId="23" fillId="0" borderId="0" xfId="20" applyNumberFormat="1" applyFont="1" applyAlignment="1">
      <alignment horizontal="center" vertical="center"/>
    </xf>
    <xf numFmtId="9" fontId="0" fillId="0" borderId="0" xfId="4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3" fillId="0" borderId="0" xfId="20" applyNumberFormat="1" applyFont="1" applyAlignment="1">
      <alignment horizontal="center" vertical="center"/>
    </xf>
    <xf numFmtId="0" fontId="3" fillId="2" borderId="0" xfId="19" applyFont="1" applyFill="1" applyAlignment="1">
      <alignment horizontal="center" vertical="center"/>
    </xf>
    <xf numFmtId="171" fontId="26" fillId="0" borderId="0" xfId="2" applyNumberFormat="1" applyFont="1"/>
    <xf numFmtId="0" fontId="3" fillId="0" borderId="0" xfId="20" applyFont="1" applyAlignment="1">
      <alignment vertical="center"/>
    </xf>
    <xf numFmtId="0" fontId="3" fillId="0" borderId="12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/>
    </xf>
    <xf numFmtId="0" fontId="36" fillId="0" borderId="12" xfId="20" applyFont="1" applyBorder="1" applyAlignment="1">
      <alignment horizontal="center" vertical="center"/>
    </xf>
    <xf numFmtId="3" fontId="22" fillId="0" borderId="0" xfId="20" applyNumberFormat="1" applyFont="1"/>
    <xf numFmtId="0" fontId="22" fillId="0" borderId="12" xfId="20" applyFont="1" applyBorder="1"/>
    <xf numFmtId="43" fontId="22" fillId="0" borderId="12" xfId="1" applyFont="1" applyBorder="1"/>
    <xf numFmtId="0" fontId="36" fillId="12" borderId="12" xfId="20" applyFont="1" applyFill="1" applyBorder="1"/>
    <xf numFmtId="3" fontId="36" fillId="0" borderId="12" xfId="20" applyNumberFormat="1" applyFont="1" applyBorder="1" applyAlignment="1">
      <alignment horizontal="center" vertical="center"/>
    </xf>
    <xf numFmtId="0" fontId="22" fillId="0" borderId="0" xfId="20" applyFont="1" applyAlignment="1">
      <alignment horizontal="center" vertical="center"/>
    </xf>
    <xf numFmtId="0" fontId="36" fillId="12" borderId="12" xfId="20" applyFont="1" applyFill="1" applyBorder="1" applyAlignment="1">
      <alignment horizontal="center" vertical="center"/>
    </xf>
    <xf numFmtId="0" fontId="46" fillId="0" borderId="12" xfId="20" applyFont="1" applyBorder="1" applyAlignment="1">
      <alignment horizontal="center" vertical="center"/>
    </xf>
    <xf numFmtId="0" fontId="36" fillId="13" borderId="12" xfId="20" applyFont="1" applyFill="1" applyBorder="1" applyAlignment="1">
      <alignment horizontal="center" vertical="center"/>
    </xf>
    <xf numFmtId="172" fontId="22" fillId="0" borderId="0" xfId="20" applyNumberFormat="1" applyFont="1"/>
    <xf numFmtId="10" fontId="22" fillId="0" borderId="0" xfId="40" applyNumberFormat="1" applyFont="1"/>
    <xf numFmtId="10" fontId="22" fillId="0" borderId="0" xfId="20" applyNumberFormat="1" applyFont="1"/>
    <xf numFmtId="43" fontId="97" fillId="0" borderId="0" xfId="20" applyNumberFormat="1"/>
    <xf numFmtId="43" fontId="26" fillId="0" borderId="12" xfId="1" applyFont="1" applyBorder="1" applyAlignment="1">
      <alignment horizontal="center" vertical="center"/>
    </xf>
    <xf numFmtId="0" fontId="1" fillId="0" borderId="12" xfId="20" applyFont="1" applyBorder="1"/>
    <xf numFmtId="176" fontId="1" fillId="0" borderId="0" xfId="20" applyNumberFormat="1" applyFont="1" applyAlignment="1">
      <alignment horizontal="left"/>
    </xf>
    <xf numFmtId="172" fontId="1" fillId="0" borderId="0" xfId="20" applyNumberFormat="1" applyFont="1" applyAlignment="1">
      <alignment horizontal="left"/>
    </xf>
    <xf numFmtId="172" fontId="9" fillId="0" borderId="0" xfId="20" applyNumberFormat="1" applyFont="1" applyAlignment="1">
      <alignment horizontal="right"/>
    </xf>
    <xf numFmtId="4" fontId="1" fillId="0" borderId="0" xfId="20" applyNumberFormat="1" applyFont="1"/>
    <xf numFmtId="43" fontId="0" fillId="0" borderId="0" xfId="1" applyFont="1" applyAlignment="1">
      <alignment horizontal="center" vertical="center"/>
    </xf>
    <xf numFmtId="0" fontId="4" fillId="15" borderId="12" xfId="0" applyFont="1" applyFill="1" applyBorder="1"/>
    <xf numFmtId="0" fontId="0" fillId="15" borderId="12" xfId="0" applyFill="1" applyBorder="1"/>
    <xf numFmtId="43" fontId="0" fillId="15" borderId="12" xfId="1" applyFont="1" applyFill="1" applyBorder="1" applyAlignment="1">
      <alignment horizontal="center" vertical="center"/>
    </xf>
    <xf numFmtId="0" fontId="0" fillId="15" borderId="12" xfId="0" applyFill="1" applyBorder="1" applyAlignment="1">
      <alignment wrapText="1"/>
    </xf>
    <xf numFmtId="3" fontId="0" fillId="15" borderId="12" xfId="0" applyNumberFormat="1" applyFill="1" applyBorder="1" applyAlignment="1">
      <alignment horizontal="center" vertical="center"/>
    </xf>
    <xf numFmtId="0" fontId="0" fillId="15" borderId="12" xfId="0" applyFill="1" applyBorder="1" applyAlignment="1">
      <alignment vertical="center"/>
    </xf>
    <xf numFmtId="3" fontId="97" fillId="0" borderId="0" xfId="20" applyNumberFormat="1"/>
    <xf numFmtId="3" fontId="0" fillId="15" borderId="12" xfId="0" applyNumberFormat="1" applyFill="1" applyBorder="1" applyAlignment="1">
      <alignment horizontal="center"/>
    </xf>
    <xf numFmtId="0" fontId="0" fillId="15" borderId="12" xfId="0" applyFill="1" applyBorder="1" applyAlignment="1">
      <alignment horizontal="center"/>
    </xf>
    <xf numFmtId="9" fontId="0" fillId="15" borderId="12" xfId="0" applyNumberFormat="1" applyFill="1" applyBorder="1" applyAlignment="1">
      <alignment horizontal="center"/>
    </xf>
    <xf numFmtId="43" fontId="0" fillId="0" borderId="0" xfId="1" applyFont="1"/>
    <xf numFmtId="0" fontId="97" fillId="0" borderId="22" xfId="20" applyBorder="1"/>
    <xf numFmtId="0" fontId="97" fillId="0" borderId="31" xfId="20" applyBorder="1"/>
    <xf numFmtId="0" fontId="97" fillId="0" borderId="33" xfId="20" applyBorder="1"/>
    <xf numFmtId="0" fontId="0" fillId="0" borderId="0" xfId="0" applyAlignment="1">
      <alignment horizontal="center"/>
    </xf>
    <xf numFmtId="43" fontId="0" fillId="0" borderId="0" xfId="0" applyNumberFormat="1"/>
    <xf numFmtId="43" fontId="3" fillId="0" borderId="0" xfId="0" applyNumberFormat="1" applyFont="1"/>
    <xf numFmtId="0" fontId="0" fillId="0" borderId="0" xfId="0" applyAlignment="1">
      <alignment wrapText="1"/>
    </xf>
    <xf numFmtId="169" fontId="3" fillId="0" borderId="0" xfId="0" applyNumberFormat="1" applyFont="1"/>
    <xf numFmtId="10" fontId="0" fillId="0" borderId="0" xfId="2" applyNumberFormat="1" applyFont="1"/>
    <xf numFmtId="3" fontId="97" fillId="0" borderId="0" xfId="30" applyNumberFormat="1" applyAlignment="1">
      <alignment vertical="center"/>
    </xf>
    <xf numFmtId="3" fontId="47" fillId="0" borderId="0" xfId="30" applyNumberFormat="1" applyFont="1" applyAlignment="1">
      <alignment vertical="center"/>
    </xf>
    <xf numFmtId="0" fontId="3" fillId="0" borderId="0" xfId="30" applyFont="1"/>
    <xf numFmtId="0" fontId="97" fillId="0" borderId="0" xfId="30" applyAlignment="1">
      <alignment horizontal="center"/>
    </xf>
    <xf numFmtId="0" fontId="97" fillId="0" borderId="0" xfId="30"/>
    <xf numFmtId="3" fontId="48" fillId="0" borderId="0" xfId="30" applyNumberFormat="1" applyFont="1" applyAlignment="1">
      <alignment vertical="center" wrapText="1"/>
    </xf>
    <xf numFmtId="3" fontId="48" fillId="0" borderId="20" xfId="30" applyNumberFormat="1" applyFont="1" applyBorder="1" applyAlignment="1">
      <alignment vertical="center" wrapText="1"/>
    </xf>
    <xf numFmtId="3" fontId="3" fillId="0" borderId="38" xfId="37" applyNumberFormat="1" applyFont="1" applyBorder="1" applyAlignment="1">
      <alignment horizontal="left" vertical="center" wrapText="1"/>
    </xf>
    <xf numFmtId="3" fontId="3" fillId="0" borderId="39" xfId="37" applyNumberFormat="1" applyFont="1" applyBorder="1" applyAlignment="1">
      <alignment horizontal="left" vertical="center" wrapText="1"/>
    </xf>
    <xf numFmtId="3" fontId="3" fillId="0" borderId="39" xfId="37" applyNumberFormat="1" applyFont="1" applyBorder="1" applyAlignment="1">
      <alignment horizontal="center" vertical="center" wrapText="1"/>
    </xf>
    <xf numFmtId="0" fontId="97" fillId="0" borderId="9" xfId="22" applyBorder="1" applyAlignment="1">
      <alignment horizontal="center" vertical="top" wrapText="1"/>
    </xf>
    <xf numFmtId="0" fontId="97" fillId="0" borderId="39" xfId="22" applyBorder="1" applyAlignment="1">
      <alignment horizontal="center" vertical="top" wrapText="1"/>
    </xf>
    <xf numFmtId="0" fontId="3" fillId="0" borderId="44" xfId="30" applyFont="1" applyBorder="1" applyAlignment="1">
      <alignment horizontal="center" vertical="top" wrapText="1"/>
    </xf>
    <xf numFmtId="0" fontId="97" fillId="0" borderId="16" xfId="30" applyBorder="1" applyAlignment="1">
      <alignment horizontal="center" vertical="top" wrapText="1"/>
    </xf>
    <xf numFmtId="0" fontId="3" fillId="0" borderId="45" xfId="30" applyFont="1" applyBorder="1" applyAlignment="1">
      <alignment horizontal="center" vertical="top" wrapText="1"/>
    </xf>
    <xf numFmtId="0" fontId="3" fillId="0" borderId="46" xfId="30" applyFont="1" applyBorder="1" applyAlignment="1">
      <alignment horizontal="center" vertical="top" wrapText="1"/>
    </xf>
    <xf numFmtId="49" fontId="3" fillId="0" borderId="47" xfId="30" applyNumberFormat="1" applyFont="1" applyBorder="1" applyAlignment="1">
      <alignment horizontal="center" vertical="center" wrapText="1"/>
    </xf>
    <xf numFmtId="0" fontId="3" fillId="0" borderId="48" xfId="30" applyFont="1" applyBorder="1" applyAlignment="1">
      <alignment horizontal="left" vertical="top" wrapText="1"/>
    </xf>
    <xf numFmtId="3" fontId="97" fillId="0" borderId="33" xfId="30" applyNumberFormat="1" applyBorder="1" applyAlignment="1">
      <alignment horizontal="right" vertical="top" wrapText="1"/>
    </xf>
    <xf numFmtId="49" fontId="3" fillId="0" borderId="10" xfId="30" applyNumberFormat="1" applyFont="1" applyBorder="1" applyAlignment="1">
      <alignment horizontal="center" vertical="center" wrapText="1"/>
    </xf>
    <xf numFmtId="0" fontId="3" fillId="0" borderId="36" xfId="30" applyFont="1" applyBorder="1" applyAlignment="1">
      <alignment horizontal="left" vertical="top" wrapText="1"/>
    </xf>
    <xf numFmtId="3" fontId="97" fillId="0" borderId="12" xfId="30" applyNumberFormat="1" applyBorder="1" applyAlignment="1">
      <alignment horizontal="right" vertical="top" wrapText="1"/>
    </xf>
    <xf numFmtId="0" fontId="3" fillId="0" borderId="12" xfId="30" applyFont="1" applyBorder="1" applyAlignment="1">
      <alignment horizontal="left" vertical="top" wrapText="1"/>
    </xf>
    <xf numFmtId="3" fontId="97" fillId="0" borderId="12" xfId="30" applyNumberFormat="1" applyBorder="1" applyAlignment="1">
      <alignment horizontal="right" vertical="center" wrapText="1"/>
    </xf>
    <xf numFmtId="49" fontId="3" fillId="0" borderId="49" xfId="30" applyNumberFormat="1" applyFont="1" applyBorder="1" applyAlignment="1">
      <alignment horizontal="center" vertical="center" wrapText="1"/>
    </xf>
    <xf numFmtId="0" fontId="3" fillId="0" borderId="22" xfId="30" applyFont="1" applyBorder="1" applyAlignment="1">
      <alignment horizontal="left" vertical="top" wrapText="1"/>
    </xf>
    <xf numFmtId="0" fontId="3" fillId="0" borderId="31" xfId="30" applyFont="1" applyBorder="1" applyAlignment="1">
      <alignment horizontal="left" vertical="top" wrapText="1"/>
    </xf>
    <xf numFmtId="3" fontId="97" fillId="0" borderId="31" xfId="30" applyNumberFormat="1" applyBorder="1" applyAlignment="1">
      <alignment horizontal="right" vertical="top" wrapText="1"/>
    </xf>
    <xf numFmtId="49" fontId="3" fillId="0" borderId="46" xfId="30" applyNumberFormat="1" applyFont="1" applyBorder="1" applyAlignment="1">
      <alignment horizontal="right" vertical="top" wrapText="1"/>
    </xf>
    <xf numFmtId="3" fontId="3" fillId="0" borderId="46" xfId="30" applyNumberFormat="1" applyFont="1" applyBorder="1" applyAlignment="1">
      <alignment horizontal="right" vertical="top" wrapText="1"/>
    </xf>
    <xf numFmtId="3" fontId="3" fillId="0" borderId="46" xfId="30" applyNumberFormat="1" applyFont="1" applyBorder="1" applyAlignment="1">
      <alignment horizontal="right" vertical="center" wrapText="1"/>
    </xf>
    <xf numFmtId="49" fontId="3" fillId="0" borderId="47" xfId="30" applyNumberFormat="1" applyFont="1" applyBorder="1" applyAlignment="1">
      <alignment horizontal="center" vertical="top" wrapText="1"/>
    </xf>
    <xf numFmtId="0" fontId="3" fillId="0" borderId="33" xfId="30" applyFont="1" applyBorder="1" applyAlignment="1">
      <alignment horizontal="left" vertical="top" wrapText="1"/>
    </xf>
    <xf numFmtId="0" fontId="97" fillId="0" borderId="33" xfId="30" applyBorder="1"/>
    <xf numFmtId="49" fontId="3" fillId="0" borderId="4" xfId="30" applyNumberFormat="1" applyFont="1" applyBorder="1" applyAlignment="1">
      <alignment horizontal="right" vertical="top" wrapText="1"/>
    </xf>
    <xf numFmtId="0" fontId="3" fillId="0" borderId="4" xfId="30" applyFont="1" applyBorder="1" applyAlignment="1">
      <alignment horizontal="right" vertical="top" wrapText="1"/>
    </xf>
    <xf numFmtId="49" fontId="51" fillId="0" borderId="8" xfId="30" applyNumberFormat="1" applyFont="1" applyBorder="1"/>
    <xf numFmtId="49" fontId="97" fillId="0" borderId="10" xfId="30" applyNumberFormat="1" applyBorder="1" applyAlignment="1">
      <alignment horizontal="center" vertical="top" wrapText="1"/>
    </xf>
    <xf numFmtId="3" fontId="97" fillId="16" borderId="12" xfId="22" applyNumberFormat="1" applyFill="1" applyBorder="1" applyAlignment="1">
      <alignment vertical="top" wrapText="1"/>
    </xf>
    <xf numFmtId="3" fontId="97" fillId="16" borderId="12" xfId="24" applyNumberFormat="1" applyFill="1" applyBorder="1" applyAlignment="1">
      <alignment horizontal="center" vertical="center" wrapText="1"/>
    </xf>
    <xf numFmtId="3" fontId="97" fillId="16" borderId="12" xfId="22" applyNumberFormat="1" applyFill="1" applyBorder="1" applyAlignment="1">
      <alignment horizontal="center" vertical="top" wrapText="1"/>
    </xf>
    <xf numFmtId="43" fontId="0" fillId="0" borderId="12" xfId="1" applyFont="1" applyBorder="1" applyAlignment="1">
      <alignment vertical="center" wrapText="1"/>
    </xf>
    <xf numFmtId="43" fontId="0" fillId="0" borderId="12" xfId="1" applyFont="1" applyBorder="1" applyAlignment="1">
      <alignment horizontal="right" vertical="center" wrapText="1"/>
    </xf>
    <xf numFmtId="43" fontId="0" fillId="0" borderId="12" xfId="1" applyFont="1" applyBorder="1" applyAlignment="1">
      <alignment horizontal="right" vertical="center"/>
    </xf>
    <xf numFmtId="3" fontId="97" fillId="16" borderId="12" xfId="22" applyNumberFormat="1" applyFill="1" applyBorder="1" applyAlignment="1">
      <alignment horizontal="center" vertical="center" wrapText="1"/>
    </xf>
    <xf numFmtId="3" fontId="97" fillId="0" borderId="12" xfId="30" applyNumberFormat="1" applyBorder="1" applyAlignment="1">
      <alignment vertical="top" wrapText="1"/>
    </xf>
    <xf numFmtId="3" fontId="97" fillId="0" borderId="12" xfId="30" applyNumberFormat="1" applyBorder="1" applyAlignment="1">
      <alignment horizontal="center" vertical="center" wrapText="1"/>
    </xf>
    <xf numFmtId="49" fontId="97" fillId="0" borderId="49" xfId="30" applyNumberFormat="1" applyBorder="1" applyAlignment="1">
      <alignment horizontal="center" vertical="top" wrapText="1"/>
    </xf>
    <xf numFmtId="3" fontId="97" fillId="16" borderId="12" xfId="30" applyNumberFormat="1" applyFill="1" applyBorder="1" applyAlignment="1">
      <alignment vertical="center" wrapText="1"/>
    </xf>
    <xf numFmtId="3" fontId="97" fillId="17" borderId="22" xfId="30" applyNumberFormat="1" applyFill="1" applyBorder="1" applyAlignment="1">
      <alignment vertical="center" wrapText="1"/>
    </xf>
    <xf numFmtId="3" fontId="97" fillId="17" borderId="22" xfId="22" applyNumberFormat="1" applyFill="1" applyBorder="1" applyAlignment="1">
      <alignment horizontal="center" vertical="center" wrapText="1"/>
    </xf>
    <xf numFmtId="3" fontId="97" fillId="17" borderId="12" xfId="22" applyNumberFormat="1" applyFill="1" applyBorder="1" applyAlignment="1">
      <alignment horizontal="center" vertical="center" wrapText="1"/>
    </xf>
    <xf numFmtId="49" fontId="97" fillId="0" borderId="15" xfId="30" applyNumberFormat="1" applyBorder="1" applyAlignment="1">
      <alignment horizontal="center" vertical="top" wrapText="1"/>
    </xf>
    <xf numFmtId="3" fontId="97" fillId="16" borderId="22" xfId="30" applyNumberFormat="1" applyFill="1" applyBorder="1" applyAlignment="1">
      <alignment vertical="center" wrapText="1"/>
    </xf>
    <xf numFmtId="3" fontId="97" fillId="16" borderId="16" xfId="30" applyNumberFormat="1" applyFill="1" applyBorder="1" applyAlignment="1">
      <alignment horizontal="center" vertical="center" wrapText="1"/>
    </xf>
    <xf numFmtId="3" fontId="97" fillId="16" borderId="16" xfId="30" applyNumberFormat="1" applyFill="1" applyBorder="1" applyAlignment="1" applyProtection="1">
      <alignment horizontal="center" vertical="center"/>
      <protection locked="0"/>
    </xf>
    <xf numFmtId="0" fontId="51" fillId="0" borderId="50" xfId="30" applyFont="1" applyBorder="1" applyAlignment="1">
      <alignment horizontal="right" vertical="top" wrapText="1"/>
    </xf>
    <xf numFmtId="43" fontId="3" fillId="0" borderId="46" xfId="1" applyFont="1" applyBorder="1" applyAlignment="1">
      <alignment horizontal="right" vertical="center"/>
    </xf>
    <xf numFmtId="43" fontId="3" fillId="0" borderId="46" xfId="1" applyFont="1" applyBorder="1" applyAlignment="1">
      <alignment horizontal="right" vertical="center" wrapText="1"/>
    </xf>
    <xf numFmtId="0" fontId="97" fillId="0" borderId="8" xfId="30" applyBorder="1" applyAlignment="1">
      <alignment horizontal="center" vertical="center"/>
    </xf>
    <xf numFmtId="3" fontId="97" fillId="0" borderId="41" xfId="30" applyNumberFormat="1" applyBorder="1" applyAlignment="1">
      <alignment vertical="center"/>
    </xf>
    <xf numFmtId="0" fontId="97" fillId="0" borderId="9" xfId="30" applyBorder="1" applyAlignment="1">
      <alignment horizontal="center" vertical="center" wrapText="1"/>
    </xf>
    <xf numFmtId="3" fontId="97" fillId="0" borderId="9" xfId="30" applyNumberFormat="1" applyBorder="1" applyAlignment="1">
      <alignment horizontal="center" vertical="center" wrapText="1"/>
    </xf>
    <xf numFmtId="3" fontId="97" fillId="0" borderId="9" xfId="30" applyNumberFormat="1" applyBorder="1" applyAlignment="1">
      <alignment vertical="center" wrapText="1"/>
    </xf>
    <xf numFmtId="3" fontId="97" fillId="0" borderId="9" xfId="30" applyNumberFormat="1" applyBorder="1" applyAlignment="1">
      <alignment horizontal="right" vertical="center" wrapText="1"/>
    </xf>
    <xf numFmtId="3" fontId="97" fillId="0" borderId="9" xfId="30" applyNumberFormat="1" applyBorder="1" applyAlignment="1">
      <alignment horizontal="right" vertical="center"/>
    </xf>
    <xf numFmtId="0" fontId="97" fillId="0" borderId="43" xfId="30" applyBorder="1" applyAlignment="1">
      <alignment horizontal="center" vertical="center"/>
    </xf>
    <xf numFmtId="3" fontId="97" fillId="0" borderId="51" xfId="30" applyNumberFormat="1" applyBorder="1" applyAlignment="1">
      <alignment vertical="center"/>
    </xf>
    <xf numFmtId="0" fontId="97" fillId="0" borderId="16" xfId="30" applyBorder="1" applyAlignment="1">
      <alignment horizontal="center" vertical="center" wrapText="1"/>
    </xf>
    <xf numFmtId="3" fontId="97" fillId="0" borderId="16" xfId="30" applyNumberFormat="1" applyBorder="1" applyAlignment="1">
      <alignment horizontal="center" vertical="center" wrapText="1"/>
    </xf>
    <xf numFmtId="3" fontId="97" fillId="0" borderId="16" xfId="30" applyNumberFormat="1" applyBorder="1" applyAlignment="1">
      <alignment vertical="center" wrapText="1"/>
    </xf>
    <xf numFmtId="3" fontId="97" fillId="0" borderId="16" xfId="30" applyNumberFormat="1" applyBorder="1" applyAlignment="1">
      <alignment horizontal="right" vertical="center" wrapText="1"/>
    </xf>
    <xf numFmtId="3" fontId="97" fillId="0" borderId="16" xfId="30" applyNumberFormat="1" applyBorder="1" applyAlignment="1">
      <alignment horizontal="right" vertical="center"/>
    </xf>
    <xf numFmtId="0" fontId="51" fillId="0" borderId="44" xfId="30" applyFont="1" applyBorder="1" applyAlignment="1">
      <alignment horizontal="right" vertical="top" wrapText="1"/>
    </xf>
    <xf numFmtId="3" fontId="3" fillId="0" borderId="52" xfId="30" applyNumberFormat="1" applyFont="1" applyBorder="1" applyAlignment="1">
      <alignment horizontal="right" vertical="center"/>
    </xf>
    <xf numFmtId="3" fontId="97" fillId="0" borderId="33" xfId="30" applyNumberFormat="1" applyBorder="1" applyAlignment="1">
      <alignment horizontal="right" vertical="center" wrapText="1"/>
    </xf>
    <xf numFmtId="3" fontId="3" fillId="0" borderId="46" xfId="30" applyNumberFormat="1" applyFont="1" applyBorder="1" applyAlignment="1">
      <alignment horizontal="right" vertical="center"/>
    </xf>
    <xf numFmtId="0" fontId="97" fillId="0" borderId="8" xfId="30" applyBorder="1" applyAlignment="1">
      <alignment horizontal="center" vertical="center" wrapText="1"/>
    </xf>
    <xf numFmtId="3" fontId="97" fillId="18" borderId="9" xfId="30" applyNumberFormat="1" applyFill="1" applyBorder="1" applyAlignment="1">
      <alignment horizontal="left" vertical="top" wrapText="1"/>
    </xf>
    <xf numFmtId="3" fontId="97" fillId="18" borderId="9" xfId="22" applyNumberFormat="1" applyFill="1" applyBorder="1" applyAlignment="1">
      <alignment horizontal="center" vertical="center" wrapText="1"/>
    </xf>
    <xf numFmtId="43" fontId="0" fillId="0" borderId="9" xfId="1" applyFont="1" applyBorder="1" applyAlignment="1">
      <alignment horizontal="right" vertical="center" wrapText="1"/>
    </xf>
    <xf numFmtId="43" fontId="0" fillId="0" borderId="9" xfId="1" applyFont="1" applyBorder="1" applyAlignment="1">
      <alignment horizontal="right" vertical="center"/>
    </xf>
    <xf numFmtId="0" fontId="97" fillId="0" borderId="47" xfId="30" applyBorder="1" applyAlignment="1">
      <alignment horizontal="center" vertical="center" wrapText="1"/>
    </xf>
    <xf numFmtId="3" fontId="97" fillId="18" borderId="33" xfId="30" applyNumberFormat="1" applyFill="1" applyBorder="1" applyAlignment="1">
      <alignment horizontal="left" vertical="top" wrapText="1"/>
    </xf>
    <xf numFmtId="3" fontId="97" fillId="18" borderId="31" xfId="22" applyNumberFormat="1" applyFill="1" applyBorder="1" applyAlignment="1">
      <alignment horizontal="center" vertical="center" wrapText="1"/>
    </xf>
    <xf numFmtId="3" fontId="97" fillId="18" borderId="33" xfId="22" applyNumberFormat="1" applyFill="1" applyBorder="1" applyAlignment="1">
      <alignment horizontal="center" vertical="center" wrapText="1"/>
    </xf>
    <xf numFmtId="0" fontId="97" fillId="0" borderId="10" xfId="30" applyBorder="1" applyAlignment="1">
      <alignment horizontal="center" vertical="center" wrapText="1"/>
    </xf>
    <xf numFmtId="3" fontId="97" fillId="18" borderId="12" xfId="30" applyNumberFormat="1" applyFill="1" applyBorder="1" applyAlignment="1">
      <alignment horizontal="left" vertical="top" wrapText="1"/>
    </xf>
    <xf numFmtId="3" fontId="97" fillId="18" borderId="22" xfId="22" applyNumberFormat="1" applyFill="1" applyBorder="1" applyAlignment="1">
      <alignment horizontal="center" vertical="center" wrapText="1"/>
    </xf>
    <xf numFmtId="3" fontId="97" fillId="18" borderId="12" xfId="22" applyNumberFormat="1" applyFill="1" applyBorder="1" applyAlignment="1">
      <alignment horizontal="center" vertical="center" wrapText="1"/>
    </xf>
    <xf numFmtId="3" fontId="97" fillId="18" borderId="22" xfId="30" applyNumberFormat="1" applyFill="1" applyBorder="1" applyAlignment="1">
      <alignment horizontal="left" vertical="top" wrapText="1"/>
    </xf>
    <xf numFmtId="0" fontId="97" fillId="0" borderId="49" xfId="30" applyBorder="1" applyAlignment="1">
      <alignment horizontal="center" vertical="center" wrapText="1"/>
    </xf>
    <xf numFmtId="43" fontId="0" fillId="0" borderId="22" xfId="1" applyFont="1" applyBorder="1" applyAlignment="1">
      <alignment vertical="center" wrapText="1"/>
    </xf>
    <xf numFmtId="0" fontId="97" fillId="0" borderId="15" xfId="30" applyBorder="1" applyAlignment="1">
      <alignment horizontal="center" vertical="center" wrapText="1"/>
    </xf>
    <xf numFmtId="3" fontId="97" fillId="18" borderId="16" xfId="30" applyNumberFormat="1" applyFill="1" applyBorder="1" applyAlignment="1">
      <alignment horizontal="left" vertical="top" wrapText="1"/>
    </xf>
    <xf numFmtId="3" fontId="97" fillId="18" borderId="16" xfId="22" applyNumberFormat="1" applyFill="1" applyBorder="1" applyAlignment="1">
      <alignment horizontal="center" vertical="center" wrapText="1"/>
    </xf>
    <xf numFmtId="43" fontId="0" fillId="0" borderId="16" xfId="1" applyFont="1" applyBorder="1" applyAlignment="1">
      <alignment vertical="center" wrapText="1"/>
    </xf>
    <xf numFmtId="43" fontId="0" fillId="0" borderId="16" xfId="1" applyFont="1" applyBorder="1" applyAlignment="1">
      <alignment horizontal="right" vertical="center" wrapText="1"/>
    </xf>
    <xf numFmtId="43" fontId="0" fillId="0" borderId="16" xfId="1" applyFont="1" applyBorder="1" applyAlignment="1">
      <alignment horizontal="right" vertical="center"/>
    </xf>
    <xf numFmtId="43" fontId="3" fillId="0" borderId="52" xfId="1" applyFont="1" applyBorder="1" applyAlignment="1">
      <alignment horizontal="right" vertical="center"/>
    </xf>
    <xf numFmtId="43" fontId="3" fillId="0" borderId="52" xfId="1" applyFont="1" applyBorder="1" applyAlignment="1">
      <alignment horizontal="right" vertical="center" wrapText="1"/>
    </xf>
    <xf numFmtId="0" fontId="3" fillId="0" borderId="0" xfId="30" applyFont="1" applyAlignment="1">
      <alignment horizontal="left" vertical="top" wrapText="1"/>
    </xf>
    <xf numFmtId="0" fontId="97" fillId="0" borderId="45" xfId="30" applyBorder="1" applyAlignment="1">
      <alignment horizontal="center" vertical="top" wrapText="1"/>
    </xf>
    <xf numFmtId="3" fontId="97" fillId="18" borderId="46" xfId="30" applyNumberFormat="1" applyFill="1" applyBorder="1" applyAlignment="1">
      <alignment horizontal="left" vertical="center" wrapText="1"/>
    </xf>
    <xf numFmtId="3" fontId="97" fillId="18" borderId="46" xfId="30" applyNumberFormat="1" applyFill="1" applyBorder="1" applyAlignment="1">
      <alignment horizontal="center" vertical="center" wrapText="1"/>
    </xf>
    <xf numFmtId="43" fontId="0" fillId="0" borderId="46" xfId="1" applyFont="1" applyBorder="1" applyAlignment="1">
      <alignment vertical="center" wrapText="1"/>
    </xf>
    <xf numFmtId="43" fontId="0" fillId="0" borderId="46" xfId="1" applyFont="1" applyBorder="1" applyAlignment="1">
      <alignment horizontal="right" vertical="center" wrapText="1"/>
    </xf>
    <xf numFmtId="43" fontId="0" fillId="0" borderId="46" xfId="1" applyFont="1" applyBorder="1" applyAlignment="1">
      <alignment horizontal="right" vertical="center"/>
    </xf>
    <xf numFmtId="0" fontId="51" fillId="0" borderId="20" xfId="30" applyFont="1" applyBorder="1" applyAlignment="1">
      <alignment horizontal="right" vertical="top" wrapText="1"/>
    </xf>
    <xf numFmtId="43" fontId="3" fillId="0" borderId="52" xfId="1" applyFont="1" applyBorder="1" applyAlignment="1">
      <alignment vertical="center"/>
    </xf>
    <xf numFmtId="0" fontId="97" fillId="0" borderId="53" xfId="30" applyBorder="1" applyAlignment="1">
      <alignment horizontal="center" vertical="top" wrapText="1"/>
    </xf>
    <xf numFmtId="3" fontId="97" fillId="0" borderId="0" xfId="30" applyNumberFormat="1" applyAlignment="1">
      <alignment vertical="center" wrapText="1"/>
    </xf>
    <xf numFmtId="3" fontId="97" fillId="0" borderId="31" xfId="30" applyNumberFormat="1" applyBorder="1" applyAlignment="1">
      <alignment horizontal="right" vertical="center" wrapText="1"/>
    </xf>
    <xf numFmtId="1" fontId="97" fillId="0" borderId="31" xfId="30" applyNumberFormat="1" applyBorder="1" applyAlignment="1">
      <alignment vertical="top" wrapText="1"/>
    </xf>
    <xf numFmtId="0" fontId="51" fillId="0" borderId="4" xfId="30" applyFont="1" applyBorder="1" applyAlignment="1">
      <alignment horizontal="right" vertical="top" wrapText="1"/>
    </xf>
    <xf numFmtId="1" fontId="3" fillId="0" borderId="46" xfId="30" applyNumberFormat="1" applyFont="1" applyBorder="1" applyAlignment="1">
      <alignment vertical="top" wrapText="1"/>
    </xf>
    <xf numFmtId="43" fontId="3" fillId="0" borderId="46" xfId="1" applyFont="1" applyBorder="1" applyAlignment="1">
      <alignment vertical="center" wrapText="1"/>
    </xf>
    <xf numFmtId="43" fontId="3" fillId="0" borderId="46" xfId="1" applyFont="1" applyBorder="1" applyAlignment="1">
      <alignment vertical="center"/>
    </xf>
    <xf numFmtId="43" fontId="28" fillId="0" borderId="5" xfId="1" applyFont="1" applyBorder="1" applyAlignment="1">
      <alignment horizontal="right" vertical="center"/>
    </xf>
    <xf numFmtId="0" fontId="3" fillId="0" borderId="4" xfId="30" applyFont="1" applyBorder="1" applyAlignment="1">
      <alignment horizontal="right"/>
    </xf>
    <xf numFmtId="43" fontId="3" fillId="0" borderId="5" xfId="1" applyFont="1" applyBorder="1" applyAlignment="1">
      <alignment horizontal="right" vertical="center"/>
    </xf>
    <xf numFmtId="0" fontId="44" fillId="0" borderId="0" xfId="30" applyFont="1"/>
    <xf numFmtId="0" fontId="3" fillId="0" borderId="0" xfId="30" applyFont="1" applyAlignment="1">
      <alignment vertical="top" wrapText="1"/>
    </xf>
    <xf numFmtId="3" fontId="3" fillId="0" borderId="0" xfId="22" applyNumberFormat="1" applyFont="1" applyAlignment="1">
      <alignment horizontal="right" vertical="top" wrapText="1"/>
    </xf>
    <xf numFmtId="175" fontId="3" fillId="0" borderId="0" xfId="1" applyNumberFormat="1" applyFont="1" applyAlignment="1">
      <alignment horizontal="right" vertical="top" wrapText="1"/>
    </xf>
    <xf numFmtId="174" fontId="3" fillId="0" borderId="0" xfId="22" applyNumberFormat="1" applyFont="1" applyAlignment="1">
      <alignment horizontal="right"/>
    </xf>
    <xf numFmtId="0" fontId="3" fillId="0" borderId="0" xfId="30" applyFont="1" applyAlignment="1">
      <alignment horizontal="right" vertical="top" wrapText="1"/>
    </xf>
    <xf numFmtId="0" fontId="3" fillId="0" borderId="0" xfId="22" applyFont="1" applyAlignment="1">
      <alignment horizontal="left" vertical="top" wrapText="1"/>
    </xf>
    <xf numFmtId="0" fontId="3" fillId="0" borderId="0" xfId="30" applyFont="1" applyAlignment="1">
      <alignment horizontal="center"/>
    </xf>
    <xf numFmtId="3" fontId="97" fillId="0" borderId="55" xfId="37" applyNumberFormat="1" applyBorder="1" applyAlignment="1">
      <alignment horizontal="right" vertical="center" wrapText="1"/>
    </xf>
    <xf numFmtId="0" fontId="3" fillId="0" borderId="54" xfId="30" applyFont="1" applyBorder="1" applyAlignment="1">
      <alignment horizontal="center" vertical="top" wrapText="1"/>
    </xf>
    <xf numFmtId="0" fontId="3" fillId="0" borderId="57" xfId="30" applyFont="1" applyBorder="1" applyAlignment="1">
      <alignment horizontal="center" vertical="top" wrapText="1"/>
    </xf>
    <xf numFmtId="3" fontId="97" fillId="0" borderId="34" xfId="30" applyNumberFormat="1" applyBorder="1" applyAlignment="1">
      <alignment horizontal="right" vertical="top" wrapText="1"/>
    </xf>
    <xf numFmtId="3" fontId="97" fillId="0" borderId="58" xfId="30" applyNumberFormat="1" applyBorder="1" applyAlignment="1">
      <alignment horizontal="right" vertical="top" wrapText="1"/>
    </xf>
    <xf numFmtId="3" fontId="97" fillId="0" borderId="11" xfId="30" applyNumberFormat="1" applyBorder="1" applyAlignment="1">
      <alignment horizontal="right" vertical="top" wrapText="1"/>
    </xf>
    <xf numFmtId="3" fontId="97" fillId="0" borderId="14" xfId="30" applyNumberFormat="1" applyBorder="1" applyAlignment="1">
      <alignment horizontal="right" vertical="top" wrapText="1"/>
    </xf>
    <xf numFmtId="3" fontId="97" fillId="0" borderId="32" xfId="30" applyNumberFormat="1" applyBorder="1" applyAlignment="1">
      <alignment horizontal="right" vertical="top" wrapText="1"/>
    </xf>
    <xf numFmtId="3" fontId="97" fillId="0" borderId="59" xfId="30" applyNumberFormat="1" applyBorder="1" applyAlignment="1">
      <alignment horizontal="right" vertical="top" wrapText="1"/>
    </xf>
    <xf numFmtId="3" fontId="3" fillId="0" borderId="57" xfId="30" applyNumberFormat="1" applyFont="1" applyBorder="1" applyAlignment="1">
      <alignment horizontal="right" vertical="top" wrapText="1"/>
    </xf>
    <xf numFmtId="0" fontId="97" fillId="0" borderId="34" xfId="30" applyBorder="1"/>
    <xf numFmtId="0" fontId="97" fillId="0" borderId="58" xfId="30" applyBorder="1"/>
    <xf numFmtId="0" fontId="3" fillId="0" borderId="5" xfId="30" applyFont="1" applyBorder="1" applyAlignment="1">
      <alignment horizontal="right" vertical="top" wrapText="1"/>
    </xf>
    <xf numFmtId="43" fontId="0" fillId="0" borderId="14" xfId="1" applyFont="1" applyBorder="1" applyAlignment="1">
      <alignment horizontal="right" vertical="center" wrapText="1"/>
    </xf>
    <xf numFmtId="43" fontId="0" fillId="0" borderId="14" xfId="1" applyFont="1" applyBorder="1" applyAlignment="1">
      <alignment vertical="center"/>
    </xf>
    <xf numFmtId="43" fontId="3" fillId="0" borderId="57" xfId="1" applyFont="1" applyBorder="1" applyAlignment="1">
      <alignment horizontal="right" vertical="center" wrapText="1"/>
    </xf>
    <xf numFmtId="43" fontId="97" fillId="0" borderId="0" xfId="30" applyNumberFormat="1"/>
    <xf numFmtId="3" fontId="97" fillId="0" borderId="13" xfId="30" applyNumberFormat="1" applyBorder="1" applyAlignment="1">
      <alignment horizontal="right" vertical="center" wrapText="1"/>
    </xf>
    <xf numFmtId="3" fontId="97" fillId="0" borderId="17" xfId="30" applyNumberFormat="1" applyBorder="1" applyAlignment="1">
      <alignment horizontal="right" vertical="center" wrapText="1"/>
    </xf>
    <xf numFmtId="3" fontId="97" fillId="0" borderId="58" xfId="30" applyNumberFormat="1" applyBorder="1" applyAlignment="1">
      <alignment horizontal="right" vertical="center" wrapText="1"/>
    </xf>
    <xf numFmtId="3" fontId="3" fillId="0" borderId="57" xfId="30" applyNumberFormat="1" applyFont="1" applyBorder="1" applyAlignment="1">
      <alignment horizontal="right" vertical="center" wrapText="1"/>
    </xf>
    <xf numFmtId="43" fontId="0" fillId="0" borderId="13" xfId="1" applyFont="1" applyBorder="1" applyAlignment="1">
      <alignment horizontal="right" vertical="center" wrapText="1"/>
    </xf>
    <xf numFmtId="43" fontId="0" fillId="0" borderId="17" xfId="1" applyFont="1" applyBorder="1" applyAlignment="1">
      <alignment horizontal="right" vertical="center" wrapText="1"/>
    </xf>
    <xf numFmtId="43" fontId="3" fillId="0" borderId="60" xfId="1" applyFont="1" applyBorder="1" applyAlignment="1">
      <alignment horizontal="right" vertical="center" wrapText="1"/>
    </xf>
    <xf numFmtId="43" fontId="0" fillId="0" borderId="57" xfId="1" applyFont="1" applyBorder="1" applyAlignment="1">
      <alignment horizontal="right" vertical="center" wrapText="1"/>
    </xf>
    <xf numFmtId="1" fontId="97" fillId="0" borderId="32" xfId="30" applyNumberFormat="1" applyBorder="1" applyAlignment="1">
      <alignment vertical="top" wrapText="1"/>
    </xf>
    <xf numFmtId="1" fontId="97" fillId="0" borderId="59" xfId="30" applyNumberFormat="1" applyBorder="1" applyAlignment="1">
      <alignment vertical="top" wrapText="1"/>
    </xf>
    <xf numFmtId="1" fontId="3" fillId="0" borderId="54" xfId="30" applyNumberFormat="1" applyFont="1" applyBorder="1" applyAlignment="1">
      <alignment vertical="top" wrapText="1"/>
    </xf>
    <xf numFmtId="1" fontId="3" fillId="0" borderId="57" xfId="30" applyNumberFormat="1" applyFont="1" applyBorder="1" applyAlignment="1">
      <alignment vertical="top" wrapText="1"/>
    </xf>
    <xf numFmtId="14" fontId="3" fillId="0" borderId="0" xfId="22" applyNumberFormat="1" applyFont="1" applyAlignment="1">
      <alignment horizontal="center" vertical="center"/>
    </xf>
    <xf numFmtId="3" fontId="3" fillId="0" borderId="0" xfId="30" applyNumberFormat="1" applyFont="1" applyAlignment="1">
      <alignment horizontal="center" vertical="center" wrapText="1"/>
    </xf>
    <xf numFmtId="3" fontId="3" fillId="0" borderId="0" xfId="30" applyNumberFormat="1" applyFont="1"/>
    <xf numFmtId="176" fontId="97" fillId="0" borderId="0" xfId="30" applyNumberFormat="1" applyAlignment="1">
      <alignment horizontal="center"/>
    </xf>
    <xf numFmtId="14" fontId="3" fillId="0" borderId="0" xfId="30" applyNumberFormat="1" applyFont="1" applyAlignment="1">
      <alignment horizontal="center" vertical="center"/>
    </xf>
    <xf numFmtId="0" fontId="3" fillId="0" borderId="0" xfId="30" applyFont="1" applyAlignment="1">
      <alignment horizontal="center" vertical="top" wrapText="1"/>
    </xf>
    <xf numFmtId="43" fontId="3" fillId="0" borderId="0" xfId="30" applyNumberFormat="1" applyFont="1" applyAlignment="1">
      <alignment horizontal="center"/>
    </xf>
    <xf numFmtId="0" fontId="52" fillId="0" borderId="0" xfId="30" applyFont="1" applyAlignment="1">
      <alignment vertical="top" wrapText="1"/>
    </xf>
    <xf numFmtId="0" fontId="97" fillId="0" borderId="0" xfId="30" applyAlignment="1">
      <alignment horizontal="center" vertical="top" wrapText="1"/>
    </xf>
    <xf numFmtId="0" fontId="97" fillId="0" borderId="0" xfId="30" applyAlignment="1">
      <alignment vertical="top" wrapText="1"/>
    </xf>
    <xf numFmtId="3" fontId="97" fillId="0" borderId="0" xfId="30" applyNumberFormat="1"/>
    <xf numFmtId="0" fontId="6" fillId="0" borderId="0" xfId="30" applyFont="1" applyAlignment="1">
      <alignment vertical="top" wrapText="1"/>
    </xf>
    <xf numFmtId="3" fontId="3" fillId="0" borderId="0" xfId="16" applyNumberFormat="1" applyFont="1" applyAlignment="1">
      <alignment horizontal="center" vertical="center"/>
    </xf>
    <xf numFmtId="3" fontId="3" fillId="0" borderId="0" xfId="16" applyNumberFormat="1" applyFont="1" applyAlignment="1">
      <alignment horizontal="left" vertical="center"/>
    </xf>
    <xf numFmtId="0" fontId="97" fillId="0" borderId="0" xfId="14"/>
    <xf numFmtId="0" fontId="97" fillId="0" borderId="0" xfId="14" applyAlignment="1">
      <alignment horizontal="right"/>
    </xf>
    <xf numFmtId="0" fontId="53" fillId="0" borderId="0" xfId="14" applyFont="1"/>
    <xf numFmtId="0" fontId="54" fillId="19" borderId="45" xfId="14" applyFont="1" applyFill="1" applyBorder="1" applyAlignment="1">
      <alignment horizontal="center" vertical="center"/>
    </xf>
    <xf numFmtId="0" fontId="54" fillId="19" borderId="46" xfId="14" applyFont="1" applyFill="1" applyBorder="1" applyAlignment="1">
      <alignment horizontal="center" vertical="center"/>
    </xf>
    <xf numFmtId="0" fontId="54" fillId="19" borderId="46" xfId="14" applyFont="1" applyFill="1" applyBorder="1" applyAlignment="1">
      <alignment horizontal="center" vertical="center" wrapText="1"/>
    </xf>
    <xf numFmtId="0" fontId="54" fillId="0" borderId="10" xfId="14" applyFont="1" applyBorder="1" applyAlignment="1">
      <alignment vertical="center"/>
    </xf>
    <xf numFmtId="0" fontId="55" fillId="0" borderId="12" xfId="14" applyFont="1" applyBorder="1" applyAlignment="1">
      <alignment vertical="center" wrapText="1"/>
    </xf>
    <xf numFmtId="169" fontId="55" fillId="0" borderId="12" xfId="48" applyNumberFormat="1" applyFont="1" applyFill="1" applyBorder="1" applyAlignment="1">
      <alignment vertical="center"/>
    </xf>
    <xf numFmtId="43" fontId="55" fillId="0" borderId="12" xfId="48" applyFont="1" applyFill="1" applyBorder="1" applyAlignment="1">
      <alignment vertical="center"/>
    </xf>
    <xf numFmtId="43" fontId="54" fillId="0" borderId="12" xfId="1" applyFont="1" applyFill="1" applyBorder="1" applyAlignment="1">
      <alignment vertical="center"/>
    </xf>
    <xf numFmtId="43" fontId="55" fillId="0" borderId="12" xfId="1" applyFont="1" applyFill="1" applyBorder="1" applyAlignment="1">
      <alignment vertical="center"/>
    </xf>
    <xf numFmtId="43" fontId="55" fillId="0" borderId="12" xfId="1" applyFont="1" applyBorder="1" applyAlignment="1">
      <alignment vertical="center"/>
    </xf>
    <xf numFmtId="0" fontId="56" fillId="0" borderId="12" xfId="14" applyFont="1" applyBorder="1" applyAlignment="1">
      <alignment vertical="center" wrapText="1"/>
    </xf>
    <xf numFmtId="169" fontId="55" fillId="0" borderId="12" xfId="48" applyNumberFormat="1" applyFont="1" applyBorder="1" applyAlignment="1">
      <alignment vertical="center"/>
    </xf>
    <xf numFmtId="169" fontId="54" fillId="0" borderId="46" xfId="48" applyNumberFormat="1" applyFont="1" applyBorder="1" applyAlignment="1">
      <alignment vertical="center"/>
    </xf>
    <xf numFmtId="43" fontId="54" fillId="0" borderId="46" xfId="1" applyFont="1" applyBorder="1" applyAlignment="1">
      <alignment vertical="center"/>
    </xf>
    <xf numFmtId="0" fontId="55" fillId="0" borderId="0" xfId="14" applyFont="1" applyAlignment="1">
      <alignment horizontal="left" vertical="center"/>
    </xf>
    <xf numFmtId="0" fontId="54" fillId="0" borderId="0" xfId="14" applyFont="1" applyAlignment="1">
      <alignment horizontal="left" vertical="center"/>
    </xf>
    <xf numFmtId="169" fontId="54" fillId="0" borderId="0" xfId="48" applyNumberFormat="1" applyFont="1" applyBorder="1" applyAlignment="1">
      <alignment vertical="center"/>
    </xf>
    <xf numFmtId="0" fontId="54" fillId="19" borderId="40" xfId="14" applyFont="1" applyFill="1" applyBorder="1" applyAlignment="1">
      <alignment horizontal="center" vertical="center"/>
    </xf>
    <xf numFmtId="0" fontId="54" fillId="19" borderId="61" xfId="14" applyFont="1" applyFill="1" applyBorder="1" applyAlignment="1">
      <alignment horizontal="center" vertical="center"/>
    </xf>
    <xf numFmtId="0" fontId="55" fillId="0" borderId="61" xfId="14" applyFont="1" applyBorder="1" applyAlignment="1">
      <alignment horizontal="left" vertical="center" wrapText="1"/>
    </xf>
    <xf numFmtId="169" fontId="55" fillId="0" borderId="61" xfId="14" applyNumberFormat="1" applyFont="1" applyBorder="1" applyAlignment="1">
      <alignment horizontal="center" vertical="center" wrapText="1"/>
    </xf>
    <xf numFmtId="43" fontId="55" fillId="0" borderId="61" xfId="1" applyFont="1" applyBorder="1" applyAlignment="1">
      <alignment horizontal="center" vertical="center" wrapText="1"/>
    </xf>
    <xf numFmtId="43" fontId="55" fillId="0" borderId="62" xfId="1" applyFont="1" applyBorder="1" applyAlignment="1">
      <alignment horizontal="center" vertical="center" wrapText="1"/>
    </xf>
    <xf numFmtId="0" fontId="55" fillId="0" borderId="12" xfId="14" applyFont="1" applyBorder="1" applyAlignment="1">
      <alignment wrapText="1"/>
    </xf>
    <xf numFmtId="169" fontId="55" fillId="0" borderId="12" xfId="14" applyNumberFormat="1" applyFont="1" applyBorder="1" applyAlignment="1">
      <alignment horizontal="center" vertical="center" wrapText="1"/>
    </xf>
    <xf numFmtId="43" fontId="55" fillId="0" borderId="12" xfId="1" applyFont="1" applyBorder="1" applyAlignment="1">
      <alignment horizontal="center" vertical="center" wrapText="1"/>
    </xf>
    <xf numFmtId="43" fontId="55" fillId="0" borderId="14" xfId="1" applyFont="1" applyBorder="1" applyAlignment="1">
      <alignment horizontal="center" vertical="center" wrapText="1"/>
    </xf>
    <xf numFmtId="0" fontId="55" fillId="0" borderId="16" xfId="14" applyFont="1" applyBorder="1" applyAlignment="1">
      <alignment wrapText="1"/>
    </xf>
    <xf numFmtId="169" fontId="55" fillId="0" borderId="16" xfId="14" applyNumberFormat="1" applyFont="1" applyBorder="1" applyAlignment="1">
      <alignment horizontal="center" vertical="center" wrapText="1"/>
    </xf>
    <xf numFmtId="43" fontId="55" fillId="0" borderId="16" xfId="1" applyFont="1" applyBorder="1" applyAlignment="1">
      <alignment horizontal="center" vertical="center" wrapText="1"/>
    </xf>
    <xf numFmtId="43" fontId="55" fillId="0" borderId="17" xfId="1" applyFont="1" applyBorder="1" applyAlignment="1">
      <alignment horizontal="center" vertical="center" wrapText="1"/>
    </xf>
    <xf numFmtId="169" fontId="54" fillId="0" borderId="52" xfId="48" applyNumberFormat="1" applyFont="1" applyBorder="1" applyAlignment="1">
      <alignment vertical="center"/>
    </xf>
    <xf numFmtId="43" fontId="54" fillId="0" borderId="52" xfId="1" applyFont="1" applyBorder="1" applyAlignment="1">
      <alignment vertical="center"/>
    </xf>
    <xf numFmtId="43" fontId="54" fillId="0" borderId="60" xfId="1" applyFont="1" applyBorder="1" applyAlignment="1">
      <alignment vertical="center"/>
    </xf>
    <xf numFmtId="0" fontId="54" fillId="19" borderId="57" xfId="14" applyFont="1" applyFill="1" applyBorder="1" applyAlignment="1">
      <alignment horizontal="center" vertical="center" wrapText="1"/>
    </xf>
    <xf numFmtId="0" fontId="55" fillId="0" borderId="10" xfId="14" applyFont="1" applyBorder="1"/>
    <xf numFmtId="169" fontId="55" fillId="0" borderId="12" xfId="14" applyNumberFormat="1" applyFont="1" applyBorder="1"/>
    <xf numFmtId="169" fontId="55" fillId="0" borderId="14" xfId="14" applyNumberFormat="1" applyFont="1" applyBorder="1"/>
    <xf numFmtId="0" fontId="55" fillId="0" borderId="49" xfId="14" applyFont="1" applyBorder="1"/>
    <xf numFmtId="169" fontId="55" fillId="0" borderId="22" xfId="14" applyNumberFormat="1" applyFont="1" applyBorder="1"/>
    <xf numFmtId="169" fontId="55" fillId="0" borderId="63" xfId="14" applyNumberFormat="1" applyFont="1" applyBorder="1"/>
    <xf numFmtId="0" fontId="54" fillId="0" borderId="45" xfId="14" applyFont="1" applyBorder="1"/>
    <xf numFmtId="169" fontId="54" fillId="0" borderId="46" xfId="8" applyNumberFormat="1" applyFont="1" applyBorder="1"/>
    <xf numFmtId="169" fontId="54" fillId="0" borderId="57" xfId="8" applyNumberFormat="1" applyFont="1" applyBorder="1"/>
    <xf numFmtId="0" fontId="55" fillId="0" borderId="0" xfId="14" applyFont="1"/>
    <xf numFmtId="3" fontId="97" fillId="0" borderId="0" xfId="14" applyNumberFormat="1"/>
    <xf numFmtId="169" fontId="97" fillId="0" borderId="0" xfId="14" applyNumberFormat="1"/>
    <xf numFmtId="0" fontId="54" fillId="19" borderId="5" xfId="14" applyFont="1" applyFill="1" applyBorder="1" applyAlignment="1">
      <alignment horizontal="center" vertical="center" wrapText="1"/>
    </xf>
    <xf numFmtId="0" fontId="55" fillId="0" borderId="14" xfId="14" applyFont="1" applyBorder="1" applyAlignment="1">
      <alignment horizontal="center" vertical="center" wrapText="1"/>
    </xf>
    <xf numFmtId="0" fontId="55" fillId="0" borderId="64" xfId="14" applyFont="1" applyBorder="1" applyAlignment="1">
      <alignment horizontal="center" vertical="center" wrapText="1"/>
    </xf>
    <xf numFmtId="0" fontId="97" fillId="0" borderId="57" xfId="14" applyBorder="1"/>
    <xf numFmtId="0" fontId="97" fillId="0" borderId="5" xfId="14" applyBorder="1"/>
    <xf numFmtId="0" fontId="54" fillId="19" borderId="31" xfId="14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3" fillId="0" borderId="0" xfId="0" applyFont="1"/>
    <xf numFmtId="0" fontId="54" fillId="19" borderId="45" xfId="0" applyFont="1" applyFill="1" applyBorder="1" applyAlignment="1">
      <alignment horizontal="center" vertical="center"/>
    </xf>
    <xf numFmtId="0" fontId="54" fillId="19" borderId="46" xfId="0" applyFont="1" applyFill="1" applyBorder="1" applyAlignment="1">
      <alignment horizontal="center" vertical="center"/>
    </xf>
    <xf numFmtId="0" fontId="54" fillId="19" borderId="46" xfId="0" applyFont="1" applyFill="1" applyBorder="1" applyAlignment="1">
      <alignment horizontal="center" vertical="center" wrapText="1"/>
    </xf>
    <xf numFmtId="0" fontId="54" fillId="19" borderId="57" xfId="0" applyFont="1" applyFill="1" applyBorder="1" applyAlignment="1">
      <alignment horizontal="center" vertical="center" wrapText="1"/>
    </xf>
    <xf numFmtId="0" fontId="54" fillId="19" borderId="5" xfId="0" applyFont="1" applyFill="1" applyBorder="1" applyAlignment="1">
      <alignment horizontal="center" vertical="center" wrapText="1"/>
    </xf>
    <xf numFmtId="0" fontId="54" fillId="19" borderId="32" xfId="0" applyFont="1" applyFill="1" applyBorder="1" applyAlignment="1">
      <alignment horizontal="center" vertical="center" wrapText="1"/>
    </xf>
    <xf numFmtId="0" fontId="54" fillId="0" borderId="10" xfId="0" applyFont="1" applyBorder="1" applyAlignment="1">
      <alignment vertical="center"/>
    </xf>
    <xf numFmtId="0" fontId="55" fillId="0" borderId="12" xfId="0" applyFont="1" applyBorder="1" applyAlignment="1">
      <alignment vertical="center" wrapText="1"/>
    </xf>
    <xf numFmtId="0" fontId="55" fillId="0" borderId="14" xfId="0" applyFont="1" applyBorder="1" applyAlignment="1">
      <alignment horizontal="center" vertical="center" wrapText="1"/>
    </xf>
    <xf numFmtId="0" fontId="55" fillId="0" borderId="64" xfId="0" applyFont="1" applyBorder="1" applyAlignment="1">
      <alignment horizontal="center" vertical="center" wrapText="1"/>
    </xf>
    <xf numFmtId="169" fontId="55" fillId="0" borderId="12" xfId="1" applyNumberFormat="1" applyFont="1" applyFill="1" applyBorder="1" applyAlignment="1">
      <alignment vertical="center"/>
    </xf>
    <xf numFmtId="169" fontId="54" fillId="0" borderId="46" xfId="1" applyNumberFormat="1" applyFont="1" applyBorder="1" applyAlignment="1">
      <alignment vertical="center"/>
    </xf>
    <xf numFmtId="0" fontId="0" fillId="0" borderId="57" xfId="0" applyBorder="1"/>
    <xf numFmtId="0" fontId="0" fillId="0" borderId="5" xfId="0" applyBorder="1"/>
    <xf numFmtId="3" fontId="55" fillId="0" borderId="12" xfId="1" applyNumberFormat="1" applyFont="1" applyBorder="1" applyAlignment="1">
      <alignment vertical="center"/>
    </xf>
    <xf numFmtId="0" fontId="55" fillId="0" borderId="22" xfId="0" applyFont="1" applyBorder="1" applyAlignment="1">
      <alignment vertical="center" wrapText="1"/>
    </xf>
    <xf numFmtId="169" fontId="55" fillId="0" borderId="22" xfId="48" applyNumberFormat="1" applyFont="1" applyBorder="1" applyAlignment="1">
      <alignment vertical="center"/>
    </xf>
    <xf numFmtId="3" fontId="55" fillId="0" borderId="22" xfId="48" applyNumberFormat="1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3" fontId="55" fillId="0" borderId="22" xfId="1" applyNumberFormat="1" applyFont="1" applyBorder="1" applyAlignment="1">
      <alignment vertical="center"/>
    </xf>
    <xf numFmtId="0" fontId="55" fillId="0" borderId="63" xfId="0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0" fontId="54" fillId="0" borderId="45" xfId="0" applyFont="1" applyBorder="1" applyAlignment="1">
      <alignment vertical="center"/>
    </xf>
    <xf numFmtId="0" fontId="55" fillId="0" borderId="46" xfId="0" applyFont="1" applyBorder="1" applyAlignment="1">
      <alignment vertical="center" wrapText="1"/>
    </xf>
    <xf numFmtId="3" fontId="54" fillId="0" borderId="46" xfId="1" applyNumberFormat="1" applyFont="1" applyBorder="1" applyAlignment="1">
      <alignment vertical="center"/>
    </xf>
    <xf numFmtId="0" fontId="55" fillId="0" borderId="57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169" fontId="58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55" fillId="0" borderId="0" xfId="0" applyFont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4" fillId="19" borderId="40" xfId="0" applyFont="1" applyFill="1" applyBorder="1" applyAlignment="1">
      <alignment horizontal="center" vertical="center"/>
    </xf>
    <xf numFmtId="0" fontId="54" fillId="19" borderId="61" xfId="0" applyFont="1" applyFill="1" applyBorder="1" applyAlignment="1">
      <alignment horizontal="center" vertical="center"/>
    </xf>
    <xf numFmtId="0" fontId="54" fillId="19" borderId="61" xfId="0" applyFont="1" applyFill="1" applyBorder="1" applyAlignment="1">
      <alignment horizontal="center" vertical="center" wrapText="1"/>
    </xf>
    <xf numFmtId="0" fontId="54" fillId="19" borderId="62" xfId="0" applyFont="1" applyFill="1" applyBorder="1" applyAlignment="1">
      <alignment horizontal="center" vertical="center" wrapText="1"/>
    </xf>
    <xf numFmtId="0" fontId="55" fillId="0" borderId="61" xfId="0" applyFont="1" applyBorder="1" applyAlignment="1">
      <alignment horizontal="left" vertical="center" wrapText="1"/>
    </xf>
    <xf numFmtId="3" fontId="55" fillId="0" borderId="61" xfId="0" applyNumberFormat="1" applyFont="1" applyBorder="1" applyAlignment="1">
      <alignment horizontal="right" vertical="center" wrapText="1"/>
    </xf>
    <xf numFmtId="3" fontId="55" fillId="0" borderId="62" xfId="1" applyNumberFormat="1" applyFont="1" applyFill="1" applyBorder="1" applyAlignment="1">
      <alignment horizontal="right" vertical="center" wrapText="1"/>
    </xf>
    <xf numFmtId="0" fontId="55" fillId="0" borderId="12" xfId="0" applyFont="1" applyBorder="1" applyAlignment="1">
      <alignment horizontal="left" vertical="center" wrapText="1"/>
    </xf>
    <xf numFmtId="3" fontId="55" fillId="0" borderId="12" xfId="0" applyNumberFormat="1" applyFont="1" applyBorder="1" applyAlignment="1">
      <alignment horizontal="right" vertical="center" wrapText="1"/>
    </xf>
    <xf numFmtId="3" fontId="55" fillId="0" borderId="14" xfId="1" applyNumberFormat="1" applyFont="1" applyFill="1" applyBorder="1" applyAlignment="1">
      <alignment horizontal="right" vertical="center" wrapText="1"/>
    </xf>
    <xf numFmtId="0" fontId="55" fillId="0" borderId="33" xfId="0" applyFont="1" applyBorder="1" applyAlignment="1">
      <alignment wrapText="1"/>
    </xf>
    <xf numFmtId="3" fontId="55" fillId="0" borderId="33" xfId="0" applyNumberFormat="1" applyFont="1" applyBorder="1"/>
    <xf numFmtId="3" fontId="55" fillId="0" borderId="58" xfId="1" applyNumberFormat="1" applyFont="1" applyBorder="1"/>
    <xf numFmtId="0" fontId="55" fillId="0" borderId="12" xfId="0" applyFont="1" applyBorder="1" applyAlignment="1">
      <alignment wrapText="1"/>
    </xf>
    <xf numFmtId="3" fontId="55" fillId="0" borderId="12" xfId="1" applyNumberFormat="1" applyFont="1" applyBorder="1"/>
    <xf numFmtId="3" fontId="55" fillId="0" borderId="14" xfId="1" applyNumberFormat="1" applyFont="1" applyBorder="1"/>
    <xf numFmtId="0" fontId="55" fillId="0" borderId="16" xfId="0" applyFont="1" applyBorder="1" applyAlignment="1">
      <alignment wrapText="1"/>
    </xf>
    <xf numFmtId="3" fontId="55" fillId="0" borderId="16" xfId="1" applyNumberFormat="1" applyFont="1" applyBorder="1" applyAlignment="1">
      <alignment vertical="center"/>
    </xf>
    <xf numFmtId="3" fontId="55" fillId="0" borderId="17" xfId="1" applyNumberFormat="1" applyFont="1" applyBorder="1" applyAlignment="1">
      <alignment vertical="center"/>
    </xf>
    <xf numFmtId="3" fontId="54" fillId="0" borderId="46" xfId="48" applyNumberFormat="1" applyFont="1" applyBorder="1" applyAlignment="1">
      <alignment vertical="center"/>
    </xf>
    <xf numFmtId="3" fontId="54" fillId="0" borderId="57" xfId="1" applyNumberFormat="1" applyFont="1" applyBorder="1" applyAlignment="1">
      <alignment vertical="center"/>
    </xf>
    <xf numFmtId="0" fontId="55" fillId="0" borderId="8" xfId="0" applyFont="1" applyBorder="1"/>
    <xf numFmtId="169" fontId="55" fillId="0" borderId="9" xfId="0" applyNumberFormat="1" applyFont="1" applyBorder="1"/>
    <xf numFmtId="169" fontId="55" fillId="0" borderId="13" xfId="1" applyNumberFormat="1" applyFont="1" applyBorder="1"/>
    <xf numFmtId="0" fontId="55" fillId="0" borderId="10" xfId="0" applyFont="1" applyBorder="1"/>
    <xf numFmtId="169" fontId="55" fillId="0" borderId="12" xfId="0" applyNumberFormat="1" applyFont="1" applyBorder="1"/>
    <xf numFmtId="169" fontId="55" fillId="0" borderId="14" xfId="1" applyNumberFormat="1" applyFont="1" applyBorder="1"/>
    <xf numFmtId="0" fontId="55" fillId="0" borderId="49" xfId="0" applyFont="1" applyBorder="1"/>
    <xf numFmtId="169" fontId="55" fillId="0" borderId="22" xfId="0" applyNumberFormat="1" applyFont="1" applyBorder="1"/>
    <xf numFmtId="169" fontId="55" fillId="0" borderId="63" xfId="1" applyNumberFormat="1" applyFont="1" applyBorder="1"/>
    <xf numFmtId="0" fontId="54" fillId="0" borderId="45" xfId="0" applyFont="1" applyBorder="1"/>
    <xf numFmtId="169" fontId="54" fillId="0" borderId="46" xfId="1" applyNumberFormat="1" applyFont="1" applyBorder="1"/>
    <xf numFmtId="0" fontId="54" fillId="0" borderId="0" xfId="0" applyFont="1"/>
    <xf numFmtId="169" fontId="54" fillId="0" borderId="0" xfId="1" applyNumberFormat="1" applyFont="1" applyBorder="1"/>
    <xf numFmtId="43" fontId="54" fillId="0" borderId="0" xfId="1" applyFont="1" applyBorder="1"/>
    <xf numFmtId="0" fontId="55" fillId="0" borderId="0" xfId="0" applyFont="1"/>
    <xf numFmtId="0" fontId="54" fillId="0" borderId="0" xfId="0" applyFont="1" applyAlignment="1">
      <alignment horizontal="center" vertical="center" wrapText="1"/>
    </xf>
    <xf numFmtId="169" fontId="55" fillId="0" borderId="12" xfId="1" applyNumberFormat="1" applyFont="1" applyBorder="1" applyAlignment="1">
      <alignment vertical="center"/>
    </xf>
    <xf numFmtId="169" fontId="55" fillId="0" borderId="14" xfId="1" applyNumberFormat="1" applyFont="1" applyBorder="1" applyAlignment="1">
      <alignment vertical="center"/>
    </xf>
    <xf numFmtId="169" fontId="55" fillId="0" borderId="12" xfId="1" applyNumberFormat="1" applyFont="1" applyBorder="1"/>
    <xf numFmtId="43" fontId="55" fillId="0" borderId="14" xfId="1" applyFont="1" applyBorder="1"/>
    <xf numFmtId="169" fontId="54" fillId="0" borderId="57" xfId="1" applyNumberFormat="1" applyFont="1" applyBorder="1" applyAlignment="1">
      <alignment vertical="center"/>
    </xf>
    <xf numFmtId="169" fontId="59" fillId="0" borderId="0" xfId="0" applyNumberFormat="1" applyFont="1" applyAlignment="1">
      <alignment vertical="center" wrapText="1"/>
    </xf>
    <xf numFmtId="0" fontId="60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0" xfId="0" applyFont="1"/>
    <xf numFmtId="0" fontId="5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justify" vertical="center"/>
    </xf>
    <xf numFmtId="0" fontId="62" fillId="0" borderId="66" xfId="0" applyFont="1" applyBorder="1" applyAlignment="1">
      <alignment horizontal="left" vertical="center"/>
    </xf>
    <xf numFmtId="0" fontId="62" fillId="0" borderId="67" xfId="0" applyFont="1" applyBorder="1" applyAlignment="1">
      <alignment vertical="center"/>
    </xf>
    <xf numFmtId="0" fontId="6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3" fontId="97" fillId="0" borderId="0" xfId="22" applyNumberFormat="1" applyAlignment="1">
      <alignment vertical="center"/>
    </xf>
    <xf numFmtId="3" fontId="47" fillId="0" borderId="0" xfId="22" applyNumberFormat="1" applyFont="1" applyAlignment="1">
      <alignment vertical="center"/>
    </xf>
    <xf numFmtId="0" fontId="3" fillId="0" borderId="0" xfId="22" applyFont="1"/>
    <xf numFmtId="0" fontId="97" fillId="0" borderId="0" xfId="22" applyAlignment="1">
      <alignment horizontal="center"/>
    </xf>
    <xf numFmtId="0" fontId="97" fillId="0" borderId="0" xfId="22"/>
    <xf numFmtId="3" fontId="48" fillId="0" borderId="0" xfId="22" applyNumberFormat="1" applyFont="1" applyAlignment="1">
      <alignment vertical="center" wrapText="1"/>
    </xf>
    <xf numFmtId="3" fontId="48" fillId="0" borderId="20" xfId="22" applyNumberFormat="1" applyFont="1" applyBorder="1" applyAlignment="1">
      <alignment vertical="center" wrapText="1"/>
    </xf>
    <xf numFmtId="3" fontId="3" fillId="0" borderId="0" xfId="38" applyNumberFormat="1" applyFont="1" applyAlignment="1">
      <alignment horizontal="left" vertical="center" wrapText="1"/>
    </xf>
    <xf numFmtId="3" fontId="3" fillId="0" borderId="0" xfId="38" applyNumberFormat="1" applyFont="1" applyAlignment="1">
      <alignment horizontal="center" vertical="center" wrapText="1"/>
    </xf>
    <xf numFmtId="0" fontId="3" fillId="0" borderId="44" xfId="22" applyFont="1" applyBorder="1" applyAlignment="1">
      <alignment horizontal="center" vertical="top" wrapText="1"/>
    </xf>
    <xf numFmtId="0" fontId="97" fillId="0" borderId="16" xfId="22" applyBorder="1" applyAlignment="1">
      <alignment horizontal="center" vertical="top" wrapText="1"/>
    </xf>
    <xf numFmtId="0" fontId="3" fillId="0" borderId="45" xfId="22" applyFont="1" applyBorder="1" applyAlignment="1">
      <alignment horizontal="center" vertical="top" wrapText="1"/>
    </xf>
    <xf numFmtId="0" fontId="3" fillId="0" borderId="46" xfId="22" applyFont="1" applyBorder="1" applyAlignment="1">
      <alignment horizontal="center" vertical="top" wrapText="1"/>
    </xf>
    <xf numFmtId="0" fontId="3" fillId="0" borderId="54" xfId="22" applyFont="1" applyBorder="1" applyAlignment="1">
      <alignment horizontal="center" vertical="top" wrapText="1"/>
    </xf>
    <xf numFmtId="49" fontId="51" fillId="0" borderId="10" xfId="22" applyNumberFormat="1" applyFont="1" applyBorder="1"/>
    <xf numFmtId="0" fontId="51" fillId="0" borderId="50" xfId="22" applyFont="1" applyBorder="1" applyAlignment="1">
      <alignment horizontal="right" vertical="top" wrapText="1"/>
    </xf>
    <xf numFmtId="3" fontId="3" fillId="0" borderId="46" xfId="22" applyNumberFormat="1" applyFont="1" applyBorder="1" applyAlignment="1">
      <alignment horizontal="right" vertical="center"/>
    </xf>
    <xf numFmtId="3" fontId="3" fillId="0" borderId="54" xfId="22" applyNumberFormat="1" applyFont="1" applyBorder="1" applyAlignment="1">
      <alignment horizontal="right" vertical="center"/>
    </xf>
    <xf numFmtId="3" fontId="51" fillId="0" borderId="50" xfId="22" applyNumberFormat="1" applyFont="1" applyBorder="1" applyAlignment="1">
      <alignment horizontal="right" vertical="top" wrapText="1"/>
    </xf>
    <xf numFmtId="3" fontId="3" fillId="0" borderId="46" xfId="22" applyNumberFormat="1" applyFont="1" applyBorder="1" applyAlignment="1">
      <alignment vertical="center"/>
    </xf>
    <xf numFmtId="3" fontId="3" fillId="0" borderId="54" xfId="22" applyNumberFormat="1" applyFont="1" applyBorder="1" applyAlignment="1">
      <alignment vertical="center"/>
    </xf>
    <xf numFmtId="43" fontId="3" fillId="0" borderId="54" xfId="1" applyFont="1" applyBorder="1" applyAlignment="1">
      <alignment vertical="center"/>
    </xf>
    <xf numFmtId="0" fontId="97" fillId="0" borderId="8" xfId="22" applyBorder="1" applyAlignment="1">
      <alignment horizontal="center" vertical="top" wrapText="1"/>
    </xf>
    <xf numFmtId="3" fontId="97" fillId="0" borderId="61" xfId="22" applyNumberFormat="1" applyBorder="1" applyAlignment="1">
      <alignment vertical="center" wrapText="1"/>
    </xf>
    <xf numFmtId="3" fontId="97" fillId="0" borderId="61" xfId="22" applyNumberFormat="1" applyBorder="1" applyAlignment="1">
      <alignment horizontal="center" vertical="center" wrapText="1"/>
    </xf>
    <xf numFmtId="169" fontId="0" fillId="0" borderId="61" xfId="1" applyNumberFormat="1" applyFont="1" applyBorder="1" applyAlignment="1">
      <alignment vertical="center" wrapText="1"/>
    </xf>
    <xf numFmtId="3" fontId="97" fillId="0" borderId="61" xfId="22" applyNumberFormat="1" applyBorder="1" applyAlignment="1">
      <alignment vertical="center"/>
    </xf>
    <xf numFmtId="3" fontId="97" fillId="0" borderId="69" xfId="22" applyNumberFormat="1" applyBorder="1" applyAlignment="1">
      <alignment vertical="center"/>
    </xf>
    <xf numFmtId="0" fontId="97" fillId="0" borderId="53" xfId="22" applyBorder="1" applyAlignment="1">
      <alignment horizontal="center" vertical="top" wrapText="1"/>
    </xf>
    <xf numFmtId="3" fontId="97" fillId="0" borderId="31" xfId="22" applyNumberFormat="1" applyBorder="1" applyAlignment="1">
      <alignment vertical="center" wrapText="1"/>
    </xf>
    <xf numFmtId="3" fontId="97" fillId="0" borderId="31" xfId="22" applyNumberFormat="1" applyBorder="1" applyAlignment="1">
      <alignment horizontal="center" vertical="center" wrapText="1"/>
    </xf>
    <xf numFmtId="169" fontId="0" fillId="0" borderId="31" xfId="1" applyNumberFormat="1" applyFont="1" applyBorder="1" applyAlignment="1">
      <alignment vertical="center" wrapText="1"/>
    </xf>
    <xf numFmtId="3" fontId="97" fillId="0" borderId="31" xfId="22" applyNumberFormat="1" applyBorder="1" applyAlignment="1">
      <alignment vertical="center"/>
    </xf>
    <xf numFmtId="3" fontId="97" fillId="0" borderId="32" xfId="22" applyNumberFormat="1" applyBorder="1" applyAlignment="1">
      <alignment vertical="center"/>
    </xf>
    <xf numFmtId="0" fontId="97" fillId="2" borderId="8" xfId="22" applyFill="1" applyBorder="1" applyAlignment="1">
      <alignment horizontal="center" vertical="top" wrapText="1"/>
    </xf>
    <xf numFmtId="3" fontId="97" fillId="2" borderId="9" xfId="22" applyNumberFormat="1" applyFill="1" applyBorder="1" applyAlignment="1">
      <alignment vertical="center" wrapText="1"/>
    </xf>
    <xf numFmtId="3" fontId="97" fillId="2" borderId="9" xfId="22" applyNumberFormat="1" applyFill="1" applyBorder="1" applyAlignment="1">
      <alignment horizontal="center" vertical="center" wrapText="1"/>
    </xf>
    <xf numFmtId="43" fontId="0" fillId="2" borderId="9" xfId="1" applyFont="1" applyFill="1" applyBorder="1" applyAlignment="1">
      <alignment vertical="center" wrapText="1"/>
    </xf>
    <xf numFmtId="43" fontId="0" fillId="2" borderId="9" xfId="1" applyFont="1" applyFill="1" applyBorder="1" applyAlignment="1">
      <alignment vertical="center"/>
    </xf>
    <xf numFmtId="3" fontId="51" fillId="2" borderId="46" xfId="22" applyNumberFormat="1" applyFont="1" applyFill="1" applyBorder="1" applyAlignment="1">
      <alignment horizontal="right" vertical="top" wrapText="1"/>
    </xf>
    <xf numFmtId="3" fontId="3" fillId="2" borderId="46" xfId="22" applyNumberFormat="1" applyFont="1" applyFill="1" applyBorder="1" applyAlignment="1">
      <alignment vertical="center"/>
    </xf>
    <xf numFmtId="43" fontId="3" fillId="2" borderId="46" xfId="1" applyFont="1" applyFill="1" applyBorder="1" applyAlignment="1">
      <alignment vertical="center" wrapText="1"/>
    </xf>
    <xf numFmtId="43" fontId="3" fillId="2" borderId="46" xfId="1" applyFont="1" applyFill="1" applyBorder="1" applyAlignment="1">
      <alignment vertical="center"/>
    </xf>
    <xf numFmtId="0" fontId="97" fillId="0" borderId="33" xfId="22" applyBorder="1" applyAlignment="1">
      <alignment horizontal="center" vertical="top" wrapText="1"/>
    </xf>
    <xf numFmtId="3" fontId="97" fillId="0" borderId="33" xfId="22" applyNumberFormat="1" applyBorder="1" applyAlignment="1">
      <alignment horizontal="left" vertical="center" wrapText="1"/>
    </xf>
    <xf numFmtId="3" fontId="97" fillId="0" borderId="33" xfId="22" applyNumberFormat="1" applyBorder="1" applyAlignment="1">
      <alignment horizontal="center" vertical="center" wrapText="1"/>
    </xf>
    <xf numFmtId="3" fontId="9" fillId="0" borderId="33" xfId="22" applyNumberFormat="1" applyFont="1" applyBorder="1" applyAlignment="1">
      <alignment horizontal="center" vertical="center" wrapText="1"/>
    </xf>
    <xf numFmtId="3" fontId="97" fillId="0" borderId="33" xfId="22" applyNumberFormat="1" applyBorder="1" applyAlignment="1">
      <alignment vertical="center" wrapText="1"/>
    </xf>
    <xf numFmtId="3" fontId="97" fillId="2" borderId="33" xfId="22" applyNumberFormat="1" applyFill="1" applyBorder="1" applyAlignment="1">
      <alignment vertical="center" wrapText="1"/>
    </xf>
    <xf numFmtId="3" fontId="97" fillId="0" borderId="33" xfId="22" applyNumberFormat="1" applyBorder="1" applyAlignment="1">
      <alignment vertical="center"/>
    </xf>
    <xf numFmtId="0" fontId="97" fillId="0" borderId="22" xfId="22" applyBorder="1" applyAlignment="1">
      <alignment horizontal="center" vertical="top" wrapText="1"/>
    </xf>
    <xf numFmtId="3" fontId="97" fillId="0" borderId="22" xfId="22" applyNumberFormat="1" applyBorder="1" applyAlignment="1">
      <alignment horizontal="left" vertical="center" wrapText="1"/>
    </xf>
    <xf numFmtId="3" fontId="97" fillId="0" borderId="22" xfId="22" applyNumberFormat="1" applyBorder="1" applyAlignment="1">
      <alignment horizontal="center" vertical="center" wrapText="1"/>
    </xf>
    <xf numFmtId="3" fontId="9" fillId="0" borderId="22" xfId="22" applyNumberFormat="1" applyFont="1" applyBorder="1" applyAlignment="1">
      <alignment horizontal="center" vertical="center" wrapText="1"/>
    </xf>
    <xf numFmtId="3" fontId="97" fillId="0" borderId="22" xfId="22" applyNumberFormat="1" applyBorder="1" applyAlignment="1">
      <alignment vertical="center" wrapText="1"/>
    </xf>
    <xf numFmtId="3" fontId="97" fillId="2" borderId="22" xfId="22" applyNumberFormat="1" applyFill="1" applyBorder="1" applyAlignment="1">
      <alignment vertical="center" wrapText="1"/>
    </xf>
    <xf numFmtId="3" fontId="97" fillId="0" borderId="22" xfId="22" applyNumberFormat="1" applyBorder="1" applyAlignment="1">
      <alignment vertical="center"/>
    </xf>
    <xf numFmtId="0" fontId="51" fillId="0" borderId="46" xfId="22" applyFont="1" applyBorder="1" applyAlignment="1">
      <alignment horizontal="right" vertical="top" wrapText="1"/>
    </xf>
    <xf numFmtId="3" fontId="51" fillId="0" borderId="46" xfId="22" applyNumberFormat="1" applyFont="1" applyBorder="1" applyAlignment="1">
      <alignment horizontal="right" vertical="top" wrapText="1"/>
    </xf>
    <xf numFmtId="3" fontId="3" fillId="2" borderId="46" xfId="22" applyNumberFormat="1" applyFont="1" applyFill="1" applyBorder="1" applyAlignment="1">
      <alignment vertical="center" wrapText="1"/>
    </xf>
    <xf numFmtId="3" fontId="97" fillId="0" borderId="0" xfId="22" applyNumberFormat="1" applyAlignment="1">
      <alignment vertical="center" wrapText="1"/>
    </xf>
    <xf numFmtId="3" fontId="97" fillId="0" borderId="31" xfId="22" applyNumberFormat="1" applyBorder="1" applyAlignment="1">
      <alignment horizontal="right" vertical="center" wrapText="1"/>
    </xf>
    <xf numFmtId="1" fontId="97" fillId="0" borderId="31" xfId="22" applyNumberFormat="1" applyBorder="1" applyAlignment="1">
      <alignment vertical="top" wrapText="1"/>
    </xf>
    <xf numFmtId="1" fontId="97" fillId="0" borderId="32" xfId="22" applyNumberFormat="1" applyBorder="1" applyAlignment="1">
      <alignment vertical="top" wrapText="1"/>
    </xf>
    <xf numFmtId="0" fontId="51" fillId="0" borderId="39" xfId="22" applyFont="1" applyBorder="1" applyAlignment="1">
      <alignment horizontal="right" vertical="top" wrapText="1"/>
    </xf>
    <xf numFmtId="3" fontId="3" fillId="0" borderId="61" xfId="22" applyNumberFormat="1" applyFont="1" applyBorder="1" applyAlignment="1">
      <alignment horizontal="right" vertical="center" wrapText="1"/>
    </xf>
    <xf numFmtId="1" fontId="3" fillId="0" borderId="61" xfId="22" applyNumberFormat="1" applyFont="1" applyBorder="1" applyAlignment="1">
      <alignment vertical="top" wrapText="1"/>
    </xf>
    <xf numFmtId="1" fontId="3" fillId="0" borderId="69" xfId="22" applyNumberFormat="1" applyFont="1" applyBorder="1" applyAlignment="1">
      <alignment vertical="top" wrapText="1"/>
    </xf>
    <xf numFmtId="49" fontId="3" fillId="0" borderId="46" xfId="22" applyNumberFormat="1" applyFont="1" applyBorder="1" applyAlignment="1">
      <alignment horizontal="right" vertical="top" wrapText="1"/>
    </xf>
    <xf numFmtId="0" fontId="3" fillId="0" borderId="54" xfId="22" applyFont="1" applyBorder="1" applyAlignment="1">
      <alignment horizontal="right" vertical="top" wrapText="1"/>
    </xf>
    <xf numFmtId="0" fontId="3" fillId="0" borderId="4" xfId="22" applyFont="1" applyBorder="1" applyAlignment="1">
      <alignment horizontal="right" vertical="top" wrapText="1"/>
    </xf>
    <xf numFmtId="43" fontId="28" fillId="2" borderId="46" xfId="1" applyFont="1" applyFill="1" applyBorder="1" applyAlignment="1">
      <alignment vertical="center" wrapText="1"/>
    </xf>
    <xf numFmtId="0" fontId="3" fillId="0" borderId="4" xfId="22" applyFont="1" applyBorder="1" applyAlignment="1">
      <alignment horizontal="right"/>
    </xf>
    <xf numFmtId="3" fontId="3" fillId="0" borderId="5" xfId="22" applyNumberFormat="1" applyFont="1" applyBorder="1" applyAlignment="1">
      <alignment horizontal="right" vertical="center"/>
    </xf>
    <xf numFmtId="3" fontId="64" fillId="0" borderId="0" xfId="0" applyNumberFormat="1" applyFont="1"/>
    <xf numFmtId="0" fontId="3" fillId="0" borderId="0" xfId="22" applyFont="1" applyAlignment="1">
      <alignment vertical="top" wrapText="1"/>
    </xf>
    <xf numFmtId="14" fontId="3" fillId="0" borderId="0" xfId="22" applyNumberFormat="1" applyFont="1" applyAlignment="1">
      <alignment horizontal="left" vertical="top" wrapText="1"/>
    </xf>
    <xf numFmtId="0" fontId="3" fillId="0" borderId="0" xfId="22" applyFont="1" applyAlignment="1">
      <alignment horizontal="right" vertical="top" wrapText="1"/>
    </xf>
    <xf numFmtId="0" fontId="3" fillId="0" borderId="0" xfId="22" applyFont="1" applyAlignment="1">
      <alignment horizontal="center"/>
    </xf>
    <xf numFmtId="3" fontId="3" fillId="0" borderId="0" xfId="22" applyNumberFormat="1" applyFont="1" applyAlignment="1">
      <alignment horizontal="center" vertical="center" wrapText="1"/>
    </xf>
    <xf numFmtId="3" fontId="3" fillId="0" borderId="0" xfId="22" applyNumberFormat="1" applyFont="1"/>
    <xf numFmtId="176" fontId="97" fillId="0" borderId="0" xfId="22" applyNumberFormat="1" applyAlignment="1">
      <alignment horizontal="center"/>
    </xf>
    <xf numFmtId="0" fontId="52" fillId="0" borderId="0" xfId="22" applyFont="1" applyAlignment="1">
      <alignment vertical="top" wrapText="1"/>
    </xf>
    <xf numFmtId="43" fontId="97" fillId="0" borderId="0" xfId="22" applyNumberFormat="1"/>
    <xf numFmtId="3" fontId="3" fillId="0" borderId="0" xfId="22" applyNumberFormat="1" applyFont="1" applyAlignment="1">
      <alignment horizontal="left" vertical="center" wrapText="1"/>
    </xf>
    <xf numFmtId="0" fontId="97" fillId="0" borderId="0" xfId="22" applyAlignment="1">
      <alignment horizontal="center" vertical="top" wrapText="1"/>
    </xf>
    <xf numFmtId="0" fontId="97" fillId="0" borderId="0" xfId="22" applyAlignment="1">
      <alignment vertical="top" wrapText="1"/>
    </xf>
    <xf numFmtId="0" fontId="97" fillId="0" borderId="0" xfId="22" applyAlignment="1">
      <alignment horizontal="right" vertical="top" wrapText="1"/>
    </xf>
    <xf numFmtId="0" fontId="97" fillId="0" borderId="0" xfId="22" applyAlignment="1">
      <alignment horizontal="right"/>
    </xf>
    <xf numFmtId="1" fontId="97" fillId="0" borderId="0" xfId="22" applyNumberFormat="1" applyAlignment="1">
      <alignment horizontal="right" vertical="top" wrapText="1"/>
    </xf>
    <xf numFmtId="169" fontId="0" fillId="0" borderId="0" xfId="1" applyNumberFormat="1" applyFont="1" applyAlignment="1">
      <alignment horizontal="right" vertical="top" wrapText="1"/>
    </xf>
    <xf numFmtId="169" fontId="0" fillId="0" borderId="0" xfId="1" applyNumberFormat="1" applyFont="1" applyAlignment="1">
      <alignment horizontal="right"/>
    </xf>
    <xf numFmtId="0" fontId="6" fillId="0" borderId="0" xfId="22" applyFont="1" applyAlignment="1">
      <alignment vertical="top" wrapText="1"/>
    </xf>
    <xf numFmtId="0" fontId="6" fillId="0" borderId="0" xfId="22" applyFont="1" applyAlignment="1">
      <alignment horizontal="right" vertical="top" wrapText="1"/>
    </xf>
    <xf numFmtId="3" fontId="97" fillId="0" borderId="0" xfId="38" applyNumberFormat="1" applyAlignment="1">
      <alignment horizontal="right" vertical="center" wrapText="1"/>
    </xf>
    <xf numFmtId="0" fontId="3" fillId="0" borderId="57" xfId="22" applyFont="1" applyBorder="1" applyAlignment="1">
      <alignment horizontal="center" vertical="top" wrapText="1"/>
    </xf>
    <xf numFmtId="3" fontId="3" fillId="0" borderId="57" xfId="22" applyNumberFormat="1" applyFont="1" applyBorder="1" applyAlignment="1">
      <alignment horizontal="right" vertical="center"/>
    </xf>
    <xf numFmtId="3" fontId="3" fillId="0" borderId="57" xfId="22" applyNumberFormat="1" applyFont="1" applyBorder="1" applyAlignment="1">
      <alignment vertical="center"/>
    </xf>
    <xf numFmtId="0" fontId="1" fillId="0" borderId="0" xfId="22" applyFont="1"/>
    <xf numFmtId="3" fontId="97" fillId="0" borderId="62" xfId="22" applyNumberFormat="1" applyBorder="1" applyAlignment="1">
      <alignment vertical="center"/>
    </xf>
    <xf numFmtId="3" fontId="97" fillId="0" borderId="59" xfId="22" applyNumberFormat="1" applyBorder="1" applyAlignment="1">
      <alignment vertical="center"/>
    </xf>
    <xf numFmtId="43" fontId="0" fillId="2" borderId="13" xfId="1" applyFont="1" applyFill="1" applyBorder="1" applyAlignment="1">
      <alignment vertical="center"/>
    </xf>
    <xf numFmtId="169" fontId="1" fillId="0" borderId="0" xfId="22" applyNumberFormat="1" applyFont="1"/>
    <xf numFmtId="169" fontId="1" fillId="0" borderId="0" xfId="1" applyNumberFormat="1" applyFont="1"/>
    <xf numFmtId="43" fontId="3" fillId="2" borderId="57" xfId="1" applyFont="1" applyFill="1" applyBorder="1" applyAlignment="1">
      <alignment vertical="center"/>
    </xf>
    <xf numFmtId="3" fontId="97" fillId="2" borderId="33" xfId="22" applyNumberFormat="1" applyFill="1" applyBorder="1" applyAlignment="1">
      <alignment vertical="center"/>
    </xf>
    <xf numFmtId="3" fontId="97" fillId="2" borderId="22" xfId="22" applyNumberFormat="1" applyFill="1" applyBorder="1" applyAlignment="1">
      <alignment vertical="center"/>
    </xf>
    <xf numFmtId="3" fontId="1" fillId="0" borderId="0" xfId="22" applyNumberFormat="1" applyFont="1"/>
    <xf numFmtId="3" fontId="3" fillId="2" borderId="57" xfId="22" applyNumberFormat="1" applyFont="1" applyFill="1" applyBorder="1" applyAlignment="1">
      <alignment vertical="center"/>
    </xf>
    <xf numFmtId="1" fontId="97" fillId="0" borderId="59" xfId="22" applyNumberFormat="1" applyBorder="1" applyAlignment="1">
      <alignment vertical="top" wrapText="1"/>
    </xf>
    <xf numFmtId="1" fontId="3" fillId="0" borderId="62" xfId="22" applyNumberFormat="1" applyFont="1" applyBorder="1" applyAlignment="1">
      <alignment vertical="top" wrapText="1"/>
    </xf>
    <xf numFmtId="43" fontId="28" fillId="2" borderId="46" xfId="1" applyFont="1" applyFill="1" applyBorder="1" applyAlignment="1">
      <alignment vertical="center"/>
    </xf>
    <xf numFmtId="43" fontId="28" fillId="2" borderId="57" xfId="1" applyFont="1" applyFill="1" applyBorder="1" applyAlignment="1">
      <alignment vertical="center"/>
    </xf>
    <xf numFmtId="3" fontId="3" fillId="0" borderId="0" xfId="15" applyNumberFormat="1" applyFont="1" applyAlignment="1">
      <alignment horizontal="center" vertical="center"/>
    </xf>
    <xf numFmtId="3" fontId="3" fillId="0" borderId="0" xfId="15" applyNumberFormat="1" applyFont="1" applyAlignment="1">
      <alignment horizontal="left" vertical="center"/>
    </xf>
    <xf numFmtId="3" fontId="97" fillId="2" borderId="9" xfId="22" applyNumberFormat="1" applyFill="1" applyBorder="1" applyAlignment="1">
      <alignment horizontal="left" vertical="center" wrapText="1"/>
    </xf>
    <xf numFmtId="3" fontId="97" fillId="2" borderId="9" xfId="24" applyNumberFormat="1" applyFill="1" applyBorder="1" applyAlignment="1">
      <alignment horizontal="center" vertical="center" wrapText="1"/>
    </xf>
    <xf numFmtId="0" fontId="97" fillId="0" borderId="10" xfId="22" applyBorder="1" applyAlignment="1">
      <alignment horizontal="center" vertical="top" wrapText="1"/>
    </xf>
    <xf numFmtId="3" fontId="97" fillId="0" borderId="12" xfId="22" applyNumberFormat="1" applyBorder="1" applyAlignment="1">
      <alignment horizontal="center" vertical="center" wrapText="1"/>
    </xf>
    <xf numFmtId="3" fontId="97" fillId="0" borderId="12" xfId="24" applyNumberFormat="1" applyBorder="1" applyAlignment="1">
      <alignment horizontal="center" vertical="center" wrapText="1"/>
    </xf>
    <xf numFmtId="3" fontId="97" fillId="2" borderId="33" xfId="22" applyNumberFormat="1" applyFill="1" applyBorder="1" applyAlignment="1">
      <alignment horizontal="left" vertical="center" wrapText="1"/>
    </xf>
    <xf numFmtId="3" fontId="97" fillId="0" borderId="12" xfId="22" applyNumberFormat="1" applyBorder="1" applyAlignment="1">
      <alignment horizontal="left" vertical="center" wrapText="1"/>
    </xf>
    <xf numFmtId="0" fontId="97" fillId="0" borderId="49" xfId="22" applyBorder="1" applyAlignment="1">
      <alignment horizontal="center" vertical="top" wrapText="1"/>
    </xf>
    <xf numFmtId="3" fontId="97" fillId="0" borderId="22" xfId="24" applyNumberFormat="1" applyBorder="1" applyAlignment="1">
      <alignment horizontal="center" vertical="center" wrapText="1"/>
    </xf>
    <xf numFmtId="0" fontId="97" fillId="0" borderId="15" xfId="22" applyBorder="1" applyAlignment="1">
      <alignment horizontal="center" vertical="top" wrapText="1"/>
    </xf>
    <xf numFmtId="3" fontId="97" fillId="0" borderId="16" xfId="22" applyNumberFormat="1" applyBorder="1" applyAlignment="1">
      <alignment horizontal="left" vertical="center" wrapText="1"/>
    </xf>
    <xf numFmtId="3" fontId="97" fillId="0" borderId="16" xfId="22" applyNumberFormat="1" applyBorder="1" applyAlignment="1">
      <alignment horizontal="center" vertical="center" wrapText="1"/>
    </xf>
    <xf numFmtId="3" fontId="97" fillId="0" borderId="16" xfId="24" applyNumberFormat="1" applyBorder="1" applyAlignment="1">
      <alignment horizontal="center" vertical="center" wrapText="1"/>
    </xf>
    <xf numFmtId="3" fontId="97" fillId="16" borderId="22" xfId="22" applyNumberFormat="1" applyFill="1" applyBorder="1" applyAlignment="1">
      <alignment horizontal="center" vertical="center" wrapText="1"/>
    </xf>
    <xf numFmtId="3" fontId="97" fillId="0" borderId="32" xfId="24" applyNumberFormat="1" applyBorder="1" applyAlignment="1">
      <alignment horizontal="center" vertical="center" wrapText="1"/>
    </xf>
    <xf numFmtId="3" fontId="97" fillId="16" borderId="16" xfId="22" applyNumberFormat="1" applyFill="1" applyBorder="1" applyAlignment="1">
      <alignment horizontal="center" vertical="center" wrapText="1"/>
    </xf>
    <xf numFmtId="0" fontId="97" fillId="2" borderId="10" xfId="22" applyFill="1" applyBorder="1" applyAlignment="1">
      <alignment horizontal="center" vertical="top" wrapText="1"/>
    </xf>
    <xf numFmtId="3" fontId="97" fillId="2" borderId="12" xfId="22" applyNumberFormat="1" applyFill="1" applyBorder="1" applyAlignment="1">
      <alignment vertical="center" wrapText="1"/>
    </xf>
    <xf numFmtId="3" fontId="97" fillId="2" borderId="12" xfId="22" applyNumberFormat="1" applyFill="1" applyBorder="1" applyAlignment="1">
      <alignment horizontal="center" vertical="center" wrapText="1"/>
    </xf>
    <xf numFmtId="3" fontId="97" fillId="2" borderId="12" xfId="24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39" xfId="22" applyFont="1" applyBorder="1" applyAlignment="1">
      <alignment horizontal="center" vertical="top" wrapText="1"/>
    </xf>
    <xf numFmtId="49" fontId="3" fillId="0" borderId="47" xfId="22" applyNumberFormat="1" applyFont="1" applyBorder="1" applyAlignment="1">
      <alignment horizontal="center" vertical="center" wrapText="1"/>
    </xf>
    <xf numFmtId="0" fontId="3" fillId="0" borderId="48" xfId="22" applyFont="1" applyBorder="1" applyAlignment="1">
      <alignment horizontal="left" vertical="top" wrapText="1"/>
    </xf>
    <xf numFmtId="3" fontId="97" fillId="0" borderId="33" xfId="22" applyNumberFormat="1" applyBorder="1" applyAlignment="1">
      <alignment horizontal="right" vertical="top" wrapText="1"/>
    </xf>
    <xf numFmtId="3" fontId="97" fillId="0" borderId="34" xfId="22" applyNumberFormat="1" applyBorder="1" applyAlignment="1">
      <alignment horizontal="right" vertical="top" wrapText="1"/>
    </xf>
    <xf numFmtId="49" fontId="3" fillId="0" borderId="10" xfId="22" applyNumberFormat="1" applyFont="1" applyBorder="1" applyAlignment="1">
      <alignment horizontal="center" vertical="center" wrapText="1"/>
    </xf>
    <xf numFmtId="0" fontId="3" fillId="0" borderId="36" xfId="22" applyFont="1" applyBorder="1" applyAlignment="1">
      <alignment horizontal="left" vertical="top" wrapText="1"/>
    </xf>
    <xf numFmtId="3" fontId="97" fillId="0" borderId="12" xfId="22" applyNumberFormat="1" applyBorder="1" applyAlignment="1">
      <alignment horizontal="right" vertical="top" wrapText="1"/>
    </xf>
    <xf numFmtId="3" fontId="97" fillId="0" borderId="11" xfId="22" applyNumberFormat="1" applyBorder="1" applyAlignment="1">
      <alignment horizontal="right" vertical="top" wrapText="1"/>
    </xf>
    <xf numFmtId="0" fontId="3" fillId="0" borderId="12" xfId="22" applyFont="1" applyBorder="1" applyAlignment="1">
      <alignment horizontal="left" vertical="top" wrapText="1"/>
    </xf>
    <xf numFmtId="0" fontId="3" fillId="0" borderId="31" xfId="22" applyFont="1" applyBorder="1" applyAlignment="1">
      <alignment horizontal="left" vertical="top" wrapText="1"/>
    </xf>
    <xf numFmtId="3" fontId="97" fillId="0" borderId="31" xfId="22" applyNumberFormat="1" applyBorder="1" applyAlignment="1">
      <alignment horizontal="right" vertical="top" wrapText="1"/>
    </xf>
    <xf numFmtId="3" fontId="97" fillId="0" borderId="32" xfId="22" applyNumberFormat="1" applyBorder="1" applyAlignment="1">
      <alignment horizontal="right" vertical="top" wrapText="1"/>
    </xf>
    <xf numFmtId="0" fontId="3" fillId="0" borderId="46" xfId="22" applyFont="1" applyBorder="1" applyAlignment="1">
      <alignment horizontal="right" vertical="top" wrapText="1"/>
    </xf>
    <xf numFmtId="49" fontId="3" fillId="0" borderId="47" xfId="22" applyNumberFormat="1" applyFont="1" applyBorder="1" applyAlignment="1">
      <alignment horizontal="center" vertical="top" wrapText="1"/>
    </xf>
    <xf numFmtId="0" fontId="3" fillId="0" borderId="33" xfId="22" applyFont="1" applyBorder="1" applyAlignment="1">
      <alignment horizontal="left" vertical="top" wrapText="1"/>
    </xf>
    <xf numFmtId="0" fontId="97" fillId="0" borderId="33" xfId="22" applyBorder="1"/>
    <xf numFmtId="0" fontId="97" fillId="0" borderId="34" xfId="22" applyBorder="1"/>
    <xf numFmtId="49" fontId="3" fillId="0" borderId="4" xfId="22" applyNumberFormat="1" applyFont="1" applyBorder="1" applyAlignment="1">
      <alignment horizontal="right" vertical="top" wrapText="1"/>
    </xf>
    <xf numFmtId="49" fontId="3" fillId="0" borderId="20" xfId="22" applyNumberFormat="1" applyFont="1" applyBorder="1" applyAlignment="1">
      <alignment horizontal="left" vertical="top" wrapText="1"/>
    </xf>
    <xf numFmtId="3" fontId="97" fillId="0" borderId="12" xfId="22" applyNumberFormat="1" applyBorder="1" applyAlignment="1">
      <alignment vertical="top"/>
    </xf>
    <xf numFmtId="1" fontId="97" fillId="0" borderId="12" xfId="22" applyNumberFormat="1" applyBorder="1" applyAlignment="1">
      <alignment vertical="top"/>
    </xf>
    <xf numFmtId="1" fontId="97" fillId="0" borderId="11" xfId="22" applyNumberFormat="1" applyBorder="1" applyAlignment="1">
      <alignment vertical="top"/>
    </xf>
    <xf numFmtId="49" fontId="3" fillId="0" borderId="49" xfId="22" applyNumberFormat="1" applyFont="1" applyBorder="1" applyAlignment="1">
      <alignment horizontal="center" vertical="center" wrapText="1"/>
    </xf>
    <xf numFmtId="0" fontId="97" fillId="0" borderId="12" xfId="22" applyBorder="1"/>
    <xf numFmtId="0" fontId="97" fillId="0" borderId="11" xfId="22" applyBorder="1"/>
    <xf numFmtId="0" fontId="3" fillId="0" borderId="22" xfId="22" applyFont="1" applyBorder="1" applyAlignment="1">
      <alignment horizontal="left" vertical="top" wrapText="1"/>
    </xf>
    <xf numFmtId="3" fontId="97" fillId="0" borderId="22" xfId="22" applyNumberFormat="1" applyBorder="1" applyAlignment="1">
      <alignment horizontal="right" vertical="top" wrapText="1"/>
    </xf>
    <xf numFmtId="3" fontId="97" fillId="0" borderId="12" xfId="22" applyNumberFormat="1" applyBorder="1" applyAlignment="1">
      <alignment vertical="center" wrapText="1"/>
    </xf>
    <xf numFmtId="1" fontId="97" fillId="0" borderId="12" xfId="22" applyNumberFormat="1" applyBorder="1" applyAlignment="1">
      <alignment vertical="top" wrapText="1"/>
    </xf>
    <xf numFmtId="1" fontId="97" fillId="0" borderId="11" xfId="22" applyNumberFormat="1" applyBorder="1" applyAlignment="1">
      <alignment vertical="top" wrapText="1"/>
    </xf>
    <xf numFmtId="3" fontId="97" fillId="0" borderId="29" xfId="22" applyNumberFormat="1" applyBorder="1" applyAlignment="1">
      <alignment horizontal="right" vertical="top" wrapText="1"/>
    </xf>
    <xf numFmtId="0" fontId="97" fillId="0" borderId="47" xfId="22" applyBorder="1" applyAlignment="1">
      <alignment horizontal="center" vertical="top" wrapText="1"/>
    </xf>
    <xf numFmtId="169" fontId="0" fillId="0" borderId="12" xfId="1" applyNumberFormat="1" applyFont="1" applyBorder="1" applyAlignment="1">
      <alignment vertical="center" wrapText="1"/>
    </xf>
    <xf numFmtId="3" fontId="97" fillId="0" borderId="12" xfId="22" applyNumberFormat="1" applyBorder="1" applyAlignment="1">
      <alignment vertical="center"/>
    </xf>
    <xf numFmtId="3" fontId="97" fillId="0" borderId="11" xfId="22" applyNumberFormat="1" applyBorder="1" applyAlignment="1">
      <alignment vertical="center"/>
    </xf>
    <xf numFmtId="0" fontId="97" fillId="20" borderId="47" xfId="22" applyFill="1" applyBorder="1" applyAlignment="1">
      <alignment horizontal="center" vertical="top" wrapText="1"/>
    </xf>
    <xf numFmtId="3" fontId="3" fillId="20" borderId="12" xfId="22" applyNumberFormat="1" applyFont="1" applyFill="1" applyBorder="1" applyAlignment="1">
      <alignment vertical="center" wrapText="1"/>
    </xf>
    <xf numFmtId="3" fontId="97" fillId="20" borderId="12" xfId="22" applyNumberFormat="1" applyFill="1" applyBorder="1" applyAlignment="1">
      <alignment horizontal="center" vertical="center" wrapText="1"/>
    </xf>
    <xf numFmtId="169" fontId="0" fillId="20" borderId="12" xfId="1" applyNumberFormat="1" applyFont="1" applyFill="1" applyBorder="1" applyAlignment="1">
      <alignment vertical="center" wrapText="1"/>
    </xf>
    <xf numFmtId="3" fontId="97" fillId="20" borderId="12" xfId="22" applyNumberFormat="1" applyFill="1" applyBorder="1" applyAlignment="1">
      <alignment vertical="center" wrapText="1"/>
    </xf>
    <xf numFmtId="3" fontId="97" fillId="20" borderId="12" xfId="22" applyNumberFormat="1" applyFill="1" applyBorder="1" applyAlignment="1">
      <alignment vertical="center"/>
    </xf>
    <xf numFmtId="0" fontId="97" fillId="21" borderId="47" xfId="22" applyFill="1" applyBorder="1" applyAlignment="1">
      <alignment horizontal="center" vertical="top" wrapText="1"/>
    </xf>
    <xf numFmtId="3" fontId="65" fillId="21" borderId="12" xfId="22" applyNumberFormat="1" applyFont="1" applyFill="1" applyBorder="1" applyAlignment="1">
      <alignment vertical="center" wrapText="1"/>
    </xf>
    <xf numFmtId="3" fontId="97" fillId="21" borderId="12" xfId="22" applyNumberFormat="1" applyFill="1" applyBorder="1" applyAlignment="1">
      <alignment horizontal="center" vertical="center" wrapText="1"/>
    </xf>
    <xf numFmtId="169" fontId="0" fillId="21" borderId="12" xfId="1" applyNumberFormat="1" applyFont="1" applyFill="1" applyBorder="1" applyAlignment="1">
      <alignment vertical="center" wrapText="1"/>
    </xf>
    <xf numFmtId="3" fontId="97" fillId="21" borderId="12" xfId="22" applyNumberFormat="1" applyFill="1" applyBorder="1" applyAlignment="1">
      <alignment vertical="center" wrapText="1"/>
    </xf>
    <xf numFmtId="3" fontId="97" fillId="21" borderId="12" xfId="22" applyNumberFormat="1" applyFill="1" applyBorder="1" applyAlignment="1">
      <alignment vertical="center"/>
    </xf>
    <xf numFmtId="3" fontId="97" fillId="21" borderId="11" xfId="22" applyNumberFormat="1" applyFill="1" applyBorder="1" applyAlignment="1">
      <alignment vertical="center"/>
    </xf>
    <xf numFmtId="3" fontId="66" fillId="21" borderId="22" xfId="22" applyNumberFormat="1" applyFont="1" applyFill="1" applyBorder="1" applyAlignment="1">
      <alignment vertical="center" wrapText="1"/>
    </xf>
    <xf numFmtId="3" fontId="97" fillId="21" borderId="22" xfId="22" applyNumberFormat="1" applyFill="1" applyBorder="1" applyAlignment="1">
      <alignment horizontal="center" vertical="center" wrapText="1"/>
    </xf>
    <xf numFmtId="169" fontId="0" fillId="21" borderId="22" xfId="1" applyNumberFormat="1" applyFont="1" applyFill="1" applyBorder="1" applyAlignment="1">
      <alignment vertical="center" wrapText="1"/>
    </xf>
    <xf numFmtId="43" fontId="0" fillId="21" borderId="22" xfId="1" applyFont="1" applyFill="1" applyBorder="1" applyAlignment="1">
      <alignment vertical="center" wrapText="1"/>
    </xf>
    <xf numFmtId="3" fontId="65" fillId="21" borderId="22" xfId="22" applyNumberFormat="1" applyFont="1" applyFill="1" applyBorder="1" applyAlignment="1">
      <alignment vertical="center" wrapText="1"/>
    </xf>
    <xf numFmtId="3" fontId="1" fillId="21" borderId="22" xfId="22" applyNumberFormat="1" applyFont="1" applyFill="1" applyBorder="1" applyAlignment="1">
      <alignment horizontal="center" vertical="center" wrapText="1"/>
    </xf>
    <xf numFmtId="169" fontId="66" fillId="21" borderId="22" xfId="1" applyNumberFormat="1" applyFont="1" applyFill="1" applyBorder="1" applyAlignment="1">
      <alignment vertical="center" wrapText="1"/>
    </xf>
    <xf numFmtId="3" fontId="66" fillId="21" borderId="12" xfId="22" applyNumberFormat="1" applyFont="1" applyFill="1" applyBorder="1" applyAlignment="1">
      <alignment vertical="center" wrapText="1"/>
    </xf>
    <xf numFmtId="3" fontId="66" fillId="21" borderId="12" xfId="22" applyNumberFormat="1" applyFont="1" applyFill="1" applyBorder="1" applyAlignment="1">
      <alignment vertical="center"/>
    </xf>
    <xf numFmtId="3" fontId="66" fillId="21" borderId="11" xfId="22" applyNumberFormat="1" applyFont="1" applyFill="1" applyBorder="1" applyAlignment="1">
      <alignment vertical="center"/>
    </xf>
    <xf numFmtId="3" fontId="66" fillId="21" borderId="22" xfId="22" applyNumberFormat="1" applyFont="1" applyFill="1" applyBorder="1" applyAlignment="1">
      <alignment horizontal="center" vertical="center" wrapText="1"/>
    </xf>
    <xf numFmtId="0" fontId="97" fillId="22" borderId="47" xfId="22" applyFill="1" applyBorder="1" applyAlignment="1">
      <alignment horizontal="center" vertical="top" wrapText="1"/>
    </xf>
    <xf numFmtId="3" fontId="65" fillId="22" borderId="22" xfId="22" applyNumberFormat="1" applyFont="1" applyFill="1" applyBorder="1" applyAlignment="1">
      <alignment vertical="center" wrapText="1"/>
    </xf>
    <xf numFmtId="3" fontId="1" fillId="22" borderId="22" xfId="22" applyNumberFormat="1" applyFont="1" applyFill="1" applyBorder="1" applyAlignment="1">
      <alignment horizontal="center" vertical="center" wrapText="1"/>
    </xf>
    <xf numFmtId="169" fontId="1" fillId="22" borderId="22" xfId="1" applyNumberFormat="1" applyFont="1" applyFill="1" applyBorder="1" applyAlignment="1">
      <alignment vertical="center" wrapText="1"/>
    </xf>
    <xf numFmtId="3" fontId="1" fillId="22" borderId="12" xfId="22" applyNumberFormat="1" applyFont="1" applyFill="1" applyBorder="1" applyAlignment="1">
      <alignment vertical="center" wrapText="1"/>
    </xf>
    <xf numFmtId="3" fontId="1" fillId="22" borderId="12" xfId="22" applyNumberFormat="1" applyFont="1" applyFill="1" applyBorder="1" applyAlignment="1">
      <alignment vertical="center"/>
    </xf>
    <xf numFmtId="3" fontId="1" fillId="22" borderId="11" xfId="22" applyNumberFormat="1" applyFont="1" applyFill="1" applyBorder="1" applyAlignment="1">
      <alignment vertical="center"/>
    </xf>
    <xf numFmtId="3" fontId="66" fillId="22" borderId="22" xfId="22" applyNumberFormat="1" applyFont="1" applyFill="1" applyBorder="1" applyAlignment="1">
      <alignment vertical="center" wrapText="1"/>
    </xf>
    <xf numFmtId="3" fontId="97" fillId="22" borderId="22" xfId="22" applyNumberFormat="1" applyFill="1" applyBorder="1" applyAlignment="1">
      <alignment horizontal="center" vertical="center" wrapText="1"/>
    </xf>
    <xf numFmtId="169" fontId="0" fillId="22" borderId="22" xfId="1" applyNumberFormat="1" applyFont="1" applyFill="1" applyBorder="1" applyAlignment="1">
      <alignment vertical="center" wrapText="1"/>
    </xf>
    <xf numFmtId="3" fontId="97" fillId="22" borderId="12" xfId="22" applyNumberFormat="1" applyFill="1" applyBorder="1" applyAlignment="1">
      <alignment vertical="center" wrapText="1"/>
    </xf>
    <xf numFmtId="3" fontId="97" fillId="22" borderId="12" xfId="22" applyNumberFormat="1" applyFill="1" applyBorder="1" applyAlignment="1">
      <alignment vertical="center"/>
    </xf>
    <xf numFmtId="0" fontId="97" fillId="0" borderId="18" xfId="22" applyBorder="1" applyAlignment="1">
      <alignment horizontal="center" vertical="top" wrapText="1"/>
    </xf>
    <xf numFmtId="3" fontId="97" fillId="0" borderId="26" xfId="22" applyNumberFormat="1" applyBorder="1" applyAlignment="1">
      <alignment vertical="center" wrapText="1"/>
    </xf>
    <xf numFmtId="3" fontId="97" fillId="0" borderId="26" xfId="22" applyNumberFormat="1" applyBorder="1" applyAlignment="1">
      <alignment horizontal="center" vertical="center" wrapText="1"/>
    </xf>
    <xf numFmtId="169" fontId="0" fillId="0" borderId="26" xfId="1" applyNumberFormat="1" applyFont="1" applyBorder="1" applyAlignment="1">
      <alignment vertical="center" wrapText="1"/>
    </xf>
    <xf numFmtId="0" fontId="97" fillId="20" borderId="10" xfId="22" applyFill="1" applyBorder="1" applyAlignment="1">
      <alignment horizontal="center" vertical="top" wrapText="1"/>
    </xf>
    <xf numFmtId="0" fontId="66" fillId="20" borderId="12" xfId="22" applyFont="1" applyFill="1" applyBorder="1" applyAlignment="1">
      <alignment horizontal="left" vertical="top" wrapText="1"/>
    </xf>
    <xf numFmtId="0" fontId="97" fillId="20" borderId="12" xfId="22" applyFill="1" applyBorder="1" applyAlignment="1">
      <alignment horizontal="center" vertical="top" wrapText="1"/>
    </xf>
    <xf numFmtId="3" fontId="97" fillId="20" borderId="12" xfId="22" applyNumberFormat="1" applyFill="1" applyBorder="1" applyAlignment="1">
      <alignment horizontal="center" vertical="top" wrapText="1"/>
    </xf>
    <xf numFmtId="3" fontId="97" fillId="20" borderId="12" xfId="22" applyNumberFormat="1" applyFill="1" applyBorder="1" applyAlignment="1">
      <alignment horizontal="right" vertical="top" wrapText="1"/>
    </xf>
    <xf numFmtId="0" fontId="97" fillId="0" borderId="17" xfId="22" applyBorder="1" applyAlignment="1">
      <alignment horizontal="center" vertical="top" wrapText="1"/>
    </xf>
    <xf numFmtId="3" fontId="97" fillId="0" borderId="58" xfId="22" applyNumberFormat="1" applyBorder="1" applyAlignment="1">
      <alignment horizontal="right" vertical="top" wrapText="1"/>
    </xf>
    <xf numFmtId="3" fontId="97" fillId="0" borderId="14" xfId="22" applyNumberFormat="1" applyBorder="1" applyAlignment="1">
      <alignment horizontal="right" vertical="top" wrapText="1"/>
    </xf>
    <xf numFmtId="3" fontId="97" fillId="0" borderId="59" xfId="22" applyNumberFormat="1" applyBorder="1" applyAlignment="1">
      <alignment horizontal="right" vertical="top" wrapText="1"/>
    </xf>
    <xf numFmtId="0" fontId="3" fillId="0" borderId="57" xfId="22" applyFont="1" applyBorder="1" applyAlignment="1">
      <alignment horizontal="right" vertical="top" wrapText="1"/>
    </xf>
    <xf numFmtId="0" fontId="97" fillId="0" borderId="58" xfId="22" applyBorder="1"/>
    <xf numFmtId="0" fontId="3" fillId="0" borderId="5" xfId="22" applyFont="1" applyBorder="1" applyAlignment="1">
      <alignment horizontal="right" vertical="top" wrapText="1"/>
    </xf>
    <xf numFmtId="3" fontId="97" fillId="0" borderId="14" xfId="22" applyNumberFormat="1" applyBorder="1" applyAlignment="1">
      <alignment vertical="top"/>
    </xf>
    <xf numFmtId="0" fontId="97" fillId="0" borderId="14" xfId="22" applyBorder="1"/>
    <xf numFmtId="3" fontId="97" fillId="0" borderId="14" xfId="22" applyNumberFormat="1" applyBorder="1" applyAlignment="1">
      <alignment vertical="top" wrapText="1"/>
    </xf>
    <xf numFmtId="3" fontId="97" fillId="0" borderId="63" xfId="22" applyNumberFormat="1" applyBorder="1" applyAlignment="1">
      <alignment horizontal="right" vertical="top" wrapText="1"/>
    </xf>
    <xf numFmtId="0" fontId="67" fillId="0" borderId="0" xfId="22" applyFont="1"/>
    <xf numFmtId="3" fontId="97" fillId="0" borderId="14" xfId="22" applyNumberFormat="1" applyBorder="1" applyAlignment="1">
      <alignment vertical="center"/>
    </xf>
    <xf numFmtId="3" fontId="97" fillId="20" borderId="11" xfId="22" applyNumberFormat="1" applyFill="1" applyBorder="1" applyAlignment="1">
      <alignment vertical="center"/>
    </xf>
    <xf numFmtId="3" fontId="97" fillId="20" borderId="14" xfId="22" applyNumberFormat="1" applyFill="1" applyBorder="1" applyAlignment="1">
      <alignment vertical="center"/>
    </xf>
    <xf numFmtId="3" fontId="97" fillId="21" borderId="14" xfId="22" applyNumberFormat="1" applyFill="1" applyBorder="1" applyAlignment="1">
      <alignment vertical="center"/>
    </xf>
    <xf numFmtId="3" fontId="1" fillId="22" borderId="14" xfId="22" applyNumberFormat="1" applyFont="1" applyFill="1" applyBorder="1" applyAlignment="1">
      <alignment vertical="center"/>
    </xf>
    <xf numFmtId="3" fontId="97" fillId="22" borderId="11" xfId="22" applyNumberFormat="1" applyFill="1" applyBorder="1" applyAlignment="1">
      <alignment vertical="center"/>
    </xf>
    <xf numFmtId="3" fontId="97" fillId="22" borderId="14" xfId="22" applyNumberFormat="1" applyFill="1" applyBorder="1" applyAlignment="1">
      <alignment vertical="center"/>
    </xf>
    <xf numFmtId="169" fontId="97" fillId="0" borderId="0" xfId="22" applyNumberFormat="1"/>
    <xf numFmtId="3" fontId="97" fillId="0" borderId="0" xfId="22" applyNumberFormat="1"/>
    <xf numFmtId="0" fontId="97" fillId="22" borderId="10" xfId="22" applyFill="1" applyBorder="1" applyAlignment="1">
      <alignment horizontal="center" vertical="top" wrapText="1"/>
    </xf>
    <xf numFmtId="3" fontId="66" fillId="22" borderId="12" xfId="22" applyNumberFormat="1" applyFont="1" applyFill="1" applyBorder="1" applyAlignment="1">
      <alignment horizontal="left" vertical="center" wrapText="1"/>
    </xf>
    <xf numFmtId="3" fontId="97" fillId="22" borderId="12" xfId="22" applyNumberFormat="1" applyFill="1" applyBorder="1" applyAlignment="1">
      <alignment horizontal="center" vertical="center" wrapText="1"/>
    </xf>
    <xf numFmtId="0" fontId="97" fillId="21" borderId="10" xfId="22" applyFill="1" applyBorder="1" applyAlignment="1">
      <alignment horizontal="center" vertical="top" wrapText="1"/>
    </xf>
    <xf numFmtId="3" fontId="66" fillId="21" borderId="12" xfId="22" applyNumberFormat="1" applyFont="1" applyFill="1" applyBorder="1" applyAlignment="1">
      <alignment horizontal="left" vertical="center" wrapText="1"/>
    </xf>
    <xf numFmtId="0" fontId="97" fillId="23" borderId="10" xfId="22" applyFill="1" applyBorder="1" applyAlignment="1">
      <alignment horizontal="center" vertical="top" wrapText="1"/>
    </xf>
    <xf numFmtId="3" fontId="97" fillId="23" borderId="12" xfId="22" applyNumberFormat="1" applyFill="1" applyBorder="1" applyAlignment="1">
      <alignment horizontal="left" vertical="center" wrapText="1"/>
    </xf>
    <xf numFmtId="3" fontId="97" fillId="23" borderId="12" xfId="22" applyNumberFormat="1" applyFill="1" applyBorder="1" applyAlignment="1">
      <alignment horizontal="center" vertical="center" wrapText="1"/>
    </xf>
    <xf numFmtId="3" fontId="97" fillId="23" borderId="12" xfId="22" applyNumberFormat="1" applyFill="1" applyBorder="1" applyAlignment="1">
      <alignment vertical="center" wrapText="1"/>
    </xf>
    <xf numFmtId="3" fontId="97" fillId="23" borderId="12" xfId="22" applyNumberFormat="1" applyFill="1" applyBorder="1" applyAlignment="1">
      <alignment vertical="center"/>
    </xf>
    <xf numFmtId="0" fontId="51" fillId="0" borderId="20" xfId="22" applyFont="1" applyBorder="1" applyAlignment="1">
      <alignment horizontal="right" vertical="top" wrapText="1"/>
    </xf>
    <xf numFmtId="3" fontId="51" fillId="0" borderId="20" xfId="22" applyNumberFormat="1" applyFont="1" applyBorder="1" applyAlignment="1">
      <alignment horizontal="right" vertical="top" wrapText="1"/>
    </xf>
    <xf numFmtId="3" fontId="3" fillId="0" borderId="52" xfId="22" applyNumberFormat="1" applyFont="1" applyBorder="1" applyAlignment="1">
      <alignment vertical="center"/>
    </xf>
    <xf numFmtId="3" fontId="3" fillId="0" borderId="46" xfId="22" applyNumberFormat="1" applyFont="1" applyBorder="1" applyAlignment="1">
      <alignment vertical="center" wrapText="1"/>
    </xf>
    <xf numFmtId="49" fontId="3" fillId="0" borderId="8" xfId="22" applyNumberFormat="1" applyFont="1" applyBorder="1" applyAlignment="1">
      <alignment horizontal="center" vertical="top" wrapText="1"/>
    </xf>
    <xf numFmtId="49" fontId="3" fillId="0" borderId="70" xfId="22" applyNumberFormat="1" applyFont="1" applyBorder="1" applyAlignment="1">
      <alignment horizontal="left" vertical="top" wrapText="1"/>
    </xf>
    <xf numFmtId="3" fontId="3" fillId="0" borderId="9" xfId="22" applyNumberFormat="1" applyFont="1" applyBorder="1"/>
    <xf numFmtId="3" fontId="3" fillId="0" borderId="41" xfId="22" applyNumberFormat="1" applyFont="1" applyBorder="1"/>
    <xf numFmtId="49" fontId="3" fillId="0" borderId="36" xfId="22" applyNumberFormat="1" applyFont="1" applyBorder="1" applyAlignment="1">
      <alignment horizontal="left" vertical="top" wrapText="1"/>
    </xf>
    <xf numFmtId="3" fontId="97" fillId="0" borderId="11" xfId="22" applyNumberFormat="1" applyBorder="1" applyAlignment="1">
      <alignment vertical="center" wrapText="1"/>
    </xf>
    <xf numFmtId="49" fontId="3" fillId="0" borderId="10" xfId="22" applyNumberFormat="1" applyFont="1" applyBorder="1" applyAlignment="1">
      <alignment horizontal="right" vertical="top" wrapText="1"/>
    </xf>
    <xf numFmtId="3" fontId="97" fillId="0" borderId="12" xfId="22" applyNumberFormat="1" applyBorder="1"/>
    <xf numFmtId="3" fontId="97" fillId="0" borderId="11" xfId="22" applyNumberFormat="1" applyBorder="1"/>
    <xf numFmtId="49" fontId="3" fillId="0" borderId="12" xfId="22" applyNumberFormat="1" applyFont="1" applyBorder="1" applyAlignment="1">
      <alignment horizontal="left" vertical="top" wrapText="1"/>
    </xf>
    <xf numFmtId="1" fontId="97" fillId="0" borderId="12" xfId="22" applyNumberFormat="1" applyBorder="1" applyAlignment="1">
      <alignment vertical="center" wrapText="1"/>
    </xf>
    <xf numFmtId="1" fontId="97" fillId="0" borderId="11" xfId="22" applyNumberFormat="1" applyBorder="1" applyAlignment="1">
      <alignment vertical="center" wrapText="1"/>
    </xf>
    <xf numFmtId="49" fontId="3" fillId="0" borderId="43" xfId="22" applyNumberFormat="1" applyFont="1" applyBorder="1" applyAlignment="1">
      <alignment horizontal="right" vertical="top" wrapText="1"/>
    </xf>
    <xf numFmtId="3" fontId="97" fillId="0" borderId="52" xfId="22" applyNumberFormat="1" applyBorder="1"/>
    <xf numFmtId="3" fontId="97" fillId="0" borderId="31" xfId="22" applyNumberFormat="1" applyBorder="1"/>
    <xf numFmtId="49" fontId="3" fillId="0" borderId="8" xfId="22" applyNumberFormat="1" applyFont="1" applyBorder="1" applyAlignment="1">
      <alignment horizontal="right" vertical="top" wrapText="1"/>
    </xf>
    <xf numFmtId="3" fontId="97" fillId="0" borderId="9" xfId="22" applyNumberFormat="1" applyBorder="1"/>
    <xf numFmtId="3" fontId="97" fillId="0" borderId="41" xfId="22" applyNumberFormat="1" applyBorder="1"/>
    <xf numFmtId="49" fontId="3" fillId="0" borderId="15" xfId="22" applyNumberFormat="1" applyFont="1" applyBorder="1" applyAlignment="1">
      <alignment horizontal="right" vertical="top" wrapText="1"/>
    </xf>
    <xf numFmtId="49" fontId="3" fillId="0" borderId="71" xfId="22" applyNumberFormat="1" applyFont="1" applyBorder="1" applyAlignment="1">
      <alignment horizontal="left" vertical="top" wrapText="1"/>
    </xf>
    <xf numFmtId="3" fontId="97" fillId="0" borderId="16" xfId="22" applyNumberFormat="1" applyBorder="1"/>
    <xf numFmtId="3" fontId="97" fillId="0" borderId="51" xfId="22" applyNumberFormat="1" applyBorder="1"/>
    <xf numFmtId="3" fontId="3" fillId="0" borderId="50" xfId="22" applyNumberFormat="1" applyFont="1" applyBorder="1" applyAlignment="1">
      <alignment horizontal="right" vertical="center"/>
    </xf>
    <xf numFmtId="3" fontId="28" fillId="0" borderId="5" xfId="22" applyNumberFormat="1" applyFont="1" applyBorder="1" applyAlignment="1">
      <alignment horizontal="right" vertical="center"/>
    </xf>
    <xf numFmtId="0" fontId="6" fillId="0" borderId="0" xfId="22" applyFont="1" applyAlignment="1">
      <alignment horizontal="center" vertical="top" wrapText="1"/>
    </xf>
    <xf numFmtId="3" fontId="97" fillId="23" borderId="14" xfId="22" applyNumberFormat="1" applyFill="1" applyBorder="1" applyAlignment="1">
      <alignment vertical="center"/>
    </xf>
    <xf numFmtId="3" fontId="3" fillId="0" borderId="60" xfId="22" applyNumberFormat="1" applyFont="1" applyBorder="1" applyAlignment="1">
      <alignment vertical="center"/>
    </xf>
    <xf numFmtId="3" fontId="3" fillId="0" borderId="57" xfId="22" applyNumberFormat="1" applyFont="1" applyBorder="1" applyAlignment="1">
      <alignment vertical="center" wrapText="1"/>
    </xf>
    <xf numFmtId="3" fontId="3" fillId="0" borderId="13" xfId="22" applyNumberFormat="1" applyFont="1" applyBorder="1"/>
    <xf numFmtId="3" fontId="97" fillId="0" borderId="13" xfId="22" applyNumberFormat="1" applyBorder="1"/>
    <xf numFmtId="3" fontId="97" fillId="0" borderId="17" xfId="22" applyNumberFormat="1" applyBorder="1"/>
    <xf numFmtId="43" fontId="0" fillId="2" borderId="12" xfId="1" applyFont="1" applyFill="1" applyBorder="1" applyAlignment="1">
      <alignment vertical="center" wrapText="1"/>
    </xf>
    <xf numFmtId="43" fontId="0" fillId="2" borderId="16" xfId="1" applyFont="1" applyFill="1" applyBorder="1" applyAlignment="1">
      <alignment vertical="center" wrapText="1"/>
    </xf>
    <xf numFmtId="43" fontId="0" fillId="2" borderId="12" xfId="1" applyFont="1" applyFill="1" applyBorder="1" applyAlignment="1">
      <alignment vertical="center"/>
    </xf>
    <xf numFmtId="169" fontId="0" fillId="2" borderId="12" xfId="1" applyNumberFormat="1" applyFont="1" applyFill="1" applyBorder="1" applyAlignment="1">
      <alignment vertical="center" wrapText="1"/>
    </xf>
    <xf numFmtId="0" fontId="97" fillId="2" borderId="15" xfId="22" applyFill="1" applyBorder="1" applyAlignment="1">
      <alignment horizontal="center" vertical="top" wrapText="1"/>
    </xf>
    <xf numFmtId="3" fontId="66" fillId="2" borderId="16" xfId="24" applyNumberFormat="1" applyFont="1" applyFill="1" applyBorder="1" applyAlignment="1">
      <alignment vertical="center" wrapText="1"/>
    </xf>
    <xf numFmtId="3" fontId="97" fillId="2" borderId="16" xfId="24" applyNumberFormat="1" applyFill="1" applyBorder="1" applyAlignment="1">
      <alignment horizontal="center" vertical="center" wrapText="1"/>
    </xf>
    <xf numFmtId="169" fontId="0" fillId="2" borderId="16" xfId="48" applyNumberFormat="1" applyFont="1" applyFill="1" applyBorder="1" applyAlignment="1">
      <alignment vertical="center" wrapText="1"/>
    </xf>
    <xf numFmtId="3" fontId="97" fillId="2" borderId="16" xfId="22" applyNumberFormat="1" applyFill="1" applyBorder="1" applyAlignment="1">
      <alignment vertical="center" wrapText="1"/>
    </xf>
    <xf numFmtId="43" fontId="0" fillId="2" borderId="16" xfId="1" applyFont="1" applyFill="1" applyBorder="1" applyAlignment="1">
      <alignment vertical="center"/>
    </xf>
    <xf numFmtId="3" fontId="97" fillId="0" borderId="0" xfId="24" applyNumberFormat="1" applyAlignment="1">
      <alignment vertical="center" wrapText="1"/>
    </xf>
    <xf numFmtId="43" fontId="97" fillId="0" borderId="31" xfId="22" applyNumberFormat="1" applyBorder="1" applyAlignment="1">
      <alignment horizontal="right" vertical="center" wrapText="1"/>
    </xf>
    <xf numFmtId="43" fontId="97" fillId="0" borderId="31" xfId="22" applyNumberFormat="1" applyBorder="1" applyAlignment="1">
      <alignment vertical="top" wrapText="1"/>
    </xf>
    <xf numFmtId="43" fontId="97" fillId="0" borderId="32" xfId="22" applyNumberFormat="1" applyBorder="1" applyAlignment="1">
      <alignment vertical="top" wrapText="1"/>
    </xf>
    <xf numFmtId="43" fontId="3" fillId="0" borderId="61" xfId="1" applyFont="1" applyBorder="1" applyAlignment="1">
      <alignment vertical="top" wrapText="1"/>
    </xf>
    <xf numFmtId="43" fontId="3" fillId="0" borderId="69" xfId="1" applyFont="1" applyBorder="1" applyAlignment="1">
      <alignment vertical="top" wrapText="1"/>
    </xf>
    <xf numFmtId="43" fontId="0" fillId="2" borderId="14" xfId="1" applyFont="1" applyFill="1" applyBorder="1" applyAlignment="1">
      <alignment vertical="center"/>
    </xf>
    <xf numFmtId="43" fontId="0" fillId="2" borderId="17" xfId="1" applyFont="1" applyFill="1" applyBorder="1" applyAlignment="1">
      <alignment vertical="center"/>
    </xf>
    <xf numFmtId="43" fontId="1" fillId="0" borderId="0" xfId="1" applyFont="1"/>
    <xf numFmtId="43" fontId="97" fillId="0" borderId="59" xfId="22" applyNumberFormat="1" applyBorder="1" applyAlignment="1">
      <alignment vertical="top" wrapText="1"/>
    </xf>
    <xf numFmtId="43" fontId="3" fillId="0" borderId="62" xfId="1" applyFont="1" applyBorder="1" applyAlignment="1">
      <alignment vertical="top" wrapText="1"/>
    </xf>
    <xf numFmtId="10" fontId="97" fillId="0" borderId="0" xfId="22" applyNumberFormat="1"/>
    <xf numFmtId="9" fontId="0" fillId="0" borderId="0" xfId="2" applyFont="1"/>
    <xf numFmtId="43" fontId="3" fillId="0" borderId="0" xfId="1" applyFont="1"/>
    <xf numFmtId="43" fontId="3" fillId="0" borderId="0" xfId="22" applyNumberFormat="1" applyFont="1"/>
    <xf numFmtId="3" fontId="97" fillId="2" borderId="0" xfId="22" applyNumberFormat="1" applyFill="1" applyAlignment="1">
      <alignment vertical="center"/>
    </xf>
    <xf numFmtId="0" fontId="97" fillId="2" borderId="0" xfId="22" applyFill="1"/>
    <xf numFmtId="3" fontId="47" fillId="2" borderId="0" xfId="22" applyNumberFormat="1" applyFont="1" applyFill="1" applyAlignment="1">
      <alignment vertical="center"/>
    </xf>
    <xf numFmtId="0" fontId="97" fillId="0" borderId="0" xfId="24"/>
    <xf numFmtId="0" fontId="97" fillId="16" borderId="0" xfId="22" applyFill="1"/>
    <xf numFmtId="3" fontId="48" fillId="2" borderId="0" xfId="22" applyNumberFormat="1" applyFont="1" applyFill="1" applyAlignment="1">
      <alignment vertical="center" wrapText="1"/>
    </xf>
    <xf numFmtId="3" fontId="48" fillId="2" borderId="20" xfId="22" applyNumberFormat="1" applyFont="1" applyFill="1" applyBorder="1" applyAlignment="1">
      <alignment vertical="center" wrapText="1"/>
    </xf>
    <xf numFmtId="3" fontId="3" fillId="2" borderId="0" xfId="38" applyNumberFormat="1" applyFont="1" applyFill="1" applyAlignment="1">
      <alignment horizontal="left" vertical="center" wrapText="1"/>
    </xf>
    <xf numFmtId="3" fontId="3" fillId="2" borderId="0" xfId="38" applyNumberFormat="1" applyFont="1" applyFill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top" wrapText="1"/>
    </xf>
    <xf numFmtId="0" fontId="3" fillId="0" borderId="70" xfId="0" applyFont="1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 wrapText="1"/>
    </xf>
    <xf numFmtId="3" fontId="0" fillId="0" borderId="41" xfId="0" applyNumberFormat="1" applyBorder="1" applyAlignment="1">
      <alignment horizontal="right" vertical="top" wrapText="1"/>
    </xf>
    <xf numFmtId="49" fontId="3" fillId="0" borderId="10" xfId="0" applyNumberFormat="1" applyFont="1" applyBorder="1" applyAlignment="1">
      <alignment horizontal="center" vertical="top" wrapText="1"/>
    </xf>
    <xf numFmtId="0" fontId="3" fillId="0" borderId="36" xfId="0" applyFont="1" applyBorder="1" applyAlignment="1">
      <alignment horizontal="left" vertical="top" wrapText="1"/>
    </xf>
    <xf numFmtId="3" fontId="0" fillId="0" borderId="12" xfId="0" applyNumberFormat="1" applyBorder="1" applyAlignment="1">
      <alignment horizontal="right" vertical="top" wrapText="1"/>
    </xf>
    <xf numFmtId="3" fontId="0" fillId="0" borderId="11" xfId="0" applyNumberFormat="1" applyBorder="1" applyAlignment="1">
      <alignment horizontal="right" vertical="top" wrapText="1"/>
    </xf>
    <xf numFmtId="49" fontId="3" fillId="0" borderId="49" xfId="0" applyNumberFormat="1" applyFont="1" applyBorder="1" applyAlignment="1">
      <alignment horizontal="center" vertical="top" wrapText="1"/>
    </xf>
    <xf numFmtId="0" fontId="3" fillId="0" borderId="72" xfId="0" applyFont="1" applyBorder="1" applyAlignment="1">
      <alignment horizontal="left" vertical="top" wrapText="1"/>
    </xf>
    <xf numFmtId="43" fontId="3" fillId="0" borderId="12" xfId="1" applyFont="1" applyBorder="1" applyAlignment="1">
      <alignment horizontal="right" vertical="center" wrapText="1"/>
    </xf>
    <xf numFmtId="43" fontId="3" fillId="0" borderId="11" xfId="1" applyFont="1" applyBorder="1" applyAlignment="1">
      <alignment vertical="center" wrapText="1"/>
    </xf>
    <xf numFmtId="49" fontId="97" fillId="0" borderId="10" xfId="24" applyNumberFormat="1" applyBorder="1" applyAlignment="1">
      <alignment horizontal="center" vertical="center" wrapText="1"/>
    </xf>
    <xf numFmtId="0" fontId="97" fillId="0" borderId="12" xfId="24" applyBorder="1" applyAlignment="1">
      <alignment horizontal="left" vertical="top" wrapText="1"/>
    </xf>
    <xf numFmtId="43" fontId="0" fillId="0" borderId="12" xfId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49" fontId="3" fillId="0" borderId="52" xfId="22" applyNumberFormat="1" applyFont="1" applyBorder="1" applyAlignment="1">
      <alignment horizontal="right" vertical="top" wrapText="1"/>
    </xf>
    <xf numFmtId="3" fontId="3" fillId="0" borderId="52" xfId="22" applyNumberFormat="1" applyFont="1" applyBorder="1" applyAlignment="1">
      <alignment horizontal="right" vertical="top" wrapText="1"/>
    </xf>
    <xf numFmtId="0" fontId="3" fillId="0" borderId="9" xfId="22" applyFont="1" applyBorder="1" applyAlignment="1">
      <alignment horizontal="left" vertical="top" wrapText="1"/>
    </xf>
    <xf numFmtId="0" fontId="97" fillId="0" borderId="9" xfId="22" applyBorder="1"/>
    <xf numFmtId="49" fontId="3" fillId="0" borderId="46" xfId="28" applyNumberFormat="1" applyFont="1" applyBorder="1" applyAlignment="1">
      <alignment horizontal="right" vertical="top" wrapText="1"/>
    </xf>
    <xf numFmtId="3" fontId="3" fillId="0" borderId="46" xfId="28" applyNumberFormat="1" applyFont="1" applyBorder="1" applyAlignment="1">
      <alignment horizontal="right" vertical="center"/>
    </xf>
    <xf numFmtId="3" fontId="3" fillId="0" borderId="46" xfId="22" applyNumberFormat="1" applyFont="1" applyBorder="1" applyAlignment="1">
      <alignment horizontal="right" vertical="center" wrapText="1"/>
    </xf>
    <xf numFmtId="49" fontId="97" fillId="0" borderId="10" xfId="22" applyNumberFormat="1" applyBorder="1" applyAlignment="1">
      <alignment horizontal="center" vertical="top" wrapText="1"/>
    </xf>
    <xf numFmtId="3" fontId="97" fillId="0" borderId="12" xfId="24" applyNumberFormat="1" applyBorder="1" applyAlignment="1">
      <alignment vertical="center" wrapText="1"/>
    </xf>
    <xf numFmtId="43" fontId="0" fillId="0" borderId="30" xfId="1" applyFont="1" applyBorder="1" applyAlignment="1">
      <alignment horizontal="right" vertical="center" wrapText="1"/>
    </xf>
    <xf numFmtId="43" fontId="5" fillId="0" borderId="12" xfId="1" applyFont="1" applyBorder="1" applyAlignment="1">
      <alignment horizontal="right" vertical="center"/>
    </xf>
    <xf numFmtId="3" fontId="97" fillId="0" borderId="34" xfId="24" applyNumberFormat="1" applyBorder="1" applyAlignment="1">
      <alignment vertical="center" wrapText="1"/>
    </xf>
    <xf numFmtId="3" fontId="97" fillId="0" borderId="34" xfId="24" applyNumberFormat="1" applyBorder="1" applyAlignment="1">
      <alignment horizontal="center" vertical="center"/>
    </xf>
    <xf numFmtId="43" fontId="3" fillId="0" borderId="50" xfId="1" applyFont="1" applyBorder="1" applyAlignment="1">
      <alignment horizontal="right" vertical="center" wrapText="1"/>
    </xf>
    <xf numFmtId="43" fontId="0" fillId="0" borderId="61" xfId="1" applyFont="1" applyBorder="1" applyAlignment="1">
      <alignment vertical="center" wrapText="1"/>
    </xf>
    <xf numFmtId="43" fontId="0" fillId="0" borderId="50" xfId="1" applyFont="1" applyBorder="1" applyAlignment="1">
      <alignment horizontal="right" vertical="center" wrapText="1"/>
    </xf>
    <xf numFmtId="3" fontId="97" fillId="0" borderId="22" xfId="24" applyNumberFormat="1" applyBorder="1" applyAlignment="1">
      <alignment vertical="center" wrapText="1"/>
    </xf>
    <xf numFmtId="43" fontId="68" fillId="0" borderId="22" xfId="1" applyFont="1" applyBorder="1" applyAlignment="1">
      <alignment horizontal="center" vertical="center" wrapText="1"/>
    </xf>
    <xf numFmtId="43" fontId="5" fillId="0" borderId="22" xfId="1" applyFont="1" applyBorder="1" applyAlignment="1">
      <alignment horizontal="right" vertical="center"/>
    </xf>
    <xf numFmtId="0" fontId="97" fillId="0" borderId="40" xfId="22" applyBorder="1" applyAlignment="1">
      <alignment horizontal="center" vertical="top" wrapText="1"/>
    </xf>
    <xf numFmtId="3" fontId="97" fillId="0" borderId="61" xfId="22" applyNumberFormat="1" applyBorder="1" applyAlignment="1">
      <alignment horizontal="left" vertical="center" wrapText="1"/>
    </xf>
    <xf numFmtId="0" fontId="51" fillId="0" borderId="4" xfId="22" applyFont="1" applyBorder="1" applyAlignment="1">
      <alignment horizontal="right" vertical="top" wrapText="1"/>
    </xf>
    <xf numFmtId="0" fontId="3" fillId="2" borderId="0" xfId="22" applyFont="1" applyFill="1" applyAlignment="1">
      <alignment vertical="top" wrapText="1"/>
    </xf>
    <xf numFmtId="175" fontId="3" fillId="2" borderId="0" xfId="1" applyNumberFormat="1" applyFont="1" applyFill="1" applyAlignment="1">
      <alignment horizontal="right" vertical="top" wrapText="1"/>
    </xf>
    <xf numFmtId="174" fontId="3" fillId="2" borderId="0" xfId="22" applyNumberFormat="1" applyFont="1" applyFill="1" applyAlignment="1">
      <alignment horizontal="right"/>
    </xf>
    <xf numFmtId="0" fontId="3" fillId="2" borderId="0" xfId="22" applyFont="1" applyFill="1" applyAlignment="1">
      <alignment horizontal="right" vertical="top" wrapText="1"/>
    </xf>
    <xf numFmtId="0" fontId="3" fillId="2" borderId="0" xfId="22" applyFont="1" applyFill="1" applyAlignment="1">
      <alignment horizontal="center"/>
    </xf>
    <xf numFmtId="3" fontId="3" fillId="2" borderId="0" xfId="22" applyNumberFormat="1" applyFont="1" applyFill="1"/>
    <xf numFmtId="176" fontId="97" fillId="2" borderId="0" xfId="22" applyNumberFormat="1" applyFill="1" applyAlignment="1">
      <alignment horizontal="center"/>
    </xf>
    <xf numFmtId="0" fontId="3" fillId="2" borderId="0" xfId="22" applyFont="1" applyFill="1"/>
    <xf numFmtId="3" fontId="97" fillId="2" borderId="0" xfId="38" applyNumberFormat="1" applyFill="1" applyAlignment="1">
      <alignment horizontal="right" vertical="center" wrapText="1"/>
    </xf>
    <xf numFmtId="0" fontId="97" fillId="0" borderId="51" xfId="22" applyBorder="1" applyAlignment="1">
      <alignment horizontal="center" vertical="top" wrapText="1"/>
    </xf>
    <xf numFmtId="0" fontId="0" fillId="0" borderId="9" xfId="0" applyBorder="1"/>
    <xf numFmtId="0" fontId="0" fillId="0" borderId="13" xfId="0" applyBorder="1"/>
    <xf numFmtId="43" fontId="3" fillId="0" borderId="12" xfId="1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43" fontId="0" fillId="0" borderId="11" xfId="1" applyFont="1" applyBorder="1" applyAlignment="1">
      <alignment horizontal="right" vertical="center"/>
    </xf>
    <xf numFmtId="3" fontId="3" fillId="0" borderId="52" xfId="22" applyNumberFormat="1" applyFont="1" applyBorder="1" applyAlignment="1">
      <alignment horizontal="right" vertical="center" wrapText="1"/>
    </xf>
    <xf numFmtId="3" fontId="3" fillId="0" borderId="60" xfId="22" applyNumberFormat="1" applyFont="1" applyBorder="1" applyAlignment="1">
      <alignment horizontal="right" vertical="center" wrapText="1"/>
    </xf>
    <xf numFmtId="0" fontId="97" fillId="0" borderId="41" xfId="22" applyBorder="1"/>
    <xf numFmtId="0" fontId="97" fillId="0" borderId="13" xfId="22" applyBorder="1"/>
    <xf numFmtId="3" fontId="3" fillId="0" borderId="57" xfId="22" applyNumberFormat="1" applyFont="1" applyBorder="1" applyAlignment="1">
      <alignment horizontal="right" vertical="center" wrapText="1"/>
    </xf>
    <xf numFmtId="0" fontId="69" fillId="18" borderId="0" xfId="0" applyFont="1" applyFill="1" applyAlignment="1">
      <alignment vertical="center"/>
    </xf>
    <xf numFmtId="43" fontId="0" fillId="0" borderId="22" xfId="1" applyFont="1" applyBorder="1" applyAlignment="1">
      <alignment horizontal="right" vertical="center" wrapText="1"/>
    </xf>
    <xf numFmtId="43" fontId="0" fillId="0" borderId="63" xfId="1" applyFont="1" applyBorder="1" applyAlignment="1">
      <alignment horizontal="right" vertical="center" wrapText="1"/>
    </xf>
    <xf numFmtId="0" fontId="1" fillId="16" borderId="0" xfId="22" applyFont="1" applyFill="1"/>
    <xf numFmtId="3" fontId="3" fillId="0" borderId="62" xfId="22" applyNumberFormat="1" applyFont="1" applyBorder="1" applyAlignment="1">
      <alignment horizontal="right" vertical="center" wrapText="1"/>
    </xf>
    <xf numFmtId="3" fontId="3" fillId="2" borderId="0" xfId="15" applyNumberFormat="1" applyFont="1" applyFill="1" applyAlignment="1">
      <alignment horizontal="center" vertical="center"/>
    </xf>
    <xf numFmtId="3" fontId="3" fillId="2" borderId="0" xfId="15" applyNumberFormat="1" applyFont="1" applyFill="1" applyAlignment="1">
      <alignment horizontal="left" vertical="center"/>
    </xf>
    <xf numFmtId="43" fontId="0" fillId="0" borderId="12" xfId="1" applyFont="1" applyBorder="1" applyAlignment="1">
      <alignment horizontal="center" vertical="center"/>
    </xf>
    <xf numFmtId="43" fontId="68" fillId="0" borderId="34" xfId="1" applyFont="1" applyBorder="1" applyAlignment="1">
      <alignment horizontal="center" vertical="center"/>
    </xf>
    <xf numFmtId="3" fontId="97" fillId="0" borderId="16" xfId="24" applyNumberFormat="1" applyBorder="1" applyAlignment="1">
      <alignment vertical="center" wrapText="1"/>
    </xf>
    <xf numFmtId="43" fontId="0" fillId="0" borderId="16" xfId="1" applyFont="1" applyBorder="1" applyAlignment="1">
      <alignment horizontal="center" vertical="center" wrapText="1"/>
    </xf>
    <xf numFmtId="43" fontId="0" fillId="0" borderId="34" xfId="1" applyFont="1" applyBorder="1" applyAlignment="1">
      <alignment horizontal="center" vertical="center"/>
    </xf>
    <xf numFmtId="3" fontId="97" fillId="0" borderId="12" xfId="24" applyNumberFormat="1" applyBorder="1" applyAlignment="1">
      <alignment horizontal="left" vertical="center" wrapText="1"/>
    </xf>
    <xf numFmtId="0" fontId="97" fillId="0" borderId="12" xfId="24" applyBorder="1"/>
    <xf numFmtId="3" fontId="97" fillId="0" borderId="31" xfId="24" applyNumberFormat="1" applyBorder="1" applyAlignment="1">
      <alignment horizontal="left" vertical="center" wrapText="1"/>
    </xf>
    <xf numFmtId="3" fontId="97" fillId="0" borderId="34" xfId="24" applyNumberFormat="1" applyBorder="1" applyAlignment="1">
      <alignment horizontal="center" vertical="center" wrapText="1"/>
    </xf>
    <xf numFmtId="43" fontId="0" fillId="0" borderId="34" xfId="1" applyFont="1" applyBorder="1" applyAlignment="1">
      <alignment horizontal="center" vertical="center" wrapText="1"/>
    </xf>
    <xf numFmtId="3" fontId="97" fillId="0" borderId="9" xfId="22" applyNumberFormat="1" applyBorder="1" applyAlignment="1">
      <alignment vertical="center" wrapText="1"/>
    </xf>
    <xf numFmtId="3" fontId="97" fillId="0" borderId="9" xfId="22" applyNumberFormat="1" applyBorder="1" applyAlignment="1">
      <alignment horizontal="center" vertical="center" wrapText="1"/>
    </xf>
    <xf numFmtId="43" fontId="0" fillId="0" borderId="9" xfId="1" applyFont="1" applyBorder="1" applyAlignment="1">
      <alignment horizontal="center" vertical="center" wrapText="1"/>
    </xf>
    <xf numFmtId="43" fontId="0" fillId="0" borderId="9" xfId="1" applyFont="1" applyBorder="1" applyAlignment="1">
      <alignment vertical="center" wrapText="1"/>
    </xf>
    <xf numFmtId="43" fontId="0" fillId="0" borderId="74" xfId="1" applyFont="1" applyBorder="1" applyAlignment="1">
      <alignment horizontal="right" vertical="center" wrapText="1"/>
    </xf>
    <xf numFmtId="43" fontId="5" fillId="0" borderId="9" xfId="1" applyFont="1" applyBorder="1" applyAlignment="1">
      <alignment horizontal="right" vertical="center"/>
    </xf>
    <xf numFmtId="3" fontId="97" fillId="0" borderId="31" xfId="24" applyNumberFormat="1" applyBorder="1" applyAlignment="1">
      <alignment vertical="center" wrapText="1"/>
    </xf>
    <xf numFmtId="3" fontId="97" fillId="0" borderId="31" xfId="24" applyNumberFormat="1" applyBorder="1" applyAlignment="1">
      <alignment horizontal="center" vertical="center" wrapText="1"/>
    </xf>
    <xf numFmtId="43" fontId="0" fillId="0" borderId="33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right" vertical="center"/>
    </xf>
    <xf numFmtId="43" fontId="0" fillId="0" borderId="61" xfId="1" applyFont="1" applyBorder="1" applyAlignment="1">
      <alignment horizontal="center" vertical="center" wrapText="1"/>
    </xf>
    <xf numFmtId="43" fontId="3" fillId="0" borderId="61" xfId="1" applyFont="1" applyBorder="1" applyAlignment="1">
      <alignment horizontal="right" vertical="center" wrapText="1"/>
    </xf>
    <xf numFmtId="43" fontId="3" fillId="0" borderId="62" xfId="1" applyFont="1" applyBorder="1" applyAlignment="1">
      <alignment horizontal="right" vertical="center" wrapText="1"/>
    </xf>
    <xf numFmtId="0" fontId="97" fillId="16" borderId="0" xfId="24" applyFill="1"/>
    <xf numFmtId="49" fontId="97" fillId="0" borderId="47" xfId="24" applyNumberFormat="1" applyBorder="1" applyAlignment="1">
      <alignment horizontal="center" vertical="center" wrapText="1"/>
    </xf>
    <xf numFmtId="0" fontId="97" fillId="0" borderId="33" xfId="24" applyBorder="1" applyAlignment="1">
      <alignment horizontal="left" vertical="top" wrapText="1"/>
    </xf>
    <xf numFmtId="3" fontId="97" fillId="0" borderId="33" xfId="24" applyNumberFormat="1" applyBorder="1" applyAlignment="1">
      <alignment horizontal="center" vertical="center" wrapText="1"/>
    </xf>
    <xf numFmtId="3" fontId="97" fillId="0" borderId="12" xfId="24" applyNumberFormat="1" applyBorder="1" applyAlignment="1">
      <alignment horizontal="center" vertical="center"/>
    </xf>
    <xf numFmtId="3" fontId="97" fillId="0" borderId="12" xfId="24" applyNumberFormat="1" applyBorder="1" applyAlignment="1">
      <alignment vertical="center"/>
    </xf>
    <xf numFmtId="3" fontId="66" fillId="0" borderId="11" xfId="24" applyNumberFormat="1" applyFont="1" applyBorder="1" applyAlignment="1">
      <alignment vertical="center"/>
    </xf>
    <xf numFmtId="3" fontId="66" fillId="0" borderId="11" xfId="24" applyNumberFormat="1" applyFont="1" applyBorder="1" applyAlignment="1">
      <alignment vertical="center" wrapText="1"/>
    </xf>
    <xf numFmtId="3" fontId="97" fillId="0" borderId="22" xfId="24" applyNumberFormat="1" applyBorder="1" applyAlignment="1">
      <alignment horizontal="center" vertical="center"/>
    </xf>
    <xf numFmtId="49" fontId="97" fillId="0" borderId="8" xfId="22" applyNumberFormat="1" applyBorder="1" applyAlignment="1">
      <alignment horizontal="center" vertical="top" wrapText="1"/>
    </xf>
    <xf numFmtId="3" fontId="97" fillId="0" borderId="9" xfId="24" applyNumberFormat="1" applyBorder="1" applyAlignment="1">
      <alignment horizontal="left" vertical="center" wrapText="1"/>
    </xf>
    <xf numFmtId="3" fontId="97" fillId="0" borderId="9" xfId="24" applyNumberFormat="1" applyBorder="1" applyAlignment="1">
      <alignment horizontal="center" vertical="center" wrapText="1"/>
    </xf>
    <xf numFmtId="0" fontId="51" fillId="0" borderId="44" xfId="22" applyFont="1" applyBorder="1" applyAlignment="1">
      <alignment horizontal="right" vertical="top" wrapText="1"/>
    </xf>
    <xf numFmtId="43" fontId="3" fillId="0" borderId="44" xfId="1" applyFont="1" applyBorder="1" applyAlignment="1">
      <alignment horizontal="right" vertical="center" wrapText="1"/>
    </xf>
    <xf numFmtId="3" fontId="97" fillId="0" borderId="61" xfId="24" applyNumberFormat="1" applyBorder="1" applyAlignment="1">
      <alignment vertical="center" wrapText="1"/>
    </xf>
    <xf numFmtId="3" fontId="97" fillId="0" borderId="61" xfId="24" applyNumberFormat="1" applyBorder="1" applyAlignment="1">
      <alignment horizontal="center" vertical="center" wrapText="1"/>
    </xf>
    <xf numFmtId="43" fontId="0" fillId="0" borderId="22" xfId="1" applyFont="1" applyBorder="1" applyAlignment="1">
      <alignment horizontal="center" vertical="center" wrapText="1"/>
    </xf>
    <xf numFmtId="3" fontId="47" fillId="0" borderId="0" xfId="0" applyNumberFormat="1" applyFont="1" applyAlignment="1">
      <alignment vertical="center"/>
    </xf>
    <xf numFmtId="3" fontId="48" fillId="0" borderId="0" xfId="0" applyNumberFormat="1" applyFont="1" applyAlignment="1">
      <alignment vertical="center" wrapText="1"/>
    </xf>
    <xf numFmtId="3" fontId="48" fillId="0" borderId="20" xfId="0" applyNumberFormat="1" applyFont="1" applyBorder="1" applyAlignment="1">
      <alignment vertical="center" wrapText="1"/>
    </xf>
    <xf numFmtId="3" fontId="3" fillId="0" borderId="0" xfId="37" applyNumberFormat="1" applyFont="1" applyAlignment="1">
      <alignment horizontal="left" vertical="center" wrapText="1"/>
    </xf>
    <xf numFmtId="3" fontId="3" fillId="0" borderId="0" xfId="37" applyNumberFormat="1" applyFont="1" applyAlignment="1">
      <alignment horizontal="center" vertical="center" wrapText="1"/>
    </xf>
    <xf numFmtId="3" fontId="97" fillId="0" borderId="0" xfId="37" applyNumberFormat="1" applyAlignment="1">
      <alignment horizontal="right" vertical="center" wrapText="1"/>
    </xf>
    <xf numFmtId="0" fontId="0" fillId="0" borderId="16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3" fontId="0" fillId="0" borderId="13" xfId="0" applyNumberFormat="1" applyBorder="1" applyAlignment="1">
      <alignment horizontal="right" vertical="top" wrapText="1"/>
    </xf>
    <xf numFmtId="3" fontId="0" fillId="0" borderId="14" xfId="0" applyNumberFormat="1" applyBorder="1" applyAlignment="1">
      <alignment horizontal="right" vertical="top" wrapText="1"/>
    </xf>
    <xf numFmtId="0" fontId="0" fillId="0" borderId="72" xfId="0" applyBorder="1" applyAlignment="1">
      <alignment horizontal="left" vertical="top" wrapText="1"/>
    </xf>
    <xf numFmtId="43" fontId="0" fillId="0" borderId="12" xfId="1" applyFont="1" applyFill="1" applyBorder="1" applyAlignment="1">
      <alignment horizontal="right" vertical="top" wrapText="1"/>
    </xf>
    <xf numFmtId="43" fontId="0" fillId="0" borderId="12" xfId="1" applyFont="1" applyBorder="1" applyAlignment="1">
      <alignment horizontal="right" vertical="top" wrapText="1"/>
    </xf>
    <xf numFmtId="43" fontId="0" fillId="0" borderId="11" xfId="1" applyFont="1" applyBorder="1" applyAlignment="1">
      <alignment horizontal="right" vertical="top" wrapText="1"/>
    </xf>
    <xf numFmtId="43" fontId="0" fillId="0" borderId="14" xfId="1" applyFont="1" applyBorder="1" applyAlignment="1">
      <alignment horizontal="right" vertical="top" wrapText="1"/>
    </xf>
    <xf numFmtId="43" fontId="0" fillId="0" borderId="11" xfId="1" applyFont="1" applyFill="1" applyBorder="1" applyAlignment="1">
      <alignment horizontal="right" vertical="top" wrapText="1"/>
    </xf>
    <xf numFmtId="43" fontId="0" fillId="0" borderId="14" xfId="1" applyFont="1" applyFill="1" applyBorder="1" applyAlignment="1">
      <alignment horizontal="right" vertical="top" wrapText="1"/>
    </xf>
    <xf numFmtId="49" fontId="3" fillId="0" borderId="53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top" wrapText="1"/>
    </xf>
    <xf numFmtId="3" fontId="0" fillId="0" borderId="31" xfId="0" applyNumberFormat="1" applyBorder="1" applyAlignment="1">
      <alignment horizontal="right" vertical="top" wrapText="1"/>
    </xf>
    <xf numFmtId="3" fontId="0" fillId="0" borderId="32" xfId="0" applyNumberFormat="1" applyBorder="1" applyAlignment="1">
      <alignment horizontal="right" vertical="top" wrapText="1"/>
    </xf>
    <xf numFmtId="3" fontId="0" fillId="0" borderId="59" xfId="0" applyNumberFormat="1" applyBorder="1" applyAlignment="1">
      <alignment horizontal="right" vertical="top" wrapText="1"/>
    </xf>
    <xf numFmtId="43" fontId="3" fillId="0" borderId="46" xfId="1" applyFont="1" applyBorder="1" applyAlignment="1">
      <alignment horizontal="right" vertical="top" wrapText="1"/>
    </xf>
    <xf numFmtId="43" fontId="3" fillId="0" borderId="54" xfId="1" applyFont="1" applyBorder="1" applyAlignment="1">
      <alignment horizontal="right" vertical="top" wrapText="1"/>
    </xf>
    <xf numFmtId="43" fontId="3" fillId="0" borderId="57" xfId="1" applyFont="1" applyBorder="1" applyAlignment="1">
      <alignment horizontal="right" vertical="top" wrapText="1"/>
    </xf>
    <xf numFmtId="43" fontId="0" fillId="0" borderId="14" xfId="1" applyFont="1" applyBorder="1" applyAlignment="1">
      <alignment horizontal="right" vertical="center"/>
    </xf>
    <xf numFmtId="49" fontId="3" fillId="0" borderId="53" xfId="0" applyNumberFormat="1" applyFont="1" applyBorder="1" applyAlignment="1">
      <alignment horizontal="center" vertical="top" wrapText="1"/>
    </xf>
    <xf numFmtId="0" fontId="0" fillId="0" borderId="22" xfId="0" applyBorder="1" applyAlignment="1">
      <alignment horizontal="left" vertical="top" wrapText="1"/>
    </xf>
    <xf numFmtId="43" fontId="0" fillId="0" borderId="22" xfId="1" applyFont="1" applyFill="1" applyBorder="1" applyAlignment="1">
      <alignment horizontal="right" vertical="top" wrapText="1"/>
    </xf>
    <xf numFmtId="43" fontId="0" fillId="0" borderId="22" xfId="1" applyFont="1" applyBorder="1" applyAlignment="1">
      <alignment horizontal="right" vertical="top" wrapText="1"/>
    </xf>
    <xf numFmtId="43" fontId="0" fillId="0" borderId="22" xfId="1" applyFont="1" applyBorder="1" applyAlignment="1">
      <alignment horizontal="right" vertical="center"/>
    </xf>
    <xf numFmtId="43" fontId="0" fillId="0" borderId="63" xfId="1" applyFont="1" applyBorder="1" applyAlignment="1">
      <alignment horizontal="right" vertical="center"/>
    </xf>
    <xf numFmtId="43" fontId="3" fillId="0" borderId="57" xfId="1" applyFont="1" applyBorder="1" applyAlignment="1">
      <alignment horizontal="right" vertical="center"/>
    </xf>
    <xf numFmtId="49" fontId="51" fillId="0" borderId="8" xfId="0" applyNumberFormat="1" applyFont="1" applyBorder="1"/>
    <xf numFmtId="49" fontId="0" fillId="0" borderId="10" xfId="0" applyNumberFormat="1" applyBorder="1" applyAlignment="1">
      <alignment horizontal="center" vertical="top" wrapText="1"/>
    </xf>
    <xf numFmtId="3" fontId="0" fillId="0" borderId="12" xfId="0" applyNumberFormat="1" applyBorder="1" applyAlignment="1">
      <alignment vertical="top"/>
    </xf>
    <xf numFmtId="43" fontId="0" fillId="0" borderId="12" xfId="1" applyFont="1" applyFill="1" applyBorder="1" applyAlignment="1">
      <alignment vertical="top"/>
    </xf>
    <xf numFmtId="43" fontId="0" fillId="0" borderId="12" xfId="1" applyFont="1" applyFill="1" applyBorder="1" applyAlignment="1">
      <alignment horizontal="right" vertical="center"/>
    </xf>
    <xf numFmtId="43" fontId="0" fillId="0" borderId="14" xfId="1" applyFont="1" applyFill="1" applyBorder="1" applyAlignment="1">
      <alignment vertical="center"/>
    </xf>
    <xf numFmtId="0" fontId="0" fillId="0" borderId="10" xfId="0" applyBorder="1" applyAlignment="1">
      <alignment horizontal="center" vertical="top" wrapText="1"/>
    </xf>
    <xf numFmtId="43" fontId="0" fillId="0" borderId="12" xfId="1" applyFont="1" applyFill="1" applyBorder="1" applyAlignment="1">
      <alignment vertical="center" wrapText="1"/>
    </xf>
    <xf numFmtId="43" fontId="0" fillId="0" borderId="12" xfId="1" applyFont="1" applyFill="1" applyBorder="1" applyAlignment="1">
      <alignment vertical="top" wrapText="1"/>
    </xf>
    <xf numFmtId="3" fontId="0" fillId="0" borderId="12" xfId="0" applyNumberFormat="1" applyBorder="1" applyAlignment="1">
      <alignment vertical="center" wrapText="1"/>
    </xf>
    <xf numFmtId="3" fontId="0" fillId="0" borderId="12" xfId="0" applyNumberFormat="1" applyBorder="1" applyAlignment="1">
      <alignment horizontal="right" vertical="center"/>
    </xf>
    <xf numFmtId="3" fontId="0" fillId="0" borderId="14" xfId="0" applyNumberFormat="1" applyBorder="1" applyAlignment="1">
      <alignment vertical="center"/>
    </xf>
    <xf numFmtId="43" fontId="3" fillId="0" borderId="16" xfId="1" applyFont="1" applyFill="1" applyBorder="1" applyAlignment="1">
      <alignment horizontal="right" vertical="center"/>
    </xf>
    <xf numFmtId="43" fontId="3" fillId="0" borderId="16" xfId="1" applyFont="1" applyFill="1" applyBorder="1" applyAlignment="1">
      <alignment vertical="top"/>
    </xf>
    <xf numFmtId="43" fontId="3" fillId="0" borderId="17" xfId="1" applyFont="1" applyFill="1" applyBorder="1" applyAlignment="1">
      <alignment vertical="center"/>
    </xf>
    <xf numFmtId="0" fontId="0" fillId="0" borderId="8" xfId="0" applyBorder="1" applyAlignment="1">
      <alignment horizontal="center" vertical="top" wrapText="1"/>
    </xf>
    <xf numFmtId="43" fontId="0" fillId="0" borderId="9" xfId="1" applyFont="1" applyFill="1" applyBorder="1" applyAlignment="1">
      <alignment vertical="center" wrapText="1"/>
    </xf>
    <xf numFmtId="43" fontId="0" fillId="0" borderId="9" xfId="1" applyFont="1" applyFill="1" applyBorder="1" applyAlignment="1">
      <alignment vertical="top"/>
    </xf>
    <xf numFmtId="43" fontId="0" fillId="0" borderId="9" xfId="1" applyFont="1" applyFill="1" applyBorder="1" applyAlignment="1">
      <alignment horizontal="right" vertical="center"/>
    </xf>
    <xf numFmtId="43" fontId="0" fillId="0" borderId="13" xfId="1" applyFont="1" applyFill="1" applyBorder="1" applyAlignment="1">
      <alignment vertical="center"/>
    </xf>
    <xf numFmtId="0" fontId="0" fillId="0" borderId="15" xfId="0" applyBorder="1" applyAlignment="1">
      <alignment horizontal="center" vertical="top" wrapText="1"/>
    </xf>
    <xf numFmtId="3" fontId="0" fillId="0" borderId="16" xfId="0" applyNumberFormat="1" applyBorder="1" applyAlignment="1">
      <alignment vertical="center"/>
    </xf>
    <xf numFmtId="43" fontId="0" fillId="0" borderId="16" xfId="1" applyFont="1" applyFill="1" applyBorder="1" applyAlignment="1">
      <alignment vertical="center" wrapText="1"/>
    </xf>
    <xf numFmtId="43" fontId="0" fillId="0" borderId="16" xfId="1" applyFont="1" applyFill="1" applyBorder="1" applyAlignment="1">
      <alignment vertical="top"/>
    </xf>
    <xf numFmtId="43" fontId="0" fillId="0" borderId="16" xfId="1" applyFont="1" applyFill="1" applyBorder="1" applyAlignment="1">
      <alignment horizontal="right" vertical="center"/>
    </xf>
    <xf numFmtId="43" fontId="0" fillId="0" borderId="17" xfId="1" applyFont="1" applyFill="1" applyBorder="1" applyAlignment="1">
      <alignment vertical="center"/>
    </xf>
    <xf numFmtId="43" fontId="3" fillId="0" borderId="52" xfId="1" applyFont="1" applyFill="1" applyBorder="1" applyAlignment="1">
      <alignment vertical="center"/>
    </xf>
    <xf numFmtId="43" fontId="3" fillId="0" borderId="31" xfId="1" applyFont="1" applyFill="1" applyBorder="1" applyAlignment="1">
      <alignment vertical="top"/>
    </xf>
    <xf numFmtId="43" fontId="3" fillId="0" borderId="32" xfId="1" applyFont="1" applyFill="1" applyBorder="1" applyAlignment="1">
      <alignment horizontal="right" vertical="center"/>
    </xf>
    <xf numFmtId="43" fontId="3" fillId="0" borderId="59" xfId="1" applyFont="1" applyFill="1" applyBorder="1" applyAlignment="1">
      <alignment vertical="center"/>
    </xf>
    <xf numFmtId="43" fontId="3" fillId="0" borderId="46" xfId="1" applyFont="1" applyFill="1" applyBorder="1" applyAlignment="1">
      <alignment vertical="center"/>
    </xf>
    <xf numFmtId="43" fontId="3" fillId="0" borderId="46" xfId="1" applyFont="1" applyFill="1" applyBorder="1" applyAlignment="1">
      <alignment vertical="top"/>
    </xf>
    <xf numFmtId="43" fontId="3" fillId="0" borderId="46" xfId="1" applyFont="1" applyFill="1" applyBorder="1" applyAlignment="1">
      <alignment horizontal="right" vertical="center"/>
    </xf>
    <xf numFmtId="43" fontId="3" fillId="0" borderId="57" xfId="1" applyFont="1" applyFill="1" applyBorder="1" applyAlignment="1">
      <alignment vertical="center"/>
    </xf>
    <xf numFmtId="0" fontId="51" fillId="0" borderId="76" xfId="0" applyFont="1" applyBorder="1" applyAlignment="1">
      <alignment horizontal="right" vertical="top" wrapText="1"/>
    </xf>
    <xf numFmtId="0" fontId="51" fillId="0" borderId="48" xfId="0" applyFont="1" applyBorder="1" applyAlignment="1">
      <alignment horizontal="right" vertical="top" wrapText="1"/>
    </xf>
    <xf numFmtId="3" fontId="3" fillId="0" borderId="48" xfId="0" applyNumberFormat="1" applyFont="1" applyBorder="1"/>
    <xf numFmtId="3" fontId="3" fillId="0" borderId="77" xfId="0" applyNumberFormat="1" applyFont="1" applyBorder="1"/>
    <xf numFmtId="43" fontId="0" fillId="0" borderId="9" xfId="1" applyFont="1" applyFill="1" applyBorder="1" applyAlignment="1">
      <alignment vertical="center"/>
    </xf>
    <xf numFmtId="43" fontId="3" fillId="0" borderId="52" xfId="1" applyFont="1" applyFill="1" applyBorder="1" applyAlignment="1">
      <alignment vertical="top"/>
    </xf>
    <xf numFmtId="43" fontId="3" fillId="0" borderId="52" xfId="1" applyFont="1" applyFill="1" applyBorder="1" applyAlignment="1">
      <alignment horizontal="right" vertical="center"/>
    </xf>
    <xf numFmtId="43" fontId="3" fillId="0" borderId="60" xfId="1" applyFont="1" applyFill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3" fontId="70" fillId="0" borderId="0" xfId="0" applyNumberFormat="1" applyFont="1" applyAlignment="1">
      <alignment horizontal="center" vertical="center" wrapText="1"/>
    </xf>
    <xf numFmtId="1" fontId="0" fillId="0" borderId="0" xfId="0" applyNumberFormat="1"/>
    <xf numFmtId="1" fontId="3" fillId="0" borderId="0" xfId="0" applyNumberFormat="1" applyFont="1" applyAlignment="1">
      <alignment horizontal="center" vertical="top" wrapText="1"/>
    </xf>
    <xf numFmtId="10" fontId="0" fillId="0" borderId="0" xfId="0" applyNumberFormat="1"/>
    <xf numFmtId="0" fontId="0" fillId="0" borderId="49" xfId="0" applyBorder="1" applyAlignment="1">
      <alignment horizontal="center" vertical="top" wrapText="1"/>
    </xf>
    <xf numFmtId="3" fontId="0" fillId="0" borderId="0" xfId="0" applyNumberFormat="1" applyAlignment="1">
      <alignment vertical="center" wrapText="1"/>
    </xf>
    <xf numFmtId="43" fontId="0" fillId="0" borderId="22" xfId="1" applyFont="1" applyFill="1" applyBorder="1" applyAlignment="1">
      <alignment horizontal="right" vertical="center" wrapText="1"/>
    </xf>
    <xf numFmtId="43" fontId="0" fillId="0" borderId="22" xfId="1" applyFont="1" applyFill="1" applyBorder="1" applyAlignment="1">
      <alignment vertical="top" wrapText="1"/>
    </xf>
    <xf numFmtId="43" fontId="0" fillId="0" borderId="29" xfId="1" applyFont="1" applyFill="1" applyBorder="1" applyAlignment="1">
      <alignment vertical="top" wrapText="1"/>
    </xf>
    <xf numFmtId="43" fontId="0" fillId="0" borderId="63" xfId="1" applyFont="1" applyFill="1" applyBorder="1" applyAlignment="1">
      <alignment vertical="top" wrapText="1"/>
    </xf>
    <xf numFmtId="43" fontId="3" fillId="0" borderId="61" xfId="1" applyFont="1" applyFill="1" applyBorder="1" applyAlignment="1">
      <alignment horizontal="right" vertical="center" wrapText="1"/>
    </xf>
    <xf numFmtId="43" fontId="3" fillId="0" borderId="61" xfId="1" applyFont="1" applyFill="1" applyBorder="1" applyAlignment="1">
      <alignment vertical="top" wrapText="1"/>
    </xf>
    <xf numFmtId="43" fontId="3" fillId="0" borderId="69" xfId="1" applyFont="1" applyFill="1" applyBorder="1" applyAlignment="1">
      <alignment vertical="top" wrapText="1"/>
    </xf>
    <xf numFmtId="43" fontId="3" fillId="0" borderId="62" xfId="1" applyFont="1" applyFill="1" applyBorder="1" applyAlignment="1">
      <alignment vertical="top" wrapText="1"/>
    </xf>
    <xf numFmtId="43" fontId="3" fillId="0" borderId="46" xfId="1" applyFont="1" applyFill="1" applyBorder="1" applyAlignment="1">
      <alignment vertical="center" wrapText="1"/>
    </xf>
    <xf numFmtId="49" fontId="3" fillId="0" borderId="78" xfId="0" applyNumberFormat="1" applyFont="1" applyBorder="1" applyAlignment="1">
      <alignment horizontal="right" vertical="top" wrapText="1"/>
    </xf>
    <xf numFmtId="49" fontId="3" fillId="0" borderId="70" xfId="0" applyNumberFormat="1" applyFont="1" applyBorder="1" applyAlignment="1">
      <alignment horizontal="right" vertical="top" wrapText="1"/>
    </xf>
    <xf numFmtId="3" fontId="3" fillId="0" borderId="9" xfId="0" applyNumberFormat="1" applyFont="1" applyBorder="1"/>
    <xf numFmtId="3" fontId="3" fillId="0" borderId="41" xfId="0" applyNumberFormat="1" applyFont="1" applyBorder="1"/>
    <xf numFmtId="3" fontId="3" fillId="0" borderId="13" xfId="0" applyNumberFormat="1" applyFont="1" applyBorder="1"/>
    <xf numFmtId="43" fontId="28" fillId="0" borderId="5" xfId="1" applyFont="1" applyFill="1" applyBorder="1" applyAlignment="1">
      <alignment horizontal="right" vertical="center"/>
    </xf>
    <xf numFmtId="43" fontId="3" fillId="0" borderId="46" xfId="1" applyFont="1" applyFill="1" applyBorder="1"/>
    <xf numFmtId="43" fontId="3" fillId="0" borderId="5" xfId="1" applyFont="1" applyFill="1" applyBorder="1" applyAlignment="1">
      <alignment horizontal="right" vertical="center"/>
    </xf>
    <xf numFmtId="43" fontId="3" fillId="0" borderId="57" xfId="1" applyFont="1" applyFill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horizontal="right" vertical="top" wrapText="1"/>
    </xf>
    <xf numFmtId="14" fontId="3" fillId="0" borderId="0" xfId="0" applyNumberFormat="1" applyFont="1" applyAlignment="1">
      <alignment horizontal="right" vertical="top" wrapText="1"/>
    </xf>
    <xf numFmtId="175" fontId="3" fillId="0" borderId="0" xfId="1" applyNumberFormat="1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7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176" fontId="0" fillId="0" borderId="0" xfId="0" applyNumberFormat="1" applyAlignment="1">
      <alignment horizontal="center"/>
    </xf>
    <xf numFmtId="3" fontId="3" fillId="0" borderId="0" xfId="15" applyNumberFormat="1" applyFont="1" applyAlignment="1">
      <alignment horizontal="left" vertical="top"/>
    </xf>
    <xf numFmtId="3" fontId="3" fillId="0" borderId="0" xfId="15" applyNumberFormat="1" applyFont="1" applyAlignment="1">
      <alignment horizontal="center" vertical="center" wrapText="1"/>
    </xf>
    <xf numFmtId="0" fontId="52" fillId="0" borderId="0" xfId="0" applyFont="1" applyAlignment="1">
      <alignment vertical="top" wrapText="1"/>
    </xf>
    <xf numFmtId="169" fontId="0" fillId="0" borderId="0" xfId="1" applyNumberFormat="1" applyFont="1" applyFill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172" fontId="3" fillId="0" borderId="0" xfId="0" applyNumberFormat="1" applyFont="1" applyAlignment="1">
      <alignment horizontal="right"/>
    </xf>
    <xf numFmtId="177" fontId="0" fillId="0" borderId="0" xfId="1" applyNumberFormat="1" applyFont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71" fillId="2" borderId="83" xfId="0" applyFont="1" applyFill="1" applyBorder="1" applyAlignment="1">
      <alignment horizontal="center" vertical="center" wrapText="1"/>
    </xf>
    <xf numFmtId="0" fontId="73" fillId="24" borderId="85" xfId="0" applyFont="1" applyFill="1" applyBorder="1" applyAlignment="1">
      <alignment vertical="center" wrapText="1"/>
    </xf>
    <xf numFmtId="3" fontId="73" fillId="24" borderId="83" xfId="0" applyNumberFormat="1" applyFont="1" applyFill="1" applyBorder="1" applyAlignment="1">
      <alignment horizontal="center" vertical="center" wrapText="1"/>
    </xf>
    <xf numFmtId="0" fontId="73" fillId="24" borderId="86" xfId="0" applyFont="1" applyFill="1" applyBorder="1" applyAlignment="1">
      <alignment horizontal="center" vertical="center" wrapText="1"/>
    </xf>
    <xf numFmtId="0" fontId="74" fillId="24" borderId="85" xfId="0" applyFont="1" applyFill="1" applyBorder="1" applyAlignment="1">
      <alignment vertical="center" wrapText="1"/>
    </xf>
    <xf numFmtId="3" fontId="74" fillId="24" borderId="83" xfId="0" applyNumberFormat="1" applyFont="1" applyFill="1" applyBorder="1" applyAlignment="1">
      <alignment horizontal="center" vertical="center" wrapText="1"/>
    </xf>
    <xf numFmtId="0" fontId="74" fillId="24" borderId="86" xfId="0" applyFont="1" applyFill="1" applyBorder="1" applyAlignment="1">
      <alignment horizontal="center" vertical="center" wrapText="1"/>
    </xf>
    <xf numFmtId="0" fontId="54" fillId="2" borderId="85" xfId="0" applyFont="1" applyFill="1" applyBorder="1" applyAlignment="1">
      <alignment vertical="center" wrapText="1"/>
    </xf>
    <xf numFmtId="3" fontId="54" fillId="2" borderId="83" xfId="0" applyNumberFormat="1" applyFont="1" applyFill="1" applyBorder="1" applyAlignment="1">
      <alignment horizontal="center" vertical="center"/>
    </xf>
    <xf numFmtId="0" fontId="55" fillId="2" borderId="86" xfId="0" applyFont="1" applyFill="1" applyBorder="1" applyAlignment="1">
      <alignment vertical="center"/>
    </xf>
    <xf numFmtId="0" fontId="55" fillId="2" borderId="85" xfId="0" applyFont="1" applyFill="1" applyBorder="1" applyAlignment="1">
      <alignment vertical="center" wrapText="1"/>
    </xf>
    <xf numFmtId="3" fontId="55" fillId="2" borderId="83" xfId="0" applyNumberFormat="1" applyFont="1" applyFill="1" applyBorder="1" applyAlignment="1">
      <alignment horizontal="center" vertical="center"/>
    </xf>
    <xf numFmtId="0" fontId="55" fillId="24" borderId="85" xfId="0" applyFont="1" applyFill="1" applyBorder="1" applyAlignment="1">
      <alignment vertical="center" wrapText="1"/>
    </xf>
    <xf numFmtId="3" fontId="55" fillId="24" borderId="83" xfId="0" applyNumberFormat="1" applyFont="1" applyFill="1" applyBorder="1" applyAlignment="1">
      <alignment horizontal="center" vertical="center"/>
    </xf>
    <xf numFmtId="0" fontId="55" fillId="24" borderId="86" xfId="0" applyFont="1" applyFill="1" applyBorder="1" applyAlignment="1">
      <alignment horizontal="center" vertical="center"/>
    </xf>
    <xf numFmtId="0" fontId="75" fillId="2" borderId="0" xfId="35" applyFill="1" applyAlignment="1">
      <alignment vertical="top"/>
    </xf>
    <xf numFmtId="0" fontId="75" fillId="2" borderId="0" xfId="35" applyFill="1" applyAlignment="1">
      <alignment vertical="center" wrapText="1"/>
    </xf>
    <xf numFmtId="0" fontId="54" fillId="2" borderId="86" xfId="0" applyFont="1" applyFill="1" applyBorder="1" applyAlignment="1">
      <alignment horizontal="center" vertical="center"/>
    </xf>
    <xf numFmtId="0" fontId="54" fillId="2" borderId="87" xfId="0" applyFont="1" applyFill="1" applyBorder="1" applyAlignment="1">
      <alignment vertical="center" wrapText="1"/>
    </xf>
    <xf numFmtId="3" fontId="54" fillId="2" borderId="88" xfId="0" applyNumberFormat="1" applyFont="1" applyFill="1" applyBorder="1" applyAlignment="1">
      <alignment horizontal="center" vertical="center"/>
    </xf>
    <xf numFmtId="0" fontId="54" fillId="2" borderId="89" xfId="0" applyFont="1" applyFill="1" applyBorder="1" applyAlignment="1">
      <alignment vertical="center"/>
    </xf>
    <xf numFmtId="43" fontId="0" fillId="2" borderId="0" xfId="0" applyNumberFormat="1" applyFill="1"/>
    <xf numFmtId="10" fontId="0" fillId="2" borderId="0" xfId="2" applyNumberFormat="1" applyFont="1" applyFill="1"/>
    <xf numFmtId="169" fontId="0" fillId="2" borderId="0" xfId="0" applyNumberFormat="1" applyFill="1"/>
    <xf numFmtId="0" fontId="61" fillId="0" borderId="0" xfId="0" applyFont="1" applyAlignment="1">
      <alignment vertical="center" wrapText="1"/>
    </xf>
    <xf numFmtId="0" fontId="61" fillId="0" borderId="0" xfId="0" applyFont="1" applyAlignment="1">
      <alignment wrapText="1"/>
    </xf>
    <xf numFmtId="10" fontId="0" fillId="2" borderId="0" xfId="0" applyNumberFormat="1" applyFill="1"/>
    <xf numFmtId="43" fontId="76" fillId="0" borderId="12" xfId="1" applyFont="1" applyBorder="1" applyAlignment="1">
      <alignment horizontal="center" vertical="center" wrapText="1"/>
    </xf>
    <xf numFmtId="3" fontId="97" fillId="12" borderId="0" xfId="20" applyNumberFormat="1" applyFill="1" applyAlignment="1">
      <alignment horizontal="center" vertical="center"/>
    </xf>
    <xf numFmtId="3" fontId="32" fillId="0" borderId="12" xfId="20" applyNumberFormat="1" applyFont="1" applyBorder="1" applyAlignment="1">
      <alignment horizontal="center" vertical="center" wrapText="1"/>
    </xf>
    <xf numFmtId="43" fontId="38" fillId="13" borderId="0" xfId="20" applyNumberFormat="1" applyFont="1" applyFill="1" applyAlignment="1">
      <alignment horizontal="center"/>
    </xf>
    <xf numFmtId="175" fontId="1" fillId="0" borderId="0" xfId="1" applyNumberFormat="1" applyFont="1" applyAlignment="1">
      <alignment horizontal="center" vertical="center"/>
    </xf>
    <xf numFmtId="43" fontId="22" fillId="0" borderId="0" xfId="20" applyNumberFormat="1" applyFont="1"/>
    <xf numFmtId="43" fontId="9" fillId="0" borderId="0" xfId="1" applyFont="1" applyAlignment="1">
      <alignment horizontal="center" vertical="center"/>
    </xf>
    <xf numFmtId="4" fontId="97" fillId="0" borderId="0" xfId="20" applyNumberFormat="1" applyAlignment="1">
      <alignment horizontal="right" vertical="center"/>
    </xf>
    <xf numFmtId="0" fontId="66" fillId="2" borderId="0" xfId="34" applyFont="1" applyFill="1"/>
    <xf numFmtId="0" fontId="47" fillId="0" borderId="0" xfId="34" applyFont="1"/>
    <xf numFmtId="0" fontId="47" fillId="2" borderId="0" xfId="34" applyFont="1" applyFill="1"/>
    <xf numFmtId="0" fontId="66" fillId="0" borderId="0" xfId="34" applyFont="1"/>
    <xf numFmtId="0" fontId="66" fillId="0" borderId="0" xfId="34" applyFont="1" applyAlignment="1">
      <alignment vertical="center" wrapText="1"/>
    </xf>
    <xf numFmtId="0" fontId="97" fillId="0" borderId="0" xfId="20" applyAlignment="1">
      <alignment vertical="center" wrapText="1"/>
    </xf>
    <xf numFmtId="169" fontId="97" fillId="0" borderId="0" xfId="20" applyNumberFormat="1" applyAlignment="1">
      <alignment vertical="center" wrapText="1"/>
    </xf>
    <xf numFmtId="3" fontId="77" fillId="25" borderId="0" xfId="14" applyNumberFormat="1" applyFont="1" applyFill="1"/>
    <xf numFmtId="3" fontId="77" fillId="25" borderId="0" xfId="14" applyNumberFormat="1" applyFont="1" applyFill="1" applyAlignment="1">
      <alignment vertical="center" wrapText="1"/>
    </xf>
    <xf numFmtId="3" fontId="77" fillId="2" borderId="0" xfId="14" applyNumberFormat="1" applyFont="1" applyFill="1"/>
    <xf numFmtId="3" fontId="77" fillId="2" borderId="90" xfId="14" applyNumberFormat="1" applyFont="1" applyFill="1" applyBorder="1"/>
    <xf numFmtId="3" fontId="77" fillId="2" borderId="96" xfId="14" applyNumberFormat="1" applyFont="1" applyFill="1" applyBorder="1" applyAlignment="1">
      <alignment vertical="center" wrapText="1"/>
    </xf>
    <xf numFmtId="3" fontId="77" fillId="2" borderId="96" xfId="14" applyNumberFormat="1" applyFont="1" applyFill="1" applyBorder="1"/>
    <xf numFmtId="3" fontId="77" fillId="0" borderId="92" xfId="14" applyNumberFormat="1" applyFont="1" applyBorder="1"/>
    <xf numFmtId="3" fontId="6" fillId="26" borderId="97" xfId="14" applyNumberFormat="1" applyFont="1" applyFill="1" applyBorder="1" applyAlignment="1">
      <alignment horizontal="center" vertical="center" wrapText="1"/>
    </xf>
    <xf numFmtId="3" fontId="6" fillId="26" borderId="98" xfId="14" applyNumberFormat="1" applyFont="1" applyFill="1" applyBorder="1" applyAlignment="1">
      <alignment horizontal="center" vertical="center"/>
    </xf>
    <xf numFmtId="3" fontId="47" fillId="0" borderId="0" xfId="14" applyNumberFormat="1" applyFont="1"/>
    <xf numFmtId="3" fontId="47" fillId="0" borderId="99" xfId="14" applyNumberFormat="1" applyFont="1" applyBorder="1" applyAlignment="1">
      <alignment vertical="center" wrapText="1"/>
    </xf>
    <xf numFmtId="43" fontId="47" fillId="0" borderId="100" xfId="1" applyFont="1" applyBorder="1" applyAlignment="1">
      <alignment vertical="center"/>
    </xf>
    <xf numFmtId="3" fontId="6" fillId="0" borderId="99" xfId="14" applyNumberFormat="1" applyFont="1" applyBorder="1" applyAlignment="1">
      <alignment horizontal="center" vertical="center" wrapText="1"/>
    </xf>
    <xf numFmtId="43" fontId="2" fillId="0" borderId="100" xfId="1" applyFont="1" applyBorder="1" applyAlignment="1">
      <alignment horizontal="center" vertical="center"/>
    </xf>
    <xf numFmtId="3" fontId="6" fillId="26" borderId="99" xfId="14" applyNumberFormat="1" applyFont="1" applyFill="1" applyBorder="1" applyAlignment="1">
      <alignment horizontal="center" vertical="center" wrapText="1"/>
    </xf>
    <xf numFmtId="3" fontId="6" fillId="26" borderId="100" xfId="14" applyNumberFormat="1" applyFont="1" applyFill="1" applyBorder="1" applyAlignment="1">
      <alignment horizontal="center" vertical="center"/>
    </xf>
    <xf numFmtId="3" fontId="2" fillId="0" borderId="101" xfId="14" applyNumberFormat="1" applyFont="1" applyBorder="1" applyAlignment="1">
      <alignment vertical="center" wrapText="1"/>
    </xf>
    <xf numFmtId="43" fontId="2" fillId="0" borderId="102" xfId="1" applyFont="1" applyBorder="1" applyAlignment="1">
      <alignment horizontal="center" vertical="center"/>
    </xf>
    <xf numFmtId="3" fontId="77" fillId="0" borderId="94" xfId="14" applyNumberFormat="1" applyFont="1" applyBorder="1"/>
    <xf numFmtId="3" fontId="2" fillId="0" borderId="103" xfId="14" applyNumberFormat="1" applyFont="1" applyBorder="1" applyAlignment="1">
      <alignment vertical="center" wrapText="1"/>
    </xf>
    <xf numFmtId="3" fontId="2" fillId="0" borderId="103" xfId="14" applyNumberFormat="1" applyFont="1" applyBorder="1" applyAlignment="1">
      <alignment horizontal="center" vertical="center"/>
    </xf>
    <xf numFmtId="3" fontId="47" fillId="0" borderId="103" xfId="14" applyNumberFormat="1" applyFont="1" applyBorder="1"/>
    <xf numFmtId="43" fontId="97" fillId="0" borderId="0" xfId="39" applyNumberFormat="1"/>
    <xf numFmtId="0" fontId="47" fillId="0" borderId="0" xfId="39" applyFont="1" applyAlignment="1">
      <alignment vertical="center" wrapText="1"/>
    </xf>
    <xf numFmtId="0" fontId="97" fillId="0" borderId="0" xfId="39"/>
    <xf numFmtId="0" fontId="6" fillId="13" borderId="90" xfId="39" applyFont="1" applyFill="1" applyBorder="1" applyAlignment="1">
      <alignment vertical="center" wrapText="1"/>
    </xf>
    <xf numFmtId="0" fontId="6" fillId="13" borderId="106" xfId="39" applyFont="1" applyFill="1" applyBorder="1" applyAlignment="1">
      <alignment vertical="center" wrapText="1"/>
    </xf>
    <xf numFmtId="0" fontId="6" fillId="13" borderId="96" xfId="39" applyFont="1" applyFill="1" applyBorder="1" applyAlignment="1">
      <alignment vertical="center" wrapText="1"/>
    </xf>
    <xf numFmtId="3" fontId="97" fillId="25" borderId="0" xfId="14" applyNumberFormat="1" applyFill="1"/>
    <xf numFmtId="3" fontId="97" fillId="0" borderId="92" xfId="14" applyNumberFormat="1" applyBorder="1"/>
    <xf numFmtId="3" fontId="6" fillId="13" borderId="92" xfId="39" applyNumberFormat="1" applyFont="1" applyFill="1" applyBorder="1" applyAlignment="1">
      <alignment vertical="center" wrapText="1"/>
    </xf>
    <xf numFmtId="3" fontId="6" fillId="13" borderId="107" xfId="39" applyNumberFormat="1" applyFont="1" applyFill="1" applyBorder="1" applyAlignment="1">
      <alignment vertical="center" wrapText="1"/>
    </xf>
    <xf numFmtId="3" fontId="47" fillId="13" borderId="0" xfId="39" applyNumberFormat="1" applyFont="1" applyFill="1" applyAlignment="1">
      <alignment vertical="top" wrapText="1"/>
    </xf>
    <xf numFmtId="3" fontId="47" fillId="13" borderId="92" xfId="39" applyNumberFormat="1" applyFont="1" applyFill="1" applyBorder="1" applyAlignment="1">
      <alignment vertical="center" wrapText="1"/>
    </xf>
    <xf numFmtId="4" fontId="6" fillId="13" borderId="0" xfId="39" applyNumberFormat="1" applyFont="1" applyFill="1" applyAlignment="1">
      <alignment vertical="top" wrapText="1"/>
    </xf>
    <xf numFmtId="0" fontId="66" fillId="0" borderId="92" xfId="34" applyFont="1" applyBorder="1"/>
    <xf numFmtId="178" fontId="6" fillId="13" borderId="92" xfId="39" applyNumberFormat="1" applyFont="1" applyFill="1" applyBorder="1" applyAlignment="1">
      <alignment vertical="center" wrapText="1"/>
    </xf>
    <xf numFmtId="178" fontId="47" fillId="13" borderId="107" xfId="44" applyNumberFormat="1" applyFont="1" applyFill="1" applyBorder="1" applyAlignment="1">
      <alignment vertical="center" wrapText="1"/>
    </xf>
    <xf numFmtId="10" fontId="47" fillId="2" borderId="0" xfId="44" applyNumberFormat="1" applyFont="1" applyFill="1" applyBorder="1" applyAlignment="1">
      <alignment vertical="center" wrapText="1"/>
    </xf>
    <xf numFmtId="10" fontId="47" fillId="13" borderId="94" xfId="44" applyNumberFormat="1" applyFont="1" applyFill="1" applyBorder="1" applyAlignment="1">
      <alignment vertical="center" wrapText="1"/>
    </xf>
    <xf numFmtId="178" fontId="6" fillId="13" borderId="103" xfId="44" applyNumberFormat="1" applyFont="1" applyFill="1" applyBorder="1" applyAlignment="1">
      <alignment horizontal="right" vertical="top" wrapText="1"/>
    </xf>
    <xf numFmtId="0" fontId="97" fillId="13" borderId="92" xfId="39" applyFill="1" applyBorder="1" applyAlignment="1">
      <alignment vertical="center" wrapText="1"/>
    </xf>
    <xf numFmtId="0" fontId="47" fillId="13" borderId="107" xfId="39" applyFont="1" applyFill="1" applyBorder="1" applyAlignment="1">
      <alignment horizontal="right" vertical="top" wrapText="1"/>
    </xf>
    <xf numFmtId="0" fontId="47" fillId="13" borderId="0" xfId="39" applyFont="1" applyFill="1" applyAlignment="1">
      <alignment horizontal="right" vertical="top" wrapText="1"/>
    </xf>
    <xf numFmtId="0" fontId="3" fillId="13" borderId="92" xfId="39" applyFont="1" applyFill="1" applyBorder="1" applyAlignment="1">
      <alignment horizontal="right" vertical="center" wrapText="1"/>
    </xf>
    <xf numFmtId="0" fontId="97" fillId="13" borderId="107" xfId="39" applyFill="1" applyBorder="1" applyAlignment="1">
      <alignment vertical="top" wrapText="1"/>
    </xf>
    <xf numFmtId="0" fontId="97" fillId="13" borderId="0" xfId="39" applyFill="1" applyAlignment="1">
      <alignment vertical="top" wrapText="1"/>
    </xf>
    <xf numFmtId="179" fontId="47" fillId="13" borderId="92" xfId="10" applyNumberFormat="1" applyFont="1" applyFill="1" applyBorder="1" applyAlignment="1">
      <alignment horizontal="right" vertical="center" wrapText="1"/>
    </xf>
    <xf numFmtId="178" fontId="6" fillId="13" borderId="0" xfId="44" applyNumberFormat="1" applyFont="1" applyFill="1" applyBorder="1" applyAlignment="1">
      <alignment horizontal="right" vertical="top" wrapText="1"/>
    </xf>
    <xf numFmtId="0" fontId="3" fillId="13" borderId="92" xfId="39" applyFont="1" applyFill="1" applyBorder="1" applyAlignment="1">
      <alignment vertical="center" wrapText="1"/>
    </xf>
    <xf numFmtId="10" fontId="47" fillId="13" borderId="94" xfId="46" applyNumberFormat="1" applyFont="1" applyFill="1" applyBorder="1" applyAlignment="1">
      <alignment horizontal="right" vertical="center" wrapText="1"/>
    </xf>
    <xf numFmtId="3" fontId="97" fillId="13" borderId="0" xfId="39" applyNumberFormat="1" applyFill="1" applyAlignment="1">
      <alignment vertical="top" wrapText="1"/>
    </xf>
    <xf numFmtId="3" fontId="47" fillId="13" borderId="92" xfId="39" applyNumberFormat="1" applyFont="1" applyFill="1" applyBorder="1" applyAlignment="1">
      <alignment horizontal="right" vertical="center" wrapText="1"/>
    </xf>
    <xf numFmtId="4" fontId="47" fillId="13" borderId="0" xfId="39" applyNumberFormat="1" applyFont="1" applyFill="1" applyAlignment="1">
      <alignment vertical="top" wrapText="1"/>
    </xf>
    <xf numFmtId="0" fontId="97" fillId="13" borderId="108" xfId="39" applyFill="1" applyBorder="1" applyAlignment="1">
      <alignment vertical="top" wrapText="1"/>
    </xf>
    <xf numFmtId="10" fontId="47" fillId="13" borderId="94" xfId="44" applyNumberFormat="1" applyFont="1" applyFill="1" applyBorder="1" applyAlignment="1">
      <alignment horizontal="right" vertical="center" wrapText="1"/>
    </xf>
    <xf numFmtId="178" fontId="47" fillId="13" borderId="103" xfId="44" applyNumberFormat="1" applyFont="1" applyFill="1" applyBorder="1" applyAlignment="1">
      <alignment horizontal="left" vertical="top" wrapText="1"/>
    </xf>
    <xf numFmtId="178" fontId="6" fillId="13" borderId="103" xfId="44" applyNumberFormat="1" applyFont="1" applyFill="1" applyBorder="1" applyAlignment="1">
      <alignment horizontal="left" vertical="top" wrapText="1"/>
    </xf>
    <xf numFmtId="0" fontId="6" fillId="13" borderId="0" xfId="39" applyFont="1" applyFill="1" applyAlignment="1">
      <alignment horizontal="left" vertical="top" wrapText="1"/>
    </xf>
    <xf numFmtId="0" fontId="6" fillId="13" borderId="107" xfId="39" applyFont="1" applyFill="1" applyBorder="1" applyAlignment="1">
      <alignment horizontal="center" vertical="top" wrapText="1"/>
    </xf>
    <xf numFmtId="180" fontId="47" fillId="13" borderId="107" xfId="39" applyNumberFormat="1" applyFont="1" applyFill="1" applyBorder="1" applyAlignment="1">
      <alignment vertical="top" wrapText="1"/>
    </xf>
    <xf numFmtId="10" fontId="47" fillId="13" borderId="107" xfId="39" applyNumberFormat="1" applyFont="1" applyFill="1" applyBorder="1" applyAlignment="1">
      <alignment vertical="top" wrapText="1"/>
    </xf>
    <xf numFmtId="3" fontId="47" fillId="2" borderId="0" xfId="39" applyNumberFormat="1" applyFont="1" applyFill="1" applyAlignment="1">
      <alignment horizontal="right" vertical="center" wrapText="1"/>
    </xf>
    <xf numFmtId="0" fontId="6" fillId="13" borderId="107" xfId="39" applyFont="1" applyFill="1" applyBorder="1" applyAlignment="1">
      <alignment vertical="top" wrapText="1"/>
    </xf>
    <xf numFmtId="3" fontId="6" fillId="2" borderId="107" xfId="39" applyNumberFormat="1" applyFont="1" applyFill="1" applyBorder="1" applyAlignment="1">
      <alignment vertical="center" wrapText="1"/>
    </xf>
    <xf numFmtId="178" fontId="47" fillId="13" borderId="0" xfId="44" applyNumberFormat="1" applyFont="1" applyFill="1" applyBorder="1" applyAlignment="1">
      <alignment horizontal="right" vertical="center" wrapText="1"/>
    </xf>
    <xf numFmtId="178" fontId="47" fillId="13" borderId="0" xfId="44" applyNumberFormat="1" applyFont="1" applyFill="1" applyBorder="1" applyAlignment="1">
      <alignment horizontal="left" vertical="top" wrapText="1"/>
    </xf>
    <xf numFmtId="178" fontId="47" fillId="13" borderId="107" xfId="44" applyNumberFormat="1" applyFont="1" applyFill="1" applyBorder="1" applyAlignment="1">
      <alignment horizontal="right" vertical="center" wrapText="1"/>
    </xf>
    <xf numFmtId="0" fontId="6" fillId="13" borderId="108" xfId="39" applyFont="1" applyFill="1" applyBorder="1" applyAlignment="1">
      <alignment vertical="top" wrapText="1"/>
    </xf>
    <xf numFmtId="0" fontId="6" fillId="13" borderId="109" xfId="39" applyFont="1" applyFill="1" applyBorder="1" applyAlignment="1">
      <alignment vertical="top" wrapText="1"/>
    </xf>
    <xf numFmtId="0" fontId="6" fillId="13" borderId="107" xfId="39" applyFont="1" applyFill="1" applyBorder="1" applyAlignment="1">
      <alignment horizontal="right" vertical="top" wrapText="1"/>
    </xf>
    <xf numFmtId="0" fontId="47" fillId="13" borderId="109" xfId="39" applyFont="1" applyFill="1" applyBorder="1" applyAlignment="1">
      <alignment vertical="top" wrapText="1"/>
    </xf>
    <xf numFmtId="0" fontId="97" fillId="13" borderId="94" xfId="39" applyFill="1" applyBorder="1" applyAlignment="1">
      <alignment vertical="center" wrapText="1"/>
    </xf>
    <xf numFmtId="0" fontId="6" fillId="13" borderId="108" xfId="39" applyFont="1" applyFill="1" applyBorder="1" applyAlignment="1">
      <alignment horizontal="right" vertical="top" wrapText="1"/>
    </xf>
    <xf numFmtId="4" fontId="6" fillId="13" borderId="103" xfId="39" applyNumberFormat="1" applyFont="1" applyFill="1" applyBorder="1" applyAlignment="1">
      <alignment vertical="top" wrapText="1"/>
    </xf>
    <xf numFmtId="9" fontId="47" fillId="13" borderId="110" xfId="39" applyNumberFormat="1" applyFont="1" applyFill="1" applyBorder="1" applyAlignment="1">
      <alignment vertical="top" wrapText="1"/>
    </xf>
    <xf numFmtId="0" fontId="66" fillId="0" borderId="94" xfId="34" applyFont="1" applyBorder="1"/>
    <xf numFmtId="0" fontId="97" fillId="0" borderId="103" xfId="18" applyBorder="1" applyAlignment="1">
      <alignment vertical="center" wrapText="1"/>
    </xf>
    <xf numFmtId="0" fontId="97" fillId="0" borderId="103" xfId="18" applyBorder="1"/>
    <xf numFmtId="43" fontId="97" fillId="0" borderId="103" xfId="18" applyNumberFormat="1" applyBorder="1"/>
    <xf numFmtId="0" fontId="66" fillId="0" borderId="90" xfId="34" applyFont="1" applyBorder="1"/>
    <xf numFmtId="0" fontId="97" fillId="0" borderId="96" xfId="18" applyBorder="1" applyAlignment="1">
      <alignment vertical="center" wrapText="1"/>
    </xf>
    <xf numFmtId="0" fontId="97" fillId="0" borderId="96" xfId="18" applyBorder="1"/>
    <xf numFmtId="3" fontId="97" fillId="0" borderId="96" xfId="18" applyNumberFormat="1" applyBorder="1"/>
    <xf numFmtId="3" fontId="6" fillId="26" borderId="111" xfId="14" applyNumberFormat="1" applyFont="1" applyFill="1" applyBorder="1" applyAlignment="1">
      <alignment horizontal="center" vertical="center"/>
    </xf>
    <xf numFmtId="3" fontId="6" fillId="26" borderId="112" xfId="14" applyNumberFormat="1" applyFont="1" applyFill="1" applyBorder="1" applyAlignment="1">
      <alignment horizontal="center" vertical="center"/>
    </xf>
    <xf numFmtId="0" fontId="97" fillId="0" borderId="0" xfId="18"/>
    <xf numFmtId="3" fontId="6" fillId="0" borderId="99" xfId="14" applyNumberFormat="1" applyFont="1" applyBorder="1" applyAlignment="1">
      <alignment vertical="center" wrapText="1"/>
    </xf>
    <xf numFmtId="43" fontId="47" fillId="0" borderId="12" xfId="1" applyFont="1" applyBorder="1" applyAlignment="1">
      <alignment vertical="center"/>
    </xf>
    <xf numFmtId="3" fontId="79" fillId="0" borderId="99" xfId="14" applyNumberFormat="1" applyFont="1" applyBorder="1" applyAlignment="1">
      <alignment horizontal="right" vertical="center" wrapText="1"/>
    </xf>
    <xf numFmtId="43" fontId="79" fillId="0" borderId="12" xfId="1" applyFont="1" applyBorder="1" applyAlignment="1">
      <alignment vertical="center"/>
    </xf>
    <xf numFmtId="43" fontId="79" fillId="0" borderId="100" xfId="1" applyFont="1" applyBorder="1" applyAlignment="1">
      <alignment vertical="center"/>
    </xf>
    <xf numFmtId="3" fontId="2" fillId="0" borderId="101" xfId="14" applyNumberFormat="1" applyFont="1" applyBorder="1" applyAlignment="1">
      <alignment horizontal="center" vertical="center" wrapText="1"/>
    </xf>
    <xf numFmtId="43" fontId="2" fillId="0" borderId="113" xfId="1" applyFont="1" applyBorder="1" applyAlignment="1">
      <alignment horizontal="center" vertical="center"/>
    </xf>
    <xf numFmtId="3" fontId="97" fillId="0" borderId="103" xfId="18" applyNumberFormat="1" applyBorder="1"/>
    <xf numFmtId="0" fontId="97" fillId="0" borderId="0" xfId="18" applyAlignment="1">
      <alignment vertical="center" wrapText="1"/>
    </xf>
    <xf numFmtId="3" fontId="97" fillId="0" borderId="0" xfId="18" applyNumberFormat="1"/>
    <xf numFmtId="3" fontId="47" fillId="2" borderId="96" xfId="14" applyNumberFormat="1" applyFont="1" applyFill="1" applyBorder="1"/>
    <xf numFmtId="0" fontId="97" fillId="13" borderId="91" xfId="39" applyFill="1" applyBorder="1" applyAlignment="1">
      <alignment vertical="center"/>
    </xf>
    <xf numFmtId="0" fontId="97" fillId="13" borderId="93" xfId="39" applyFill="1" applyBorder="1"/>
    <xf numFmtId="0" fontId="3" fillId="13" borderId="95" xfId="39" applyFont="1" applyFill="1" applyBorder="1"/>
    <xf numFmtId="0" fontId="3" fillId="13" borderId="93" xfId="39" applyFont="1" applyFill="1" applyBorder="1"/>
    <xf numFmtId="9" fontId="0" fillId="0" borderId="0" xfId="46" applyFont="1" applyBorder="1"/>
    <xf numFmtId="179" fontId="6" fillId="13" borderId="92" xfId="10" applyNumberFormat="1" applyFont="1" applyFill="1" applyBorder="1" applyAlignment="1">
      <alignment horizontal="right" vertical="center" wrapText="1"/>
    </xf>
    <xf numFmtId="0" fontId="97" fillId="13" borderId="95" xfId="39" applyFill="1" applyBorder="1"/>
    <xf numFmtId="0" fontId="6" fillId="13" borderId="93" xfId="39" applyFont="1" applyFill="1" applyBorder="1" applyAlignment="1">
      <alignment vertical="top" wrapText="1"/>
    </xf>
    <xf numFmtId="180" fontId="47" fillId="2" borderId="93" xfId="9" applyNumberFormat="1" applyFont="1" applyFill="1" applyBorder="1" applyAlignment="1">
      <alignment vertical="top" wrapText="1"/>
    </xf>
    <xf numFmtId="180" fontId="6" fillId="13" borderId="107" xfId="39" applyNumberFormat="1" applyFont="1" applyFill="1" applyBorder="1" applyAlignment="1">
      <alignment vertical="top" wrapText="1"/>
    </xf>
    <xf numFmtId="10" fontId="47" fillId="13" borderId="93" xfId="46" applyNumberFormat="1" applyFont="1" applyFill="1" applyBorder="1" applyAlignment="1">
      <alignment vertical="top" wrapText="1"/>
    </xf>
    <xf numFmtId="10" fontId="6" fillId="13" borderId="107" xfId="39" applyNumberFormat="1" applyFont="1" applyFill="1" applyBorder="1" applyAlignment="1">
      <alignment vertical="top" wrapText="1"/>
    </xf>
    <xf numFmtId="0" fontId="6" fillId="13" borderId="106" xfId="39" applyFont="1" applyFill="1" applyBorder="1" applyAlignment="1">
      <alignment vertical="top" wrapText="1"/>
    </xf>
    <xf numFmtId="3" fontId="47" fillId="2" borderId="107" xfId="39" applyNumberFormat="1" applyFont="1" applyFill="1" applyBorder="1" applyAlignment="1">
      <alignment vertical="top" wrapText="1"/>
    </xf>
    <xf numFmtId="10" fontId="47" fillId="13" borderId="108" xfId="46" applyNumberFormat="1" applyFont="1" applyFill="1" applyBorder="1" applyAlignment="1">
      <alignment vertical="top" wrapText="1"/>
    </xf>
    <xf numFmtId="0" fontId="6" fillId="13" borderId="95" xfId="39" applyFont="1" applyFill="1" applyBorder="1" applyAlignment="1">
      <alignment vertical="top" wrapText="1"/>
    </xf>
    <xf numFmtId="0" fontId="97" fillId="0" borderId="103" xfId="20" applyBorder="1"/>
    <xf numFmtId="0" fontId="66" fillId="0" borderId="103" xfId="34" applyFont="1" applyBorder="1"/>
    <xf numFmtId="0" fontId="97" fillId="0" borderId="96" xfId="20" applyBorder="1"/>
    <xf numFmtId="0" fontId="66" fillId="0" borderId="96" xfId="34" applyFont="1" applyBorder="1"/>
    <xf numFmtId="3" fontId="77" fillId="2" borderId="91" xfId="14" applyNumberFormat="1" applyFont="1" applyFill="1" applyBorder="1"/>
    <xf numFmtId="3" fontId="47" fillId="0" borderId="93" xfId="14" applyNumberFormat="1" applyFont="1" applyBorder="1"/>
    <xf numFmtId="3" fontId="47" fillId="0" borderId="95" xfId="14" applyNumberFormat="1" applyFont="1" applyBorder="1"/>
    <xf numFmtId="3" fontId="47" fillId="2" borderId="91" xfId="14" applyNumberFormat="1" applyFont="1" applyFill="1" applyBorder="1"/>
    <xf numFmtId="0" fontId="66" fillId="0" borderId="93" xfId="34" applyFont="1" applyBorder="1"/>
    <xf numFmtId="0" fontId="66" fillId="0" borderId="95" xfId="34" applyFont="1" applyBorder="1"/>
    <xf numFmtId="0" fontId="66" fillId="0" borderId="91" xfId="34" applyFont="1" applyBorder="1"/>
    <xf numFmtId="166" fontId="0" fillId="0" borderId="0" xfId="9" applyFont="1"/>
    <xf numFmtId="0" fontId="47" fillId="0" borderId="0" xfId="18" applyFont="1" applyAlignment="1">
      <alignment vertical="center" wrapText="1"/>
    </xf>
    <xf numFmtId="0" fontId="97" fillId="0" borderId="12" xfId="18" applyBorder="1" applyAlignment="1">
      <alignment vertical="center" wrapText="1"/>
    </xf>
    <xf numFmtId="0" fontId="97" fillId="0" borderId="12" xfId="18" applyBorder="1" applyAlignment="1">
      <alignment horizontal="center"/>
    </xf>
    <xf numFmtId="3" fontId="97" fillId="0" borderId="12" xfId="18" applyNumberFormat="1" applyBorder="1" applyAlignment="1">
      <alignment horizontal="center"/>
    </xf>
    <xf numFmtId="0" fontId="3" fillId="0" borderId="12" xfId="18" applyFont="1" applyBorder="1" applyAlignment="1">
      <alignment vertical="center" wrapText="1"/>
    </xf>
    <xf numFmtId="180" fontId="28" fillId="0" borderId="12" xfId="18" applyNumberFormat="1" applyFont="1" applyBorder="1"/>
    <xf numFmtId="180" fontId="97" fillId="0" borderId="12" xfId="18" applyNumberFormat="1" applyBorder="1"/>
    <xf numFmtId="180" fontId="3" fillId="0" borderId="12" xfId="9" applyNumberFormat="1" applyFont="1" applyBorder="1"/>
    <xf numFmtId="180" fontId="0" fillId="0" borderId="12" xfId="9" applyNumberFormat="1" applyFont="1" applyBorder="1"/>
    <xf numFmtId="0" fontId="5" fillId="0" borderId="12" xfId="18" applyFont="1" applyBorder="1" applyAlignment="1">
      <alignment vertical="center" wrapText="1"/>
    </xf>
    <xf numFmtId="180" fontId="51" fillId="0" borderId="12" xfId="9" applyNumberFormat="1" applyFont="1" applyBorder="1"/>
    <xf numFmtId="180" fontId="5" fillId="0" borderId="12" xfId="9" applyNumberFormat="1" applyFont="1" applyBorder="1"/>
    <xf numFmtId="3" fontId="3" fillId="0" borderId="12" xfId="18" applyNumberFormat="1" applyFont="1" applyBorder="1"/>
    <xf numFmtId="3" fontId="97" fillId="0" borderId="12" xfId="18" applyNumberFormat="1" applyBorder="1"/>
    <xf numFmtId="180" fontId="3" fillId="0" borderId="12" xfId="18" applyNumberFormat="1" applyFont="1" applyBorder="1"/>
    <xf numFmtId="179" fontId="97" fillId="0" borderId="0" xfId="18" applyNumberFormat="1"/>
    <xf numFmtId="0" fontId="9" fillId="0" borderId="0" xfId="20" applyFont="1"/>
    <xf numFmtId="0" fontId="80" fillId="19" borderId="15" xfId="14" applyFont="1" applyFill="1" applyBorder="1" applyAlignment="1">
      <alignment horizontal="center" vertical="center" wrapText="1"/>
    </xf>
    <xf numFmtId="0" fontId="80" fillId="19" borderId="16" xfId="14" applyFont="1" applyFill="1" applyBorder="1" applyAlignment="1">
      <alignment horizontal="center" vertical="center" wrapText="1"/>
    </xf>
    <xf numFmtId="0" fontId="80" fillId="19" borderId="51" xfId="14" applyFont="1" applyFill="1" applyBorder="1" applyAlignment="1">
      <alignment horizontal="center" vertical="center" wrapText="1"/>
    </xf>
    <xf numFmtId="0" fontId="80" fillId="0" borderId="117" xfId="14" applyFont="1" applyBorder="1" applyAlignment="1">
      <alignment vertical="top"/>
    </xf>
    <xf numFmtId="3" fontId="75" fillId="0" borderId="47" xfId="14" applyNumberFormat="1" applyFont="1" applyBorder="1" applyAlignment="1">
      <alignment vertical="top" wrapText="1"/>
    </xf>
    <xf numFmtId="3" fontId="75" fillId="0" borderId="33" xfId="14" applyNumberFormat="1" applyFont="1" applyBorder="1" applyAlignment="1">
      <alignment vertical="top" wrapText="1"/>
    </xf>
    <xf numFmtId="3" fontId="75" fillId="0" borderId="34" xfId="14" applyNumberFormat="1" applyFont="1" applyBorder="1" applyAlignment="1">
      <alignment vertical="top" wrapText="1"/>
    </xf>
    <xf numFmtId="3" fontId="75" fillId="0" borderId="117" xfId="14" applyNumberFormat="1" applyFont="1" applyBorder="1" applyAlignment="1">
      <alignment vertical="top" wrapText="1"/>
    </xf>
    <xf numFmtId="0" fontId="80" fillId="19" borderId="115" xfId="14" applyFont="1" applyFill="1" applyBorder="1" applyAlignment="1">
      <alignment horizontal="right" vertical="top"/>
    </xf>
    <xf numFmtId="3" fontId="80" fillId="19" borderId="10" xfId="14" applyNumberFormat="1" applyFont="1" applyFill="1" applyBorder="1" applyAlignment="1">
      <alignment vertical="top" wrapText="1"/>
    </xf>
    <xf numFmtId="3" fontId="80" fillId="19" borderId="12" xfId="14" applyNumberFormat="1" applyFont="1" applyFill="1" applyBorder="1" applyAlignment="1">
      <alignment vertical="top" wrapText="1"/>
    </xf>
    <xf numFmtId="3" fontId="80" fillId="19" borderId="11" xfId="14" applyNumberFormat="1" applyFont="1" applyFill="1" applyBorder="1" applyAlignment="1">
      <alignment vertical="top" wrapText="1"/>
    </xf>
    <xf numFmtId="3" fontId="80" fillId="19" borderId="115" xfId="14" applyNumberFormat="1" applyFont="1" applyFill="1" applyBorder="1" applyAlignment="1">
      <alignment vertical="top" wrapText="1"/>
    </xf>
    <xf numFmtId="0" fontId="80" fillId="0" borderId="115" xfId="14" applyFont="1" applyBorder="1" applyAlignment="1">
      <alignment vertical="top"/>
    </xf>
    <xf numFmtId="43" fontId="75" fillId="0" borderId="10" xfId="1" applyFont="1" applyBorder="1" applyAlignment="1">
      <alignment wrapText="1"/>
    </xf>
    <xf numFmtId="43" fontId="75" fillId="0" borderId="12" xfId="1" applyFont="1" applyBorder="1" applyAlignment="1">
      <alignment wrapText="1"/>
    </xf>
    <xf numFmtId="43" fontId="75" fillId="0" borderId="11" xfId="1" applyFont="1" applyBorder="1" applyAlignment="1">
      <alignment wrapText="1"/>
    </xf>
    <xf numFmtId="43" fontId="3" fillId="0" borderId="115" xfId="1" applyFont="1" applyBorder="1" applyAlignment="1">
      <alignment wrapText="1"/>
    </xf>
    <xf numFmtId="3" fontId="75" fillId="2" borderId="115" xfId="14" applyNumberFormat="1" applyFont="1" applyFill="1" applyBorder="1" applyAlignment="1">
      <alignment vertical="top" wrapText="1"/>
    </xf>
    <xf numFmtId="43" fontId="75" fillId="2" borderId="10" xfId="1" applyFont="1" applyFill="1" applyBorder="1" applyAlignment="1">
      <alignment wrapText="1"/>
    </xf>
    <xf numFmtId="43" fontId="75" fillId="2" borderId="12" xfId="1" applyFont="1" applyFill="1" applyBorder="1" applyAlignment="1">
      <alignment wrapText="1"/>
    </xf>
    <xf numFmtId="43" fontId="75" fillId="2" borderId="11" xfId="1" applyFont="1" applyFill="1" applyBorder="1" applyAlignment="1">
      <alignment wrapText="1"/>
    </xf>
    <xf numFmtId="43" fontId="3" fillId="2" borderId="115" xfId="1" applyFont="1" applyFill="1" applyBorder="1" applyAlignment="1">
      <alignment wrapText="1"/>
    </xf>
    <xf numFmtId="0" fontId="75" fillId="0" borderId="115" xfId="35" applyBorder="1" applyAlignment="1">
      <alignment vertical="top"/>
    </xf>
    <xf numFmtId="43" fontId="75" fillId="2" borderId="115" xfId="1" applyFont="1" applyFill="1" applyBorder="1" applyAlignment="1">
      <alignment wrapText="1"/>
    </xf>
    <xf numFmtId="43" fontId="80" fillId="19" borderId="10" xfId="1" applyFont="1" applyFill="1" applyBorder="1" applyAlignment="1">
      <alignment wrapText="1"/>
    </xf>
    <xf numFmtId="43" fontId="80" fillId="19" borderId="12" xfId="1" applyFont="1" applyFill="1" applyBorder="1" applyAlignment="1">
      <alignment wrapText="1"/>
    </xf>
    <xf numFmtId="43" fontId="80" fillId="19" borderId="11" xfId="1" applyFont="1" applyFill="1" applyBorder="1" applyAlignment="1">
      <alignment wrapText="1"/>
    </xf>
    <xf numFmtId="43" fontId="80" fillId="19" borderId="115" xfId="1" applyFont="1" applyFill="1" applyBorder="1" applyAlignment="1">
      <alignment wrapText="1"/>
    </xf>
    <xf numFmtId="3" fontId="75" fillId="2" borderId="115" xfId="14" applyNumberFormat="1" applyFont="1" applyFill="1" applyBorder="1" applyAlignment="1">
      <alignment wrapText="1"/>
    </xf>
    <xf numFmtId="43" fontId="80" fillId="19" borderId="10" xfId="1" applyFont="1" applyFill="1" applyBorder="1" applyAlignment="1">
      <alignment vertical="top" wrapText="1"/>
    </xf>
    <xf numFmtId="43" fontId="80" fillId="19" borderId="12" xfId="1" applyFont="1" applyFill="1" applyBorder="1" applyAlignment="1">
      <alignment vertical="top" wrapText="1"/>
    </xf>
    <xf numFmtId="43" fontId="80" fillId="19" borderId="11" xfId="1" applyFont="1" applyFill="1" applyBorder="1" applyAlignment="1">
      <alignment vertical="top" wrapText="1"/>
    </xf>
    <xf numFmtId="43" fontId="80" fillId="19" borderId="115" xfId="1" applyFont="1" applyFill="1" applyBorder="1" applyAlignment="1">
      <alignment vertical="top" wrapText="1"/>
    </xf>
    <xf numFmtId="0" fontId="80" fillId="0" borderId="115" xfId="35" applyFont="1" applyBorder="1" applyAlignment="1">
      <alignment vertical="top"/>
    </xf>
    <xf numFmtId="0" fontId="80" fillId="19" borderId="116" xfId="14" applyFont="1" applyFill="1" applyBorder="1" applyAlignment="1">
      <alignment horizontal="right" vertical="top"/>
    </xf>
    <xf numFmtId="43" fontId="80" fillId="19" borderId="15" xfId="1" applyFont="1" applyFill="1" applyBorder="1" applyAlignment="1">
      <alignment vertical="top" wrapText="1"/>
    </xf>
    <xf numFmtId="43" fontId="80" fillId="19" borderId="16" xfId="1" applyFont="1" applyFill="1" applyBorder="1" applyAlignment="1">
      <alignment vertical="top" wrapText="1"/>
    </xf>
    <xf numFmtId="43" fontId="80" fillId="19" borderId="51" xfId="1" applyFont="1" applyFill="1" applyBorder="1" applyAlignment="1">
      <alignment vertical="top" wrapText="1"/>
    </xf>
    <xf numFmtId="43" fontId="80" fillId="19" borderId="116" xfId="1" applyFont="1" applyFill="1" applyBorder="1" applyAlignment="1">
      <alignment vertical="top" wrapText="1"/>
    </xf>
    <xf numFmtId="0" fontId="75" fillId="2" borderId="118" xfId="35" applyFill="1" applyBorder="1" applyAlignment="1">
      <alignment vertical="top"/>
    </xf>
    <xf numFmtId="10" fontId="0" fillId="2" borderId="0" xfId="1" applyNumberFormat="1" applyFont="1" applyFill="1"/>
    <xf numFmtId="0" fontId="75" fillId="2" borderId="0" xfId="35" applyFill="1" applyAlignment="1">
      <alignment vertical="top" wrapText="1"/>
    </xf>
    <xf numFmtId="0" fontId="3" fillId="2" borderId="0" xfId="35" applyFont="1" applyFill="1" applyAlignment="1">
      <alignment vertical="top" wrapText="1"/>
    </xf>
    <xf numFmtId="10" fontId="3" fillId="2" borderId="45" xfId="2" applyNumberFormat="1" applyFont="1" applyFill="1" applyBorder="1"/>
    <xf numFmtId="10" fontId="3" fillId="2" borderId="46" xfId="2" applyNumberFormat="1" applyFont="1" applyFill="1" applyBorder="1"/>
    <xf numFmtId="10" fontId="3" fillId="2" borderId="57" xfId="1" applyNumberFormat="1" applyFont="1" applyFill="1" applyBorder="1"/>
    <xf numFmtId="1" fontId="0" fillId="2" borderId="119" xfId="2" applyNumberFormat="1" applyFont="1" applyFill="1" applyBorder="1"/>
    <xf numFmtId="43" fontId="0" fillId="2" borderId="119" xfId="1" applyFont="1" applyFill="1" applyBorder="1" applyAlignment="1">
      <alignment horizontal="right"/>
    </xf>
    <xf numFmtId="10" fontId="0" fillId="2" borderId="0" xfId="2" applyNumberFormat="1" applyFont="1" applyFill="1" applyAlignment="1"/>
    <xf numFmtId="0" fontId="0" fillId="2" borderId="12" xfId="0" applyFill="1" applyBorder="1"/>
    <xf numFmtId="178" fontId="0" fillId="27" borderId="12" xfId="2" applyNumberFormat="1" applyFont="1" applyFill="1" applyBorder="1" applyProtection="1">
      <protection locked="0"/>
    </xf>
    <xf numFmtId="175" fontId="0" fillId="2" borderId="12" xfId="1" applyNumberFormat="1" applyFont="1" applyFill="1" applyBorder="1" applyAlignment="1"/>
    <xf numFmtId="175" fontId="0" fillId="2" borderId="12" xfId="1" applyNumberFormat="1" applyFont="1" applyFill="1" applyBorder="1" applyAlignment="1">
      <alignment wrapText="1"/>
    </xf>
    <xf numFmtId="0" fontId="80" fillId="19" borderId="120" xfId="0" applyFont="1" applyFill="1" applyBorder="1" applyAlignment="1">
      <alignment vertical="top"/>
    </xf>
    <xf numFmtId="0" fontId="80" fillId="19" borderId="124" xfId="0" applyFont="1" applyFill="1" applyBorder="1" applyAlignment="1">
      <alignment vertical="top"/>
    </xf>
    <xf numFmtId="0" fontId="80" fillId="0" borderId="87" xfId="0" applyFont="1" applyBorder="1" applyAlignment="1">
      <alignment horizontal="center" vertical="top" wrapText="1"/>
    </xf>
    <xf numFmtId="0" fontId="80" fillId="0" borderId="125" xfId="0" applyFont="1" applyBorder="1" applyAlignment="1">
      <alignment horizontal="center" vertical="top" wrapText="1"/>
    </xf>
    <xf numFmtId="0" fontId="80" fillId="0" borderId="89" xfId="0" applyFont="1" applyBorder="1" applyAlignment="1">
      <alignment horizontal="center" vertical="top" wrapText="1"/>
    </xf>
    <xf numFmtId="0" fontId="80" fillId="0" borderId="126" xfId="0" applyFont="1" applyBorder="1" applyAlignment="1">
      <alignment horizontal="right" vertical="top"/>
    </xf>
    <xf numFmtId="4" fontId="80" fillId="0" borderId="82" xfId="0" applyNumberFormat="1" applyFont="1" applyBorder="1" applyAlignment="1">
      <alignment vertical="top" wrapText="1"/>
    </xf>
    <xf numFmtId="4" fontId="80" fillId="0" borderId="84" xfId="1" applyNumberFormat="1" applyFont="1" applyFill="1" applyBorder="1" applyAlignment="1">
      <alignment vertical="top" wrapText="1"/>
    </xf>
    <xf numFmtId="0" fontId="75" fillId="0" borderId="127" xfId="35" applyBorder="1" applyAlignment="1">
      <alignment vertical="top"/>
    </xf>
    <xf numFmtId="4" fontId="0" fillId="0" borderId="85" xfId="0" applyNumberFormat="1" applyBorder="1"/>
    <xf numFmtId="4" fontId="75" fillId="0" borderId="86" xfId="1" applyNumberFormat="1" applyFont="1" applyFill="1" applyBorder="1" applyAlignment="1">
      <alignment vertical="top" wrapText="1"/>
    </xf>
    <xf numFmtId="0" fontId="75" fillId="0" borderId="124" xfId="35" applyBorder="1" applyAlignment="1">
      <alignment vertical="top"/>
    </xf>
    <xf numFmtId="4" fontId="3" fillId="0" borderId="87" xfId="0" applyNumberFormat="1" applyFont="1" applyBorder="1"/>
    <xf numFmtId="4" fontId="3" fillId="0" borderId="89" xfId="1" applyNumberFormat="1" applyFont="1" applyFill="1" applyBorder="1"/>
    <xf numFmtId="0" fontId="81" fillId="2" borderId="0" xfId="0" applyFont="1" applyFill="1"/>
    <xf numFmtId="43" fontId="75" fillId="0" borderId="115" xfId="1" applyFont="1" applyBorder="1" applyAlignment="1">
      <alignment wrapText="1"/>
    </xf>
    <xf numFmtId="3" fontId="0" fillId="2" borderId="128" xfId="0" applyNumberFormat="1" applyFill="1" applyBorder="1"/>
    <xf numFmtId="3" fontId="0" fillId="2" borderId="128" xfId="0" applyNumberFormat="1" applyFill="1" applyBorder="1" applyAlignment="1">
      <alignment horizontal="right"/>
    </xf>
    <xf numFmtId="0" fontId="0" fillId="2" borderId="128" xfId="0" applyFill="1" applyBorder="1"/>
    <xf numFmtId="0" fontId="80" fillId="0" borderId="88" xfId="0" applyFont="1" applyBorder="1" applyAlignment="1">
      <alignment horizontal="center" vertical="top" wrapText="1"/>
    </xf>
    <xf numFmtId="43" fontId="80" fillId="0" borderId="82" xfId="1" applyFont="1" applyFill="1" applyBorder="1" applyAlignment="1">
      <alignment vertical="top" wrapText="1"/>
    </xf>
    <xf numFmtId="43" fontId="80" fillId="0" borderId="84" xfId="1" applyFont="1" applyFill="1" applyBorder="1" applyAlignment="1">
      <alignment vertical="top" wrapText="1"/>
    </xf>
    <xf numFmtId="43" fontId="3" fillId="2" borderId="126" xfId="1" applyFont="1" applyFill="1" applyBorder="1"/>
    <xf numFmtId="43" fontId="0" fillId="0" borderId="85" xfId="1" applyFont="1" applyFill="1" applyBorder="1"/>
    <xf numFmtId="43" fontId="75" fillId="0" borderId="86" xfId="1" applyFont="1" applyFill="1" applyBorder="1" applyAlignment="1">
      <alignment vertical="top" wrapText="1"/>
    </xf>
    <xf numFmtId="43" fontId="0" fillId="2" borderId="127" xfId="1" applyFont="1" applyFill="1" applyBorder="1"/>
    <xf numFmtId="43" fontId="3" fillId="0" borderId="88" xfId="1" applyFont="1" applyFill="1" applyBorder="1"/>
    <xf numFmtId="43" fontId="3" fillId="0" borderId="89" xfId="1" applyFont="1" applyFill="1" applyBorder="1"/>
    <xf numFmtId="43" fontId="3" fillId="2" borderId="124" xfId="1" applyFont="1" applyFill="1" applyBorder="1"/>
    <xf numFmtId="3" fontId="3" fillId="2" borderId="0" xfId="0" applyNumberFormat="1" applyFont="1" applyFill="1"/>
    <xf numFmtId="3" fontId="3" fillId="2" borderId="16" xfId="0" applyNumberFormat="1" applyFont="1" applyFill="1" applyBorder="1"/>
    <xf numFmtId="43" fontId="3" fillId="0" borderId="87" xfId="1" applyFont="1" applyFill="1" applyBorder="1"/>
    <xf numFmtId="10" fontId="0" fillId="2" borderId="0" xfId="2" applyNumberFormat="1" applyFont="1" applyFill="1" applyBorder="1"/>
    <xf numFmtId="9" fontId="3" fillId="2" borderId="0" xfId="2" applyFont="1" applyFill="1"/>
    <xf numFmtId="43" fontId="0" fillId="0" borderId="82" xfId="1" applyFont="1" applyFill="1" applyBorder="1" applyAlignment="1">
      <alignment vertical="top" wrapText="1"/>
    </xf>
    <xf numFmtId="43" fontId="3" fillId="2" borderId="0" xfId="1" applyFont="1" applyFill="1"/>
    <xf numFmtId="0" fontId="3" fillId="2" borderId="0" xfId="14" applyFont="1" applyFill="1"/>
    <xf numFmtId="0" fontId="0" fillId="2" borderId="131" xfId="0" applyFill="1" applyBorder="1" applyAlignment="1">
      <alignment horizontal="left" vertical="center" wrapText="1"/>
    </xf>
    <xf numFmtId="0" fontId="0" fillId="2" borderId="132" xfId="0" applyFill="1" applyBorder="1" applyAlignment="1">
      <alignment horizontal="center" vertical="center" wrapText="1"/>
    </xf>
    <xf numFmtId="0" fontId="0" fillId="2" borderId="133" xfId="0" applyFill="1" applyBorder="1" applyAlignment="1">
      <alignment horizontal="center" vertical="center" wrapText="1"/>
    </xf>
    <xf numFmtId="0" fontId="0" fillId="2" borderId="13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35" xfId="0" applyFill="1" applyBorder="1"/>
    <xf numFmtId="43" fontId="0" fillId="2" borderId="136" xfId="1" applyFont="1" applyFill="1" applyBorder="1"/>
    <xf numFmtId="3" fontId="0" fillId="2" borderId="119" xfId="0" applyNumberFormat="1" applyFill="1" applyBorder="1"/>
    <xf numFmtId="43" fontId="0" fillId="2" borderId="137" xfId="1" applyFont="1" applyFill="1" applyBorder="1"/>
    <xf numFmtId="43" fontId="0" fillId="2" borderId="138" xfId="1" applyFont="1" applyFill="1" applyBorder="1"/>
    <xf numFmtId="43" fontId="0" fillId="2" borderId="139" xfId="1" applyFont="1" applyFill="1" applyBorder="1"/>
    <xf numFmtId="0" fontId="82" fillId="2" borderId="135" xfId="0" applyFont="1" applyFill="1" applyBorder="1"/>
    <xf numFmtId="43" fontId="0" fillId="2" borderId="128" xfId="1" applyFont="1" applyFill="1" applyBorder="1"/>
    <xf numFmtId="0" fontId="0" fillId="2" borderId="135" xfId="0" applyFill="1" applyBorder="1" applyAlignment="1">
      <alignment horizontal="left"/>
    </xf>
    <xf numFmtId="0" fontId="3" fillId="2" borderId="140" xfId="0" applyFont="1" applyFill="1" applyBorder="1"/>
    <xf numFmtId="43" fontId="3" fillId="2" borderId="138" xfId="1" applyFont="1" applyFill="1" applyBorder="1"/>
    <xf numFmtId="43" fontId="3" fillId="2" borderId="139" xfId="1" applyFont="1" applyFill="1" applyBorder="1"/>
    <xf numFmtId="0" fontId="0" fillId="2" borderId="141" xfId="0" applyFill="1" applyBorder="1"/>
    <xf numFmtId="0" fontId="3" fillId="2" borderId="142" xfId="0" applyFont="1" applyFill="1" applyBorder="1"/>
    <xf numFmtId="43" fontId="3" fillId="2" borderId="143" xfId="1" applyFont="1" applyFill="1" applyBorder="1"/>
    <xf numFmtId="43" fontId="3" fillId="2" borderId="144" xfId="1" applyFont="1" applyFill="1" applyBorder="1"/>
    <xf numFmtId="43" fontId="3" fillId="2" borderId="145" xfId="1" applyFont="1" applyFill="1" applyBorder="1"/>
    <xf numFmtId="0" fontId="3" fillId="2" borderId="0" xfId="35" applyFont="1" applyFill="1" applyAlignment="1">
      <alignment vertical="top"/>
    </xf>
    <xf numFmtId="0" fontId="3" fillId="2" borderId="146" xfId="0" applyFont="1" applyFill="1" applyBorder="1" applyAlignment="1">
      <alignment horizontal="center" vertical="center" wrapText="1"/>
    </xf>
    <xf numFmtId="0" fontId="3" fillId="2" borderId="147" xfId="0" applyFont="1" applyFill="1" applyBorder="1" applyAlignment="1">
      <alignment horizontal="center" vertical="center" wrapText="1"/>
    </xf>
    <xf numFmtId="0" fontId="3" fillId="2" borderId="14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28" xfId="0" applyFont="1" applyFill="1" applyBorder="1" applyAlignment="1">
      <alignment horizontal="center" vertical="center" wrapText="1"/>
    </xf>
    <xf numFmtId="169" fontId="0" fillId="2" borderId="0" xfId="2" applyNumberFormat="1" applyFont="1" applyFill="1"/>
    <xf numFmtId="181" fontId="3" fillId="2" borderId="0" xfId="1" applyNumberFormat="1" applyFont="1" applyFill="1"/>
    <xf numFmtId="169" fontId="3" fillId="2" borderId="0" xfId="2" applyNumberFormat="1" applyFont="1" applyFill="1"/>
    <xf numFmtId="181" fontId="0" fillId="2" borderId="0" xfId="1" applyNumberFormat="1" applyFont="1" applyFill="1"/>
    <xf numFmtId="43" fontId="80" fillId="0" borderId="149" xfId="1" applyFont="1" applyFill="1" applyBorder="1" applyAlignment="1">
      <alignment vertical="top" wrapText="1"/>
    </xf>
    <xf numFmtId="43" fontId="75" fillId="0" borderId="83" xfId="1" applyFont="1" applyFill="1" applyBorder="1" applyAlignment="1">
      <alignment vertical="top" wrapText="1"/>
    </xf>
    <xf numFmtId="0" fontId="97" fillId="2" borderId="0" xfId="14" applyFill="1"/>
    <xf numFmtId="0" fontId="97" fillId="2" borderId="0" xfId="14" applyFill="1" applyAlignment="1">
      <alignment horizontal="center" vertical="center"/>
    </xf>
    <xf numFmtId="43" fontId="97" fillId="2" borderId="0" xfId="14" applyNumberFormat="1" applyFill="1"/>
    <xf numFmtId="43" fontId="3" fillId="2" borderId="150" xfId="1" applyFont="1" applyFill="1" applyBorder="1"/>
    <xf numFmtId="3" fontId="9" fillId="2" borderId="0" xfId="0" applyNumberFormat="1" applyFont="1" applyFill="1"/>
    <xf numFmtId="43" fontId="9" fillId="2" borderId="0" xfId="1" applyFont="1" applyFill="1"/>
    <xf numFmtId="3" fontId="81" fillId="2" borderId="0" xfId="0" applyNumberFormat="1" applyFont="1" applyFill="1"/>
    <xf numFmtId="0" fontId="75" fillId="2" borderId="0" xfId="35" applyFill="1" applyAlignment="1">
      <alignment horizontal="left" vertical="top"/>
    </xf>
    <xf numFmtId="0" fontId="0" fillId="0" borderId="0" xfId="0" applyAlignment="1">
      <alignment horizontal="left"/>
    </xf>
    <xf numFmtId="3" fontId="0" fillId="2" borderId="0" xfId="0" applyNumberFormat="1" applyFill="1" applyAlignment="1">
      <alignment vertical="center"/>
    </xf>
    <xf numFmtId="3" fontId="48" fillId="2" borderId="0" xfId="0" applyNumberFormat="1" applyFont="1" applyFill="1" applyAlignment="1">
      <alignment vertical="center" wrapText="1"/>
    </xf>
    <xf numFmtId="3" fontId="48" fillId="2" borderId="20" xfId="0" applyNumberFormat="1" applyFont="1" applyFill="1" applyBorder="1" applyAlignment="1">
      <alignment vertical="center" wrapText="1"/>
    </xf>
    <xf numFmtId="3" fontId="3" fillId="2" borderId="0" xfId="37" applyNumberFormat="1" applyFont="1" applyFill="1" applyAlignment="1">
      <alignment horizontal="left" vertical="center" wrapText="1"/>
    </xf>
    <xf numFmtId="3" fontId="3" fillId="2" borderId="0" xfId="37" applyNumberFormat="1" applyFont="1" applyFill="1" applyAlignment="1">
      <alignment horizontal="center" vertical="center" wrapText="1"/>
    </xf>
    <xf numFmtId="3" fontId="97" fillId="2" borderId="0" xfId="37" applyNumberFormat="1" applyFill="1" applyAlignment="1">
      <alignment horizontal="right" vertical="center" wrapText="1"/>
    </xf>
    <xf numFmtId="0" fontId="3" fillId="28" borderId="10" xfId="0" applyFont="1" applyFill="1" applyBorder="1" applyAlignment="1">
      <alignment horizontal="center" vertical="top" wrapText="1"/>
    </xf>
    <xf numFmtId="0" fontId="3" fillId="28" borderId="12" xfId="0" applyFont="1" applyFill="1" applyBorder="1" applyAlignment="1">
      <alignment horizontal="center" vertical="top" wrapText="1"/>
    </xf>
    <xf numFmtId="0" fontId="0" fillId="28" borderId="12" xfId="0" applyFill="1" applyBorder="1" applyAlignment="1">
      <alignment horizontal="center" vertical="top" wrapText="1"/>
    </xf>
    <xf numFmtId="0" fontId="0" fillId="28" borderId="11" xfId="0" applyFill="1" applyBorder="1" applyAlignment="1">
      <alignment horizontal="center" vertical="top" wrapText="1"/>
    </xf>
    <xf numFmtId="0" fontId="0" fillId="28" borderId="14" xfId="0" applyFill="1" applyBorder="1" applyAlignment="1">
      <alignment horizontal="center" vertical="top" wrapText="1"/>
    </xf>
    <xf numFmtId="0" fontId="3" fillId="28" borderId="11" xfId="0" applyFont="1" applyFill="1" applyBorder="1" applyAlignment="1">
      <alignment horizontal="center" vertical="top" wrapText="1"/>
    </xf>
    <xf numFmtId="0" fontId="3" fillId="28" borderId="14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49" fontId="3" fillId="0" borderId="10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right" vertical="top" wrapText="1"/>
    </xf>
    <xf numFmtId="43" fontId="3" fillId="0" borderId="12" xfId="1" applyFont="1" applyFill="1" applyBorder="1" applyAlignment="1">
      <alignment horizontal="right" vertical="top" wrapText="1"/>
    </xf>
    <xf numFmtId="43" fontId="3" fillId="0" borderId="11" xfId="1" applyFont="1" applyFill="1" applyBorder="1" applyAlignment="1">
      <alignment horizontal="right" vertical="top" wrapText="1"/>
    </xf>
    <xf numFmtId="43" fontId="3" fillId="0" borderId="14" xfId="1" applyFont="1" applyFill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3" fontId="3" fillId="0" borderId="12" xfId="1" applyFont="1" applyFill="1" applyBorder="1" applyAlignment="1">
      <alignment vertical="top"/>
    </xf>
    <xf numFmtId="43" fontId="3" fillId="0" borderId="11" xfId="1" applyFont="1" applyFill="1" applyBorder="1" applyAlignment="1">
      <alignment vertical="top"/>
    </xf>
    <xf numFmtId="43" fontId="0" fillId="0" borderId="11" xfId="1" applyFont="1" applyFill="1" applyBorder="1" applyAlignment="1">
      <alignment vertical="top"/>
    </xf>
    <xf numFmtId="43" fontId="5" fillId="0" borderId="12" xfId="1" applyFont="1" applyFill="1" applyBorder="1" applyAlignment="1">
      <alignment vertical="top"/>
    </xf>
    <xf numFmtId="43" fontId="5" fillId="0" borderId="12" xfId="1" applyFont="1" applyFill="1" applyBorder="1" applyAlignment="1">
      <alignment horizontal="right" vertical="top" wrapText="1"/>
    </xf>
    <xf numFmtId="43" fontId="5" fillId="0" borderId="11" xfId="1" applyFont="1" applyFill="1" applyBorder="1" applyAlignment="1">
      <alignment horizontal="right" vertical="top" wrapText="1"/>
    </xf>
    <xf numFmtId="43" fontId="5" fillId="0" borderId="14" xfId="1" applyFont="1" applyFill="1" applyBorder="1" applyAlignment="1">
      <alignment horizontal="right" vertical="top" wrapText="1"/>
    </xf>
    <xf numFmtId="43" fontId="3" fillId="0" borderId="12" xfId="1" applyFont="1" applyFill="1" applyBorder="1"/>
    <xf numFmtId="43" fontId="3" fillId="0" borderId="11" xfId="1" applyFont="1" applyFill="1" applyBorder="1"/>
    <xf numFmtId="43" fontId="0" fillId="0" borderId="11" xfId="1" applyFont="1" applyFill="1" applyBorder="1" applyAlignment="1">
      <alignment vertical="top" wrapText="1"/>
    </xf>
    <xf numFmtId="43" fontId="3" fillId="0" borderId="12" xfId="1" applyFont="1" applyFill="1" applyBorder="1" applyAlignment="1">
      <alignment vertical="center" wrapText="1"/>
    </xf>
    <xf numFmtId="43" fontId="3" fillId="0" borderId="12" xfId="1" applyFont="1" applyFill="1" applyBorder="1" applyAlignment="1">
      <alignment horizontal="right" vertical="center" wrapText="1"/>
    </xf>
    <xf numFmtId="43" fontId="3" fillId="0" borderId="11" xfId="1" applyFont="1" applyFill="1" applyBorder="1" applyAlignment="1">
      <alignment vertical="center" wrapText="1"/>
    </xf>
    <xf numFmtId="43" fontId="3" fillId="0" borderId="11" xfId="1" applyFont="1" applyFill="1" applyBorder="1" applyAlignment="1">
      <alignment horizontal="right" vertical="center" wrapText="1"/>
    </xf>
    <xf numFmtId="43" fontId="3" fillId="0" borderId="14" xfId="1" applyFont="1" applyFill="1" applyBorder="1" applyAlignment="1">
      <alignment horizontal="right" vertical="center" wrapText="1"/>
    </xf>
    <xf numFmtId="43" fontId="0" fillId="0" borderId="11" xfId="1" applyFont="1" applyFill="1" applyBorder="1" applyAlignment="1">
      <alignment vertical="center" wrapText="1"/>
    </xf>
    <xf numFmtId="43" fontId="5" fillId="0" borderId="12" xfId="1" applyFont="1" applyFill="1" applyBorder="1" applyAlignment="1">
      <alignment vertical="center" wrapText="1"/>
    </xf>
    <xf numFmtId="43" fontId="5" fillId="0" borderId="12" xfId="1" applyFont="1" applyFill="1" applyBorder="1" applyAlignment="1">
      <alignment horizontal="right" vertical="center" wrapText="1"/>
    </xf>
    <xf numFmtId="43" fontId="5" fillId="0" borderId="11" xfId="1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3" fontId="0" fillId="0" borderId="12" xfId="1" applyFont="1" applyFill="1" applyBorder="1" applyAlignment="1">
      <alignment horizontal="right" vertical="center" wrapText="1"/>
    </xf>
    <xf numFmtId="43" fontId="0" fillId="0" borderId="11" xfId="1" applyFont="1" applyFill="1" applyBorder="1" applyAlignment="1">
      <alignment horizontal="right" vertical="center" wrapText="1"/>
    </xf>
    <xf numFmtId="43" fontId="5" fillId="0" borderId="14" xfId="1" applyFont="1" applyFill="1" applyBorder="1" applyAlignment="1">
      <alignment horizontal="right" vertical="center" wrapText="1"/>
    </xf>
    <xf numFmtId="0" fontId="3" fillId="29" borderId="37" xfId="0" applyFont="1" applyFill="1" applyBorder="1" applyAlignment="1">
      <alignment horizontal="center" vertical="center" wrapText="1"/>
    </xf>
    <xf numFmtId="0" fontId="3" fillId="29" borderId="12" xfId="0" applyFont="1" applyFill="1" applyBorder="1" applyAlignment="1">
      <alignment horizontal="center" vertical="center" wrapText="1"/>
    </xf>
    <xf numFmtId="0" fontId="3" fillId="16" borderId="12" xfId="0" applyFont="1" applyFill="1" applyBorder="1" applyAlignment="1">
      <alignment wrapText="1"/>
    </xf>
    <xf numFmtId="0" fontId="3" fillId="16" borderId="12" xfId="0" applyFont="1" applyFill="1" applyBorder="1" applyAlignment="1">
      <alignment horizontal="center" vertical="center" wrapText="1"/>
    </xf>
    <xf numFmtId="0" fontId="3" fillId="29" borderId="37" xfId="0" applyFont="1" applyFill="1" applyBorder="1" applyAlignment="1">
      <alignment wrapText="1"/>
    </xf>
    <xf numFmtId="43" fontId="83" fillId="0" borderId="0" xfId="1" applyFont="1"/>
    <xf numFmtId="0" fontId="67" fillId="0" borderId="0" xfId="0" applyFont="1"/>
    <xf numFmtId="43" fontId="3" fillId="0" borderId="12" xfId="1" applyFont="1" applyFill="1" applyBorder="1" applyAlignment="1">
      <alignment horizontal="right" vertical="center"/>
    </xf>
    <xf numFmtId="43" fontId="3" fillId="0" borderId="11" xfId="1" applyFont="1" applyFill="1" applyBorder="1" applyAlignment="1">
      <alignment horizontal="right" vertical="center"/>
    </xf>
    <xf numFmtId="43" fontId="0" fillId="0" borderId="14" xfId="1" applyFont="1" applyFill="1" applyBorder="1" applyAlignment="1">
      <alignment vertical="top" wrapText="1"/>
    </xf>
    <xf numFmtId="0" fontId="51" fillId="0" borderId="10" xfId="0" applyFont="1" applyBorder="1" applyAlignment="1">
      <alignment horizontal="right" vertical="top" wrapText="1"/>
    </xf>
    <xf numFmtId="0" fontId="51" fillId="0" borderId="12" xfId="0" applyFont="1" applyBorder="1" applyAlignment="1">
      <alignment horizontal="right" vertical="top" wrapText="1"/>
    </xf>
    <xf numFmtId="3" fontId="0" fillId="0" borderId="12" xfId="0" applyNumberFormat="1" applyBorder="1" applyAlignment="1">
      <alignment horizontal="left" vertical="center" wrapText="1"/>
    </xf>
    <xf numFmtId="43" fontId="3" fillId="0" borderId="12" xfId="1" applyFont="1" applyFill="1" applyBorder="1" applyAlignment="1">
      <alignment vertical="center"/>
    </xf>
    <xf numFmtId="43" fontId="3" fillId="0" borderId="11" xfId="1" applyFont="1" applyFill="1" applyBorder="1" applyAlignment="1">
      <alignment vertical="center"/>
    </xf>
    <xf numFmtId="3" fontId="0" fillId="0" borderId="12" xfId="0" applyNumberFormat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43" fontId="0" fillId="0" borderId="11" xfId="1" applyFont="1" applyFill="1" applyBorder="1" applyAlignment="1">
      <alignment vertical="center"/>
    </xf>
    <xf numFmtId="3" fontId="3" fillId="0" borderId="11" xfId="0" applyNumberFormat="1" applyFont="1" applyBorder="1"/>
    <xf numFmtId="3" fontId="1" fillId="0" borderId="12" xfId="0" applyNumberFormat="1" applyFont="1" applyBorder="1" applyAlignment="1">
      <alignment vertical="center" wrapText="1"/>
    </xf>
    <xf numFmtId="43" fontId="1" fillId="0" borderId="12" xfId="1" applyFont="1" applyFill="1" applyBorder="1" applyAlignment="1">
      <alignment vertical="center" wrapText="1"/>
    </xf>
    <xf numFmtId="43" fontId="1" fillId="0" borderId="12" xfId="1" applyFont="1" applyFill="1" applyBorder="1" applyAlignment="1">
      <alignment horizontal="right" vertical="top" wrapText="1"/>
    </xf>
    <xf numFmtId="43" fontId="1" fillId="0" borderId="11" xfId="1" applyFont="1" applyFill="1" applyBorder="1" applyAlignment="1">
      <alignment horizontal="right" vertical="top" wrapText="1"/>
    </xf>
    <xf numFmtId="43" fontId="84" fillId="0" borderId="12" xfId="1" applyFont="1" applyFill="1" applyBorder="1" applyAlignment="1">
      <alignment vertical="center" wrapText="1"/>
    </xf>
    <xf numFmtId="43" fontId="84" fillId="0" borderId="12" xfId="1" applyFont="1" applyFill="1" applyBorder="1" applyAlignment="1">
      <alignment horizontal="right" vertical="center" wrapText="1"/>
    </xf>
    <xf numFmtId="43" fontId="84" fillId="0" borderId="12" xfId="1" applyFont="1" applyFill="1" applyBorder="1" applyAlignment="1">
      <alignment horizontal="right" vertical="top" wrapText="1"/>
    </xf>
    <xf numFmtId="43" fontId="84" fillId="0" borderId="11" xfId="1" applyFont="1" applyFill="1" applyBorder="1" applyAlignment="1">
      <alignment horizontal="right" vertical="top" wrapText="1"/>
    </xf>
    <xf numFmtId="43" fontId="84" fillId="0" borderId="14" xfId="1" applyFont="1" applyFill="1" applyBorder="1" applyAlignment="1">
      <alignment horizontal="right" vertical="top" wrapText="1"/>
    </xf>
    <xf numFmtId="3" fontId="0" fillId="0" borderId="12" xfId="0" applyNumberFormat="1" applyBorder="1" applyAlignment="1">
      <alignment horizontal="right" vertical="center" wrapText="1"/>
    </xf>
    <xf numFmtId="1" fontId="0" fillId="0" borderId="12" xfId="0" applyNumberFormat="1" applyBorder="1" applyAlignment="1">
      <alignment vertical="top" wrapText="1"/>
    </xf>
    <xf numFmtId="1" fontId="0" fillId="0" borderId="11" xfId="0" applyNumberFormat="1" applyBorder="1" applyAlignment="1">
      <alignment vertical="top" wrapText="1"/>
    </xf>
    <xf numFmtId="1" fontId="0" fillId="0" borderId="14" xfId="0" applyNumberFormat="1" applyBorder="1" applyAlignment="1">
      <alignment vertical="top" wrapText="1"/>
    </xf>
    <xf numFmtId="43" fontId="3" fillId="0" borderId="12" xfId="1" applyFont="1" applyFill="1" applyBorder="1" applyAlignment="1">
      <alignment vertical="top" wrapText="1"/>
    </xf>
    <xf numFmtId="43" fontId="3" fillId="0" borderId="11" xfId="1" applyFont="1" applyFill="1" applyBorder="1" applyAlignment="1">
      <alignment vertical="top" wrapText="1"/>
    </xf>
    <xf numFmtId="43" fontId="3" fillId="0" borderId="14" xfId="1" applyFont="1" applyFill="1" applyBorder="1" applyAlignment="1">
      <alignment vertical="top" wrapText="1"/>
    </xf>
    <xf numFmtId="43" fontId="0" fillId="0" borderId="12" xfId="1" applyFont="1" applyFill="1" applyBorder="1"/>
    <xf numFmtId="43" fontId="0" fillId="0" borderId="11" xfId="1" applyFont="1" applyFill="1" applyBorder="1"/>
    <xf numFmtId="43" fontId="5" fillId="0" borderId="12" xfId="1" applyFont="1" applyFill="1" applyBorder="1"/>
    <xf numFmtId="43" fontId="0" fillId="0" borderId="14" xfId="1" applyFont="1" applyFill="1" applyBorder="1"/>
    <xf numFmtId="3" fontId="0" fillId="0" borderId="11" xfId="0" applyNumberFormat="1" applyBorder="1"/>
    <xf numFmtId="43" fontId="0" fillId="0" borderId="14" xfId="1" applyFont="1" applyFill="1" applyBorder="1" applyAlignment="1">
      <alignment horizontal="right" vertical="center" wrapText="1"/>
    </xf>
    <xf numFmtId="49" fontId="5" fillId="0" borderId="12" xfId="0" applyNumberFormat="1" applyFont="1" applyBorder="1" applyAlignment="1">
      <alignment horizontal="left" vertical="top" wrapText="1"/>
    </xf>
    <xf numFmtId="43" fontId="3" fillId="0" borderId="14" xfId="1" applyFont="1" applyFill="1" applyBorder="1"/>
    <xf numFmtId="43" fontId="28" fillId="0" borderId="12" xfId="1" applyFont="1" applyFill="1" applyBorder="1" applyAlignment="1">
      <alignment horizontal="right" vertical="center"/>
    </xf>
    <xf numFmtId="43" fontId="28" fillId="0" borderId="11" xfId="1" applyFont="1" applyFill="1" applyBorder="1" applyAlignment="1">
      <alignment horizontal="right" vertical="center"/>
    </xf>
    <xf numFmtId="43" fontId="0" fillId="0" borderId="12" xfId="1" applyFont="1" applyBorder="1"/>
    <xf numFmtId="43" fontId="0" fillId="0" borderId="11" xfId="1" applyFont="1" applyBorder="1"/>
    <xf numFmtId="43" fontId="28" fillId="18" borderId="16" xfId="1" applyFont="1" applyFill="1" applyBorder="1" applyAlignment="1">
      <alignment horizontal="right" vertical="center"/>
    </xf>
    <xf numFmtId="0" fontId="3" fillId="2" borderId="0" xfId="0" applyFont="1" applyFill="1" applyAlignment="1">
      <alignment vertical="top" wrapText="1"/>
    </xf>
    <xf numFmtId="3" fontId="3" fillId="2" borderId="0" xfId="0" applyNumberFormat="1" applyFont="1" applyFill="1" applyAlignment="1">
      <alignment horizontal="right" vertical="top" wrapText="1"/>
    </xf>
    <xf numFmtId="174" fontId="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top" wrapText="1"/>
    </xf>
    <xf numFmtId="9" fontId="3" fillId="2" borderId="0" xfId="2" applyFont="1" applyFill="1" applyAlignment="1">
      <alignment horizontal="left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vertical="center"/>
    </xf>
    <xf numFmtId="176" fontId="0" fillId="2" borderId="0" xfId="0" applyNumberFormat="1" applyFill="1" applyAlignment="1">
      <alignment horizontal="center"/>
    </xf>
    <xf numFmtId="3" fontId="3" fillId="2" borderId="0" xfId="15" applyNumberFormat="1" applyFont="1" applyFill="1" applyAlignment="1">
      <alignment horizontal="left" vertical="top"/>
    </xf>
    <xf numFmtId="43" fontId="3" fillId="0" borderId="0" xfId="1" applyFont="1" applyAlignment="1">
      <alignment horizontal="right"/>
    </xf>
    <xf numFmtId="3" fontId="3" fillId="0" borderId="0" xfId="0" applyNumberFormat="1" applyFont="1" applyAlignment="1">
      <alignment horizontal="right"/>
    </xf>
    <xf numFmtId="43" fontId="3" fillId="0" borderId="0" xfId="0" applyNumberFormat="1" applyFont="1" applyAlignment="1">
      <alignment horizontal="center"/>
    </xf>
    <xf numFmtId="0" fontId="0" fillId="0" borderId="0" xfId="0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169" fontId="0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3" fontId="3" fillId="0" borderId="0" xfId="0" applyNumberFormat="1" applyFont="1" applyAlignment="1">
      <alignment horizontal="left" vertical="center" wrapText="1"/>
    </xf>
    <xf numFmtId="10" fontId="0" fillId="0" borderId="0" xfId="0" applyNumberFormat="1" applyAlignment="1">
      <alignment horizontal="center"/>
    </xf>
    <xf numFmtId="169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/>
    <xf numFmtId="182" fontId="0" fillId="2" borderId="0" xfId="0" applyNumberFormat="1" applyFill="1"/>
    <xf numFmtId="182" fontId="0" fillId="2" borderId="0" xfId="1" applyNumberFormat="1" applyFont="1" applyFill="1"/>
    <xf numFmtId="169" fontId="0" fillId="0" borderId="0" xfId="0" applyNumberFormat="1" applyAlignment="1">
      <alignment vertical="center"/>
    </xf>
    <xf numFmtId="169" fontId="0" fillId="0" borderId="0" xfId="1" applyNumberFormat="1" applyFont="1" applyAlignment="1">
      <alignment vertical="center"/>
    </xf>
    <xf numFmtId="0" fontId="0" fillId="0" borderId="0" xfId="0" applyAlignment="1">
      <alignment horizontal="left" wrapText="1"/>
    </xf>
    <xf numFmtId="169" fontId="0" fillId="0" borderId="0" xfId="1" applyNumberFormat="1" applyFont="1" applyAlignment="1">
      <alignment horizontal="left"/>
    </xf>
    <xf numFmtId="43" fontId="68" fillId="0" borderId="0" xfId="0" applyNumberFormat="1" applyFont="1"/>
    <xf numFmtId="175" fontId="0" fillId="0" borderId="12" xfId="1" applyNumberFormat="1" applyFont="1" applyFill="1" applyBorder="1" applyAlignment="1">
      <alignment horizontal="right" vertical="center" wrapText="1"/>
    </xf>
    <xf numFmtId="175" fontId="0" fillId="0" borderId="12" xfId="1" applyNumberFormat="1" applyFont="1" applyFill="1" applyBorder="1" applyAlignment="1">
      <alignment vertical="center"/>
    </xf>
    <xf numFmtId="49" fontId="3" fillId="0" borderId="12" xfId="0" applyNumberFormat="1" applyFont="1" applyBorder="1" applyAlignment="1">
      <alignment vertical="top" wrapText="1"/>
    </xf>
    <xf numFmtId="43" fontId="3" fillId="0" borderId="14" xfId="1" applyFont="1" applyFill="1" applyBorder="1" applyAlignment="1">
      <alignment horizontal="right" vertical="center"/>
    </xf>
    <xf numFmtId="43" fontId="28" fillId="0" borderId="14" xfId="1" applyFont="1" applyFill="1" applyBorder="1" applyAlignment="1">
      <alignment horizontal="right" vertical="center"/>
    </xf>
    <xf numFmtId="0" fontId="0" fillId="0" borderId="49" xfId="0" applyBorder="1"/>
    <xf numFmtId="0" fontId="0" fillId="0" borderId="22" xfId="0" applyBorder="1"/>
    <xf numFmtId="43" fontId="0" fillId="0" borderId="22" xfId="1" applyFont="1" applyBorder="1"/>
    <xf numFmtId="43" fontId="0" fillId="0" borderId="29" xfId="1" applyFont="1" applyBorder="1"/>
    <xf numFmtId="43" fontId="0" fillId="0" borderId="29" xfId="1" applyFont="1" applyFill="1" applyBorder="1" applyAlignment="1">
      <alignment horizontal="right" vertical="center" wrapText="1"/>
    </xf>
    <xf numFmtId="43" fontId="0" fillId="0" borderId="63" xfId="1" applyFont="1" applyFill="1" applyBorder="1" applyAlignment="1">
      <alignment horizontal="right" vertical="center" wrapText="1"/>
    </xf>
    <xf numFmtId="43" fontId="28" fillId="18" borderId="46" xfId="1" applyFont="1" applyFill="1" applyBorder="1" applyAlignment="1">
      <alignment horizontal="right" vertical="center"/>
    </xf>
    <xf numFmtId="43" fontId="28" fillId="18" borderId="57" xfId="1" applyFont="1" applyFill="1" applyBorder="1" applyAlignment="1">
      <alignment horizontal="right" vertical="center"/>
    </xf>
    <xf numFmtId="43" fontId="28" fillId="18" borderId="20" xfId="1" applyFont="1" applyFill="1" applyBorder="1" applyAlignment="1">
      <alignment horizontal="right" vertical="center"/>
    </xf>
    <xf numFmtId="43" fontId="28" fillId="18" borderId="21" xfId="1" applyFont="1" applyFill="1" applyBorder="1" applyAlignment="1">
      <alignment horizontal="right" vertical="center"/>
    </xf>
    <xf numFmtId="14" fontId="0" fillId="2" borderId="0" xfId="0" applyNumberFormat="1" applyFill="1"/>
    <xf numFmtId="165" fontId="0" fillId="2" borderId="0" xfId="0" applyNumberFormat="1" applyFill="1" applyAlignment="1">
      <alignment horizontal="left"/>
    </xf>
    <xf numFmtId="183" fontId="0" fillId="2" borderId="0" xfId="0" applyNumberFormat="1" applyFill="1"/>
    <xf numFmtId="165" fontId="0" fillId="2" borderId="0" xfId="0" applyNumberFormat="1" applyFill="1"/>
    <xf numFmtId="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9" fontId="85" fillId="0" borderId="0" xfId="1" applyNumberFormat="1" applyFont="1"/>
    <xf numFmtId="0" fontId="85" fillId="19" borderId="0" xfId="0" applyFont="1" applyFill="1"/>
    <xf numFmtId="169" fontId="86" fillId="0" borderId="0" xfId="1" applyNumberFormat="1" applyFont="1"/>
    <xf numFmtId="9" fontId="86" fillId="0" borderId="0" xfId="2" applyFont="1"/>
    <xf numFmtId="10" fontId="3" fillId="0" borderId="0" xfId="0" applyNumberFormat="1" applyFont="1"/>
    <xf numFmtId="0" fontId="85" fillId="0" borderId="0" xfId="0" applyFont="1"/>
    <xf numFmtId="10" fontId="85" fillId="0" borderId="0" xfId="0" applyNumberFormat="1" applyFont="1"/>
    <xf numFmtId="10" fontId="85" fillId="0" borderId="0" xfId="2" applyNumberFormat="1" applyFont="1"/>
    <xf numFmtId="10" fontId="85" fillId="0" borderId="21" xfId="2" applyNumberFormat="1" applyFont="1" applyBorder="1" applyAlignment="1">
      <alignment horizontal="center" wrapText="1"/>
    </xf>
    <xf numFmtId="10" fontId="87" fillId="0" borderId="21" xfId="2" applyNumberFormat="1" applyFont="1" applyBorder="1" applyAlignment="1">
      <alignment horizontal="center" wrapText="1"/>
    </xf>
    <xf numFmtId="175" fontId="85" fillId="2" borderId="12" xfId="1" applyNumberFormat="1" applyFont="1" applyFill="1" applyBorder="1" applyAlignment="1"/>
    <xf numFmtId="169" fontId="85" fillId="0" borderId="0" xfId="0" applyNumberFormat="1" applyFont="1"/>
    <xf numFmtId="184" fontId="48" fillId="20" borderId="6" xfId="0" applyNumberFormat="1" applyFont="1" applyFill="1" applyBorder="1" applyAlignment="1">
      <alignment horizontal="center" vertical="center"/>
    </xf>
    <xf numFmtId="43" fontId="85" fillId="0" borderId="0" xfId="0" applyNumberFormat="1" applyFont="1"/>
    <xf numFmtId="170" fontId="3" fillId="0" borderId="0" xfId="0" applyNumberFormat="1" applyFont="1"/>
    <xf numFmtId="3" fontId="3" fillId="0" borderId="0" xfId="14" applyNumberFormat="1" applyFont="1"/>
    <xf numFmtId="3" fontId="97" fillId="0" borderId="0" xfId="14" applyNumberFormat="1" applyAlignment="1">
      <alignment horizontal="center"/>
    </xf>
    <xf numFmtId="0" fontId="51" fillId="0" borderId="22" xfId="14" applyFont="1" applyBorder="1" applyAlignment="1">
      <alignment horizontal="center" vertical="center"/>
    </xf>
    <xf numFmtId="3" fontId="51" fillId="0" borderId="22" xfId="14" applyNumberFormat="1" applyFont="1" applyBorder="1" applyAlignment="1">
      <alignment horizontal="center" vertical="center"/>
    </xf>
    <xf numFmtId="3" fontId="97" fillId="0" borderId="151" xfId="14" applyNumberFormat="1" applyBorder="1"/>
    <xf numFmtId="3" fontId="5" fillId="0" borderId="152" xfId="14" applyNumberFormat="1" applyFont="1" applyBorder="1" applyAlignment="1">
      <alignment horizontal="center"/>
    </xf>
    <xf numFmtId="9" fontId="0" fillId="25" borderId="153" xfId="46" applyFont="1" applyFill="1" applyBorder="1" applyAlignment="1" applyProtection="1">
      <alignment horizontal="center" vertical="center"/>
      <protection locked="0"/>
    </xf>
    <xf numFmtId="9" fontId="0" fillId="25" borderId="154" xfId="46" applyFont="1" applyFill="1" applyBorder="1" applyAlignment="1" applyProtection="1">
      <alignment horizontal="center" vertical="center"/>
      <protection locked="0"/>
    </xf>
    <xf numFmtId="3" fontId="97" fillId="0" borderId="155" xfId="14" applyNumberFormat="1" applyBorder="1"/>
    <xf numFmtId="3" fontId="5" fillId="0" borderId="12" xfId="14" applyNumberFormat="1" applyFont="1" applyBorder="1" applyAlignment="1">
      <alignment horizontal="center"/>
    </xf>
    <xf numFmtId="9" fontId="0" fillId="25" borderId="11" xfId="46" applyFont="1" applyFill="1" applyBorder="1" applyAlignment="1" applyProtection="1">
      <alignment horizontal="center" vertical="center"/>
      <protection locked="0"/>
    </xf>
    <xf numFmtId="9" fontId="0" fillId="16" borderId="156" xfId="46" applyFont="1" applyFill="1" applyBorder="1" applyAlignment="1" applyProtection="1">
      <alignment horizontal="center" vertical="center"/>
      <protection locked="0"/>
    </xf>
    <xf numFmtId="3" fontId="97" fillId="0" borderId="157" xfId="14" applyNumberFormat="1" applyBorder="1"/>
    <xf numFmtId="3" fontId="5" fillId="0" borderId="158" xfId="14" applyNumberFormat="1" applyFont="1" applyBorder="1" applyAlignment="1">
      <alignment horizontal="center"/>
    </xf>
    <xf numFmtId="9" fontId="0" fillId="25" borderId="159" xfId="46" applyFont="1" applyFill="1" applyBorder="1" applyAlignment="1" applyProtection="1">
      <alignment horizontal="center" vertical="center"/>
      <protection locked="0"/>
    </xf>
    <xf numFmtId="9" fontId="0" fillId="25" borderId="160" xfId="46" applyFont="1" applyFill="1" applyBorder="1" applyAlignment="1" applyProtection="1">
      <alignment horizontal="center" vertical="center"/>
      <protection locked="0"/>
    </xf>
    <xf numFmtId="178" fontId="0" fillId="0" borderId="0" xfId="0" applyNumberFormat="1"/>
    <xf numFmtId="0" fontId="82" fillId="0" borderId="0" xfId="0" applyFont="1"/>
    <xf numFmtId="178" fontId="0" fillId="0" borderId="0" xfId="41" applyNumberFormat="1" applyFont="1"/>
    <xf numFmtId="9" fontId="0" fillId="0" borderId="0" xfId="41" applyFont="1"/>
    <xf numFmtId="0" fontId="0" fillId="19" borderId="0" xfId="0" applyFill="1" applyAlignment="1">
      <alignment horizontal="left"/>
    </xf>
    <xf numFmtId="0" fontId="0" fillId="19" borderId="0" xfId="0" applyFill="1"/>
    <xf numFmtId="0" fontId="3" fillId="0" borderId="0" xfId="0" applyFont="1" applyAlignment="1">
      <alignment wrapText="1"/>
    </xf>
    <xf numFmtId="169" fontId="0" fillId="16" borderId="12" xfId="1" applyNumberFormat="1" applyFont="1" applyFill="1" applyBorder="1"/>
    <xf numFmtId="3" fontId="0" fillId="16" borderId="12" xfId="0" applyNumberFormat="1" applyFill="1" applyBorder="1"/>
    <xf numFmtId="49" fontId="5" fillId="0" borderId="0" xfId="0" applyNumberFormat="1" applyFont="1" applyAlignment="1">
      <alignment horizontal="left" vertical="top" wrapText="1"/>
    </xf>
    <xf numFmtId="10" fontId="0" fillId="19" borderId="0" xfId="0" applyNumberFormat="1" applyFill="1"/>
    <xf numFmtId="184" fontId="0" fillId="0" borderId="0" xfId="0" applyNumberFormat="1"/>
    <xf numFmtId="43" fontId="0" fillId="19" borderId="0" xfId="0" applyNumberFormat="1" applyFill="1"/>
    <xf numFmtId="0" fontId="0" fillId="16" borderId="0" xfId="0" applyFill="1"/>
    <xf numFmtId="0" fontId="97" fillId="0" borderId="0" xfId="22" quotePrefix="1"/>
    <xf numFmtId="0" fontId="54" fillId="0" borderId="40" xfId="0" quotePrefix="1" applyFont="1" applyBorder="1" applyAlignment="1">
      <alignment horizontal="center" vertical="center"/>
    </xf>
    <xf numFmtId="0" fontId="54" fillId="0" borderId="10" xfId="0" quotePrefix="1" applyFont="1" applyBorder="1" applyAlignment="1">
      <alignment horizontal="center" vertical="center"/>
    </xf>
    <xf numFmtId="0" fontId="54" fillId="0" borderId="47" xfId="0" quotePrefix="1" applyFont="1" applyBorder="1" applyAlignment="1">
      <alignment horizontal="center"/>
    </xf>
    <xf numFmtId="0" fontId="54" fillId="0" borderId="40" xfId="14" quotePrefix="1" applyFont="1" applyBorder="1" applyAlignment="1">
      <alignment horizontal="center" vertical="center"/>
    </xf>
    <xf numFmtId="0" fontId="54" fillId="0" borderId="10" xfId="14" quotePrefix="1" applyFont="1" applyBorder="1" applyAlignment="1">
      <alignment horizontal="center"/>
    </xf>
    <xf numFmtId="43" fontId="3" fillId="24" borderId="12" xfId="1" applyFont="1" applyFill="1" applyBorder="1" applyAlignment="1">
      <alignment vertical="top"/>
    </xf>
    <xf numFmtId="43" fontId="0" fillId="24" borderId="12" xfId="1" applyFont="1" applyFill="1" applyBorder="1" applyAlignment="1">
      <alignment vertical="top"/>
    </xf>
    <xf numFmtId="43" fontId="3" fillId="24" borderId="12" xfId="1" applyFont="1" applyFill="1" applyBorder="1"/>
    <xf numFmtId="43" fontId="0" fillId="24" borderId="12" xfId="1" applyFont="1" applyFill="1" applyBorder="1" applyAlignment="1">
      <alignment vertical="center" wrapText="1"/>
    </xf>
    <xf numFmtId="43" fontId="5" fillId="24" borderId="12" xfId="1" applyFont="1" applyFill="1" applyBorder="1"/>
    <xf numFmtId="43" fontId="5" fillId="24" borderId="12" xfId="1" applyFont="1" applyFill="1" applyBorder="1" applyAlignment="1">
      <alignment vertical="center" wrapText="1"/>
    </xf>
    <xf numFmtId="43" fontId="3" fillId="24" borderId="12" xfId="1" applyFont="1" applyFill="1" applyBorder="1" applyAlignment="1">
      <alignment horizontal="right" vertical="center" wrapText="1"/>
    </xf>
    <xf numFmtId="43" fontId="5" fillId="24" borderId="12" xfId="1" applyFont="1" applyFill="1" applyBorder="1" applyAlignment="1">
      <alignment horizontal="right" vertical="center" wrapText="1"/>
    </xf>
    <xf numFmtId="43" fontId="3" fillId="24" borderId="12" xfId="1" applyFont="1" applyFill="1" applyBorder="1" applyAlignment="1">
      <alignment horizontal="right" vertical="top" wrapText="1"/>
    </xf>
    <xf numFmtId="43" fontId="0" fillId="24" borderId="12" xfId="1" applyFont="1" applyFill="1" applyBorder="1" applyAlignment="1">
      <alignment horizontal="right" vertical="top" wrapText="1"/>
    </xf>
    <xf numFmtId="43" fontId="0" fillId="24" borderId="12" xfId="1" applyFont="1" applyFill="1" applyBorder="1" applyAlignment="1">
      <alignment horizontal="right" vertical="center" wrapText="1"/>
    </xf>
    <xf numFmtId="0" fontId="97" fillId="24" borderId="12" xfId="24" applyFill="1" applyBorder="1" applyAlignment="1">
      <alignment horizontal="left" vertical="top" wrapText="1"/>
    </xf>
    <xf numFmtId="3" fontId="97" fillId="24" borderId="12" xfId="24" applyNumberFormat="1" applyFill="1" applyBorder="1" applyAlignment="1">
      <alignment horizontal="center" vertical="center" wrapText="1"/>
    </xf>
    <xf numFmtId="43" fontId="68" fillId="24" borderId="12" xfId="1" applyFont="1" applyFill="1" applyBorder="1" applyAlignment="1">
      <alignment horizontal="center" vertical="center" wrapText="1"/>
    </xf>
    <xf numFmtId="43" fontId="0" fillId="24" borderId="12" xfId="1" applyFont="1" applyFill="1" applyBorder="1" applyAlignment="1">
      <alignment horizontal="right" vertical="center"/>
    </xf>
    <xf numFmtId="43" fontId="0" fillId="24" borderId="11" xfId="1" applyFont="1" applyFill="1" applyBorder="1" applyAlignment="1">
      <alignment horizontal="right" vertical="center"/>
    </xf>
    <xf numFmtId="43" fontId="0" fillId="24" borderId="14" xfId="1" applyFont="1" applyFill="1" applyBorder="1" applyAlignment="1">
      <alignment horizontal="right" vertical="center" wrapText="1"/>
    </xf>
    <xf numFmtId="49" fontId="97" fillId="24" borderId="10" xfId="24" applyNumberFormat="1" applyFill="1" applyBorder="1" applyAlignment="1">
      <alignment horizontal="center" vertical="center" wrapText="1"/>
    </xf>
    <xf numFmtId="49" fontId="97" fillId="24" borderId="10" xfId="22" applyNumberFormat="1" applyFill="1" applyBorder="1" applyAlignment="1">
      <alignment horizontal="center" vertical="top" wrapText="1"/>
    </xf>
    <xf numFmtId="3" fontId="97" fillId="24" borderId="12" xfId="24" applyNumberFormat="1" applyFill="1" applyBorder="1" applyAlignment="1">
      <alignment vertical="top" wrapText="1"/>
    </xf>
    <xf numFmtId="43" fontId="0" fillId="24" borderId="12" xfId="1" applyFont="1" applyFill="1" applyBorder="1" applyAlignment="1">
      <alignment horizontal="center" vertical="top" wrapText="1"/>
    </xf>
    <xf numFmtId="43" fontId="0" fillId="24" borderId="12" xfId="1" applyFont="1" applyFill="1" applyBorder="1" applyAlignment="1">
      <alignment horizontal="center" vertical="center" wrapText="1"/>
    </xf>
    <xf numFmtId="3" fontId="97" fillId="24" borderId="12" xfId="24" applyNumberFormat="1" applyFill="1" applyBorder="1" applyAlignment="1">
      <alignment vertical="center" wrapText="1"/>
    </xf>
    <xf numFmtId="3" fontId="97" fillId="24" borderId="12" xfId="24" applyNumberFormat="1" applyFill="1" applyBorder="1" applyAlignment="1">
      <alignment horizontal="center" vertical="center"/>
    </xf>
    <xf numFmtId="43" fontId="0" fillId="24" borderId="30" xfId="1" applyFont="1" applyFill="1" applyBorder="1" applyAlignment="1">
      <alignment horizontal="right" vertical="center" wrapText="1"/>
    </xf>
    <xf numFmtId="43" fontId="5" fillId="24" borderId="12" xfId="1" applyFont="1" applyFill="1" applyBorder="1" applyAlignment="1">
      <alignment horizontal="right" vertical="center"/>
    </xf>
    <xf numFmtId="3" fontId="97" fillId="24" borderId="12" xfId="24" applyNumberFormat="1" applyFill="1" applyBorder="1" applyAlignment="1">
      <alignment vertical="center"/>
    </xf>
    <xf numFmtId="43" fontId="0" fillId="24" borderId="12" xfId="1" applyFont="1" applyFill="1" applyBorder="1" applyAlignment="1">
      <alignment horizontal="center" vertical="center"/>
    </xf>
    <xf numFmtId="0" fontId="97" fillId="24" borderId="12" xfId="24" applyFill="1" applyBorder="1"/>
    <xf numFmtId="3" fontId="66" fillId="24" borderId="11" xfId="24" applyNumberFormat="1" applyFont="1" applyFill="1" applyBorder="1" applyAlignment="1">
      <alignment vertical="center"/>
    </xf>
    <xf numFmtId="3" fontId="97" fillId="24" borderId="11" xfId="24" applyNumberFormat="1" applyFill="1" applyBorder="1" applyAlignment="1">
      <alignment horizontal="center" vertical="center" wrapText="1"/>
    </xf>
    <xf numFmtId="43" fontId="0" fillId="24" borderId="11" xfId="1" applyFont="1" applyFill="1" applyBorder="1" applyAlignment="1">
      <alignment horizontal="center" vertical="center" wrapText="1"/>
    </xf>
    <xf numFmtId="3" fontId="97" fillId="24" borderId="11" xfId="24" applyNumberFormat="1" applyFill="1" applyBorder="1" applyAlignment="1">
      <alignment vertical="center"/>
    </xf>
    <xf numFmtId="3" fontId="97" fillId="24" borderId="11" xfId="24" applyNumberFormat="1" applyFill="1" applyBorder="1" applyAlignment="1">
      <alignment horizontal="center" vertical="center"/>
    </xf>
    <xf numFmtId="43" fontId="0" fillId="24" borderId="11" xfId="1" applyFont="1" applyFill="1" applyBorder="1" applyAlignment="1">
      <alignment horizontal="center" vertical="center"/>
    </xf>
    <xf numFmtId="3" fontId="75" fillId="24" borderId="12" xfId="24" applyNumberFormat="1" applyFont="1" applyFill="1" applyBorder="1" applyAlignment="1">
      <alignment vertical="center" wrapText="1"/>
    </xf>
    <xf numFmtId="3" fontId="75" fillId="0" borderId="12" xfId="24" applyNumberFormat="1" applyFont="1" applyBorder="1" applyAlignment="1">
      <alignment vertical="center" wrapText="1"/>
    </xf>
    <xf numFmtId="49" fontId="97" fillId="24" borderId="68" xfId="22" applyNumberFormat="1" applyFill="1" applyBorder="1" applyAlignment="1">
      <alignment horizontal="center" vertical="top" wrapText="1"/>
    </xf>
    <xf numFmtId="0" fontId="97" fillId="24" borderId="53" xfId="24" applyFill="1" applyBorder="1" applyAlignment="1">
      <alignment horizontal="center" vertical="top" wrapText="1"/>
    </xf>
    <xf numFmtId="3" fontId="97" fillId="24" borderId="16" xfId="24" applyNumberFormat="1" applyFill="1" applyBorder="1" applyAlignment="1">
      <alignment vertical="center" wrapText="1"/>
    </xf>
    <xf numFmtId="3" fontId="97" fillId="24" borderId="73" xfId="24" applyNumberFormat="1" applyFill="1" applyBorder="1" applyAlignment="1">
      <alignment horizontal="center" vertical="center" wrapText="1"/>
    </xf>
    <xf numFmtId="43" fontId="68" fillId="24" borderId="73" xfId="1" applyFont="1" applyFill="1" applyBorder="1" applyAlignment="1">
      <alignment horizontal="center" vertical="center" wrapText="1"/>
    </xf>
    <xf numFmtId="43" fontId="0" fillId="24" borderId="16" xfId="1" applyFont="1" applyFill="1" applyBorder="1" applyAlignment="1">
      <alignment vertical="center" wrapText="1"/>
    </xf>
    <xf numFmtId="43" fontId="0" fillId="24" borderId="73" xfId="1" applyFont="1" applyFill="1" applyBorder="1" applyAlignment="1">
      <alignment horizontal="right" vertical="center" wrapText="1"/>
    </xf>
    <xf numFmtId="43" fontId="5" fillId="24" borderId="16" xfId="1" applyFont="1" applyFill="1" applyBorder="1" applyAlignment="1">
      <alignment horizontal="right" vertical="center"/>
    </xf>
    <xf numFmtId="43" fontId="0" fillId="24" borderId="16" xfId="1" applyFont="1" applyFill="1" applyBorder="1" applyAlignment="1">
      <alignment horizontal="right" vertical="center" wrapText="1"/>
    </xf>
    <xf numFmtId="43" fontId="0" fillId="24" borderId="17" xfId="1" applyFont="1" applyFill="1" applyBorder="1" applyAlignment="1">
      <alignment horizontal="right" vertical="center" wrapText="1"/>
    </xf>
    <xf numFmtId="49" fontId="9" fillId="24" borderId="68" xfId="22" applyNumberFormat="1" applyFont="1" applyFill="1" applyBorder="1" applyAlignment="1">
      <alignment horizontal="center" vertical="top" wrapText="1"/>
    </xf>
    <xf numFmtId="3" fontId="9" fillId="24" borderId="12" xfId="24" applyNumberFormat="1" applyFont="1" applyFill="1" applyBorder="1" applyAlignment="1">
      <alignment vertical="top" wrapText="1"/>
    </xf>
    <xf numFmtId="3" fontId="9" fillId="24" borderId="12" xfId="24" applyNumberFormat="1" applyFont="1" applyFill="1" applyBorder="1" applyAlignment="1">
      <alignment horizontal="center" vertical="center" wrapText="1"/>
    </xf>
    <xf numFmtId="169" fontId="0" fillId="24" borderId="12" xfId="1" applyNumberFormat="1" applyFont="1" applyFill="1" applyBorder="1" applyAlignment="1">
      <alignment horizontal="center" vertical="center" wrapText="1"/>
    </xf>
    <xf numFmtId="177" fontId="0" fillId="24" borderId="12" xfId="1" applyNumberFormat="1" applyFont="1" applyFill="1" applyBorder="1" applyAlignment="1">
      <alignment horizontal="center" vertical="center" wrapText="1"/>
    </xf>
    <xf numFmtId="0" fontId="97" fillId="24" borderId="8" xfId="22" applyFill="1" applyBorder="1" applyAlignment="1">
      <alignment horizontal="center" vertical="top" wrapText="1"/>
    </xf>
    <xf numFmtId="3" fontId="97" fillId="24" borderId="9" xfId="22" applyNumberFormat="1" applyFill="1" applyBorder="1" applyAlignment="1">
      <alignment horizontal="left" vertical="center" wrapText="1"/>
    </xf>
    <xf numFmtId="3" fontId="97" fillId="24" borderId="9" xfId="22" applyNumberFormat="1" applyFill="1" applyBorder="1" applyAlignment="1">
      <alignment horizontal="center" vertical="center" wrapText="1"/>
    </xf>
    <xf numFmtId="3" fontId="97" fillId="24" borderId="9" xfId="22" applyNumberFormat="1" applyFill="1" applyBorder="1" applyAlignment="1">
      <alignment vertical="center" wrapText="1"/>
    </xf>
    <xf numFmtId="43" fontId="0" fillId="24" borderId="9" xfId="1" applyFont="1" applyFill="1" applyBorder="1" applyAlignment="1">
      <alignment vertical="center" wrapText="1"/>
    </xf>
    <xf numFmtId="43" fontId="0" fillId="24" borderId="9" xfId="1" applyFont="1" applyFill="1" applyBorder="1" applyAlignment="1">
      <alignment vertical="center"/>
    </xf>
    <xf numFmtId="43" fontId="0" fillId="24" borderId="13" xfId="1" applyFont="1" applyFill="1" applyBorder="1" applyAlignment="1">
      <alignment vertical="center"/>
    </xf>
    <xf numFmtId="0" fontId="97" fillId="24" borderId="10" xfId="22" applyFill="1" applyBorder="1" applyAlignment="1">
      <alignment horizontal="center" vertical="top" wrapText="1"/>
    </xf>
    <xf numFmtId="3" fontId="97" fillId="24" borderId="12" xfId="22" applyNumberFormat="1" applyFill="1" applyBorder="1" applyAlignment="1">
      <alignment horizontal="left" vertical="center" wrapText="1"/>
    </xf>
    <xf numFmtId="3" fontId="97" fillId="24" borderId="12" xfId="22" applyNumberFormat="1" applyFill="1" applyBorder="1" applyAlignment="1">
      <alignment horizontal="center" vertical="center" wrapText="1"/>
    </xf>
    <xf numFmtId="3" fontId="97" fillId="24" borderId="12" xfId="22" applyNumberFormat="1" applyFill="1" applyBorder="1" applyAlignment="1">
      <alignment vertical="center" wrapText="1"/>
    </xf>
    <xf numFmtId="43" fontId="0" fillId="24" borderId="12" xfId="1" applyFont="1" applyFill="1" applyBorder="1" applyAlignment="1">
      <alignment vertical="center"/>
    </xf>
    <xf numFmtId="43" fontId="0" fillId="24" borderId="14" xfId="1" applyFont="1" applyFill="1" applyBorder="1" applyAlignment="1">
      <alignment vertical="center"/>
    </xf>
    <xf numFmtId="0" fontId="97" fillId="24" borderId="15" xfId="22" applyFill="1" applyBorder="1" applyAlignment="1">
      <alignment horizontal="center" vertical="top" wrapText="1"/>
    </xf>
    <xf numFmtId="3" fontId="97" fillId="24" borderId="16" xfId="22" applyNumberFormat="1" applyFill="1" applyBorder="1" applyAlignment="1">
      <alignment horizontal="left" vertical="center" wrapText="1"/>
    </xf>
    <xf numFmtId="3" fontId="97" fillId="24" borderId="16" xfId="22" applyNumberFormat="1" applyFill="1" applyBorder="1" applyAlignment="1">
      <alignment horizontal="center" vertical="center" wrapText="1"/>
    </xf>
    <xf numFmtId="3" fontId="97" fillId="24" borderId="16" xfId="22" applyNumberFormat="1" applyFill="1" applyBorder="1" applyAlignment="1">
      <alignment vertical="center" wrapText="1"/>
    </xf>
    <xf numFmtId="43" fontId="0" fillId="24" borderId="16" xfId="1" applyFont="1" applyFill="1" applyBorder="1" applyAlignment="1">
      <alignment vertical="center"/>
    </xf>
    <xf numFmtId="43" fontId="0" fillId="24" borderId="17" xfId="1" applyFont="1" applyFill="1" applyBorder="1" applyAlignment="1">
      <alignment vertical="center"/>
    </xf>
    <xf numFmtId="0" fontId="51" fillId="24" borderId="52" xfId="22" applyFont="1" applyFill="1" applyBorder="1" applyAlignment="1">
      <alignment horizontal="right" vertical="top" wrapText="1"/>
    </xf>
    <xf numFmtId="3" fontId="51" fillId="24" borderId="52" xfId="22" applyNumberFormat="1" applyFont="1" applyFill="1" applyBorder="1" applyAlignment="1">
      <alignment horizontal="right" vertical="top" wrapText="1"/>
    </xf>
    <xf numFmtId="3" fontId="3" fillId="24" borderId="52" xfId="22" applyNumberFormat="1" applyFont="1" applyFill="1" applyBorder="1" applyAlignment="1">
      <alignment vertical="center"/>
    </xf>
    <xf numFmtId="43" fontId="3" fillId="24" borderId="52" xfId="1" applyFont="1" applyFill="1" applyBorder="1" applyAlignment="1">
      <alignment vertical="center" wrapText="1"/>
    </xf>
    <xf numFmtId="43" fontId="3" fillId="24" borderId="52" xfId="1" applyFont="1" applyFill="1" applyBorder="1" applyAlignment="1">
      <alignment vertical="center"/>
    </xf>
    <xf numFmtId="43" fontId="3" fillId="24" borderId="60" xfId="1" applyFont="1" applyFill="1" applyBorder="1" applyAlignment="1">
      <alignment vertical="center"/>
    </xf>
    <xf numFmtId="169" fontId="0" fillId="24" borderId="61" xfId="1" applyNumberFormat="1" applyFont="1" applyFill="1" applyBorder="1" applyAlignment="1">
      <alignment vertical="center" wrapText="1"/>
    </xf>
    <xf numFmtId="169" fontId="0" fillId="24" borderId="12" xfId="1" applyNumberFormat="1" applyFont="1" applyFill="1" applyBorder="1" applyAlignment="1">
      <alignment vertical="center" wrapText="1"/>
    </xf>
    <xf numFmtId="169" fontId="0" fillId="24" borderId="33" xfId="1" applyNumberFormat="1" applyFont="1" applyFill="1" applyBorder="1" applyAlignment="1">
      <alignment vertical="center" wrapText="1"/>
    </xf>
    <xf numFmtId="3" fontId="50" fillId="2" borderId="0" xfId="0" applyNumberFormat="1" applyFont="1" applyFill="1" applyAlignment="1">
      <alignment vertical="center" wrapText="1"/>
    </xf>
    <xf numFmtId="3" fontId="50" fillId="2" borderId="20" xfId="0" applyNumberFormat="1" applyFont="1" applyFill="1" applyBorder="1" applyAlignment="1">
      <alignment vertical="center" wrapText="1"/>
    </xf>
    <xf numFmtId="0" fontId="0" fillId="19" borderId="0" xfId="0" applyFill="1" applyAlignment="1">
      <alignment horizontal="left"/>
    </xf>
    <xf numFmtId="3" fontId="50" fillId="2" borderId="0" xfId="0" applyNumberFormat="1" applyFont="1" applyFill="1" applyAlignment="1">
      <alignment horizontal="center" vertical="center" wrapText="1"/>
    </xf>
    <xf numFmtId="3" fontId="49" fillId="28" borderId="38" xfId="0" applyNumberFormat="1" applyFont="1" applyFill="1" applyBorder="1" applyAlignment="1">
      <alignment horizontal="center" vertical="center" wrapText="1"/>
    </xf>
    <xf numFmtId="3" fontId="49" fillId="28" borderId="39" xfId="0" applyNumberFormat="1" applyFont="1" applyFill="1" applyBorder="1" applyAlignment="1">
      <alignment horizontal="center" vertical="center" wrapText="1"/>
    </xf>
    <xf numFmtId="3" fontId="49" fillId="28" borderId="55" xfId="0" applyNumberFormat="1" applyFont="1" applyFill="1" applyBorder="1" applyAlignment="1">
      <alignment horizontal="center" vertical="center" wrapText="1"/>
    </xf>
    <xf numFmtId="3" fontId="50" fillId="28" borderId="18" xfId="0" applyNumberFormat="1" applyFont="1" applyFill="1" applyBorder="1" applyAlignment="1">
      <alignment horizontal="center" vertical="center" wrapText="1"/>
    </xf>
    <xf numFmtId="3" fontId="50" fillId="28" borderId="0" xfId="0" applyNumberFormat="1" applyFont="1" applyFill="1" applyAlignment="1">
      <alignment horizontal="center" vertical="center" wrapText="1"/>
    </xf>
    <xf numFmtId="3" fontId="50" fillId="28" borderId="19" xfId="0" applyNumberFormat="1" applyFont="1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9" xfId="0" applyFill="1" applyBorder="1" applyAlignment="1">
      <alignment horizontal="center"/>
    </xf>
    <xf numFmtId="0" fontId="28" fillId="28" borderId="41" xfId="0" applyFont="1" applyFill="1" applyBorder="1" applyAlignment="1">
      <alignment horizontal="center" vertical="top" wrapText="1"/>
    </xf>
    <xf numFmtId="0" fontId="28" fillId="28" borderId="42" xfId="0" applyFont="1" applyFill="1" applyBorder="1" applyAlignment="1">
      <alignment horizontal="center" vertical="top" wrapText="1"/>
    </xf>
    <xf numFmtId="0" fontId="28" fillId="28" borderId="56" xfId="0" applyFont="1" applyFill="1" applyBorder="1" applyAlignment="1">
      <alignment horizontal="center" vertical="top" wrapText="1"/>
    </xf>
    <xf numFmtId="0" fontId="3" fillId="28" borderId="8" xfId="0" applyFont="1" applyFill="1" applyBorder="1" applyAlignment="1">
      <alignment horizontal="center" vertical="top" wrapText="1"/>
    </xf>
    <xf numFmtId="0" fontId="3" fillId="28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49" fontId="3" fillId="0" borderId="10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righ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3" fillId="0" borderId="68" xfId="0" applyNumberFormat="1" applyFont="1" applyBorder="1" applyAlignment="1">
      <alignment horizontal="left" vertical="top" wrapText="1"/>
    </xf>
    <xf numFmtId="49" fontId="3" fillId="0" borderId="36" xfId="0" applyNumberFormat="1" applyFont="1" applyBorder="1" applyAlignment="1">
      <alignment horizontal="left" vertical="top" wrapText="1"/>
    </xf>
    <xf numFmtId="49" fontId="3" fillId="0" borderId="64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1" fillId="0" borderId="10" xfId="0" applyFont="1" applyBorder="1" applyAlignment="1">
      <alignment horizontal="right" vertical="top" wrapText="1"/>
    </xf>
    <xf numFmtId="0" fontId="51" fillId="0" borderId="12" xfId="0" applyFont="1" applyBorder="1" applyAlignment="1">
      <alignment horizontal="right" vertical="top" wrapText="1"/>
    </xf>
    <xf numFmtId="0" fontId="47" fillId="0" borderId="10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6" fillId="18" borderId="45" xfId="0" applyFont="1" applyFill="1" applyBorder="1" applyAlignment="1">
      <alignment horizontal="center" vertical="center" wrapText="1"/>
    </xf>
    <xf numFmtId="0" fontId="3" fillId="18" borderId="46" xfId="0" applyFont="1" applyFill="1" applyBorder="1" applyAlignment="1">
      <alignment horizontal="center" vertical="center" wrapText="1"/>
    </xf>
    <xf numFmtId="0" fontId="6" fillId="18" borderId="15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43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 wrapText="1"/>
    </xf>
    <xf numFmtId="0" fontId="3" fillId="28" borderId="9" xfId="0" applyFont="1" applyFill="1" applyBorder="1" applyAlignment="1">
      <alignment horizontal="center" vertical="top" wrapText="1"/>
    </xf>
    <xf numFmtId="0" fontId="3" fillId="28" borderId="12" xfId="0" applyFont="1" applyFill="1" applyBorder="1" applyAlignment="1">
      <alignment horizontal="center" vertical="top" wrapText="1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20" xfId="0" applyNumberFormat="1" applyFont="1" applyFill="1" applyBorder="1" applyAlignment="1">
      <alignment horizontal="center" vertical="center" wrapText="1"/>
    </xf>
    <xf numFmtId="0" fontId="6" fillId="18" borderId="15" xfId="0" applyFont="1" applyFill="1" applyBorder="1" applyAlignment="1">
      <alignment horizontal="right" vertical="top" wrapText="1"/>
    </xf>
    <xf numFmtId="0" fontId="3" fillId="18" borderId="16" xfId="0" applyFont="1" applyFill="1" applyBorder="1" applyAlignment="1">
      <alignment horizontal="right" vertical="top" wrapText="1"/>
    </xf>
    <xf numFmtId="3" fontId="3" fillId="0" borderId="0" xfId="0" applyNumberFormat="1" applyFont="1" applyAlignment="1">
      <alignment horizontal="right" vertical="center" wrapText="1"/>
    </xf>
    <xf numFmtId="0" fontId="97" fillId="2" borderId="0" xfId="14" applyFill="1" applyAlignment="1">
      <alignment horizontal="center"/>
    </xf>
    <xf numFmtId="0" fontId="80" fillId="19" borderId="114" xfId="14" applyFont="1" applyFill="1" applyBorder="1" applyAlignment="1">
      <alignment horizontal="center" vertical="center"/>
    </xf>
    <xf numFmtId="0" fontId="80" fillId="19" borderId="115" xfId="14" applyFont="1" applyFill="1" applyBorder="1" applyAlignment="1">
      <alignment horizontal="center" vertical="center"/>
    </xf>
    <xf numFmtId="0" fontId="80" fillId="19" borderId="116" xfId="14" applyFont="1" applyFill="1" applyBorder="1" applyAlignment="1">
      <alignment horizontal="center" vertical="center"/>
    </xf>
    <xf numFmtId="0" fontId="80" fillId="19" borderId="114" xfId="14" applyFont="1" applyFill="1" applyBorder="1" applyAlignment="1">
      <alignment horizontal="center" vertical="center" wrapText="1"/>
    </xf>
    <xf numFmtId="0" fontId="80" fillId="19" borderId="116" xfId="14" applyFont="1" applyFill="1" applyBorder="1" applyAlignment="1">
      <alignment horizontal="center" vertical="center" wrapText="1"/>
    </xf>
    <xf numFmtId="0" fontId="3" fillId="19" borderId="121" xfId="0" applyFont="1" applyFill="1" applyBorder="1" applyAlignment="1">
      <alignment horizontal="center" vertical="top" wrapText="1"/>
    </xf>
    <xf numFmtId="0" fontId="3" fillId="19" borderId="122" xfId="0" applyFont="1" applyFill="1" applyBorder="1" applyAlignment="1">
      <alignment horizontal="center" vertical="top" wrapText="1"/>
    </xf>
    <xf numFmtId="0" fontId="3" fillId="19" borderId="80" xfId="0" applyFont="1" applyFill="1" applyBorder="1" applyAlignment="1">
      <alignment horizontal="center" vertical="top" wrapText="1"/>
    </xf>
    <xf numFmtId="0" fontId="3" fillId="19" borderId="123" xfId="0" applyFont="1" applyFill="1" applyBorder="1" applyAlignment="1">
      <alignment horizontal="center" vertical="top" wrapText="1"/>
    </xf>
    <xf numFmtId="0" fontId="80" fillId="19" borderId="80" xfId="0" applyFont="1" applyFill="1" applyBorder="1" applyAlignment="1">
      <alignment horizontal="center" vertical="top" wrapText="1"/>
    </xf>
    <xf numFmtId="0" fontId="80" fillId="19" borderId="123" xfId="0" applyFont="1" applyFill="1" applyBorder="1" applyAlignment="1">
      <alignment horizontal="center" vertical="top" wrapText="1"/>
    </xf>
    <xf numFmtId="0" fontId="97" fillId="2" borderId="0" xfId="14" applyFill="1" applyAlignment="1">
      <alignment horizontal="center" wrapText="1"/>
    </xf>
    <xf numFmtId="0" fontId="3" fillId="19" borderId="8" xfId="14" applyFont="1" applyFill="1" applyBorder="1" applyAlignment="1">
      <alignment horizontal="center" vertical="center" wrapText="1"/>
    </xf>
    <xf numFmtId="0" fontId="3" fillId="19" borderId="9" xfId="14" applyFont="1" applyFill="1" applyBorder="1" applyAlignment="1">
      <alignment horizontal="center" vertical="center" wrapText="1"/>
    </xf>
    <xf numFmtId="0" fontId="3" fillId="19" borderId="62" xfId="14" applyFont="1" applyFill="1" applyBorder="1" applyAlignment="1">
      <alignment horizontal="center" vertical="center" wrapText="1"/>
    </xf>
    <xf numFmtId="0" fontId="80" fillId="19" borderId="8" xfId="14" applyFont="1" applyFill="1" applyBorder="1" applyAlignment="1">
      <alignment horizontal="center" vertical="center" wrapText="1"/>
    </xf>
    <xf numFmtId="0" fontId="80" fillId="19" borderId="9" xfId="14" applyFont="1" applyFill="1" applyBorder="1" applyAlignment="1">
      <alignment horizontal="center" vertical="center" wrapText="1"/>
    </xf>
    <xf numFmtId="0" fontId="80" fillId="19" borderId="62" xfId="14" applyFont="1" applyFill="1" applyBorder="1" applyAlignment="1">
      <alignment horizontal="center" vertical="center" wrapText="1"/>
    </xf>
    <xf numFmtId="0" fontId="3" fillId="19" borderId="10" xfId="14" applyFont="1" applyFill="1" applyBorder="1" applyAlignment="1">
      <alignment horizontal="center" vertical="center" wrapText="1"/>
    </xf>
    <xf numFmtId="0" fontId="3" fillId="19" borderId="12" xfId="14" applyFont="1" applyFill="1" applyBorder="1" applyAlignment="1">
      <alignment horizontal="center" vertical="center" wrapText="1"/>
    </xf>
    <xf numFmtId="0" fontId="3" fillId="19" borderId="11" xfId="14" applyFont="1" applyFill="1" applyBorder="1" applyAlignment="1">
      <alignment horizontal="center" vertical="center" wrapText="1"/>
    </xf>
    <xf numFmtId="0" fontId="80" fillId="19" borderId="10" xfId="14" applyFont="1" applyFill="1" applyBorder="1" applyAlignment="1">
      <alignment horizontal="center" vertical="center" wrapText="1"/>
    </xf>
    <xf numFmtId="0" fontId="80" fillId="19" borderId="12" xfId="14" applyFont="1" applyFill="1" applyBorder="1" applyAlignment="1">
      <alignment horizontal="center" vertical="center" wrapText="1"/>
    </xf>
    <xf numFmtId="0" fontId="80" fillId="19" borderId="11" xfId="14" applyFont="1" applyFill="1" applyBorder="1" applyAlignment="1">
      <alignment horizontal="center" vertical="center" wrapText="1"/>
    </xf>
    <xf numFmtId="0" fontId="80" fillId="19" borderId="115" xfId="14" applyFont="1" applyFill="1" applyBorder="1" applyAlignment="1">
      <alignment horizontal="center" vertical="center" wrapText="1"/>
    </xf>
    <xf numFmtId="0" fontId="3" fillId="2" borderId="129" xfId="0" applyFont="1" applyFill="1" applyBorder="1" applyAlignment="1">
      <alignment horizontal="center" vertical="center"/>
    </xf>
    <xf numFmtId="0" fontId="3" fillId="2" borderId="130" xfId="0" applyFont="1" applyFill="1" applyBorder="1" applyAlignment="1">
      <alignment horizontal="center" vertical="center"/>
    </xf>
    <xf numFmtId="0" fontId="6" fillId="13" borderId="90" xfId="39" applyFont="1" applyFill="1" applyBorder="1" applyAlignment="1">
      <alignment horizontal="left" vertical="center" wrapText="1"/>
    </xf>
    <xf numFmtId="0" fontId="6" fillId="13" borderId="96" xfId="39" applyFont="1" applyFill="1" applyBorder="1" applyAlignment="1">
      <alignment horizontal="left" vertical="center" wrapText="1"/>
    </xf>
    <xf numFmtId="0" fontId="6" fillId="13" borderId="91" xfId="39" applyFont="1" applyFill="1" applyBorder="1" applyAlignment="1">
      <alignment horizontal="left" vertical="center" wrapText="1"/>
    </xf>
    <xf numFmtId="0" fontId="6" fillId="13" borderId="90" xfId="39" applyFont="1" applyFill="1" applyBorder="1" applyAlignment="1">
      <alignment horizontal="left" vertical="top" wrapText="1"/>
    </xf>
    <xf numFmtId="0" fontId="6" fillId="13" borderId="96" xfId="39" applyFont="1" applyFill="1" applyBorder="1" applyAlignment="1">
      <alignment horizontal="left" vertical="top" wrapText="1"/>
    </xf>
    <xf numFmtId="0" fontId="6" fillId="13" borderId="91" xfId="39" applyFont="1" applyFill="1" applyBorder="1" applyAlignment="1">
      <alignment horizontal="left" vertical="top" wrapText="1"/>
    </xf>
    <xf numFmtId="0" fontId="6" fillId="13" borderId="90" xfId="36" applyFont="1" applyFill="1" applyBorder="1" applyAlignment="1">
      <alignment horizontal="left" vertical="top" wrapText="1"/>
    </xf>
    <xf numFmtId="0" fontId="6" fillId="13" borderId="96" xfId="36" applyFont="1" applyFill="1" applyBorder="1" applyAlignment="1">
      <alignment horizontal="left" vertical="top" wrapText="1"/>
    </xf>
    <xf numFmtId="0" fontId="6" fillId="13" borderId="91" xfId="36" applyFont="1" applyFill="1" applyBorder="1" applyAlignment="1">
      <alignment horizontal="left" vertical="top" wrapText="1"/>
    </xf>
    <xf numFmtId="0" fontId="6" fillId="13" borderId="0" xfId="39" applyFont="1" applyFill="1" applyAlignment="1">
      <alignment horizontal="left" vertical="top" wrapText="1"/>
    </xf>
    <xf numFmtId="0" fontId="47" fillId="13" borderId="0" xfId="39" applyFont="1" applyFill="1" applyAlignment="1">
      <alignment vertical="top" wrapText="1"/>
    </xf>
    <xf numFmtId="3" fontId="50" fillId="25" borderId="0" xfId="14" applyNumberFormat="1" applyFont="1" applyFill="1" applyAlignment="1">
      <alignment horizontal="center" vertical="center"/>
    </xf>
    <xf numFmtId="0" fontId="6" fillId="13" borderId="106" xfId="39" applyFont="1" applyFill="1" applyBorder="1" applyAlignment="1">
      <alignment horizontal="center" vertical="top" wrapText="1"/>
    </xf>
    <xf numFmtId="0" fontId="6" fillId="13" borderId="107" xfId="39" applyFont="1" applyFill="1" applyBorder="1" applyAlignment="1">
      <alignment horizontal="center" vertical="top" wrapText="1"/>
    </xf>
    <xf numFmtId="3" fontId="78" fillId="25" borderId="90" xfId="14" applyNumberFormat="1" applyFont="1" applyFill="1" applyBorder="1" applyAlignment="1" applyProtection="1">
      <alignment horizontal="center" vertical="center" wrapText="1"/>
      <protection locked="0"/>
    </xf>
    <xf numFmtId="3" fontId="78" fillId="25" borderId="91" xfId="14" applyNumberFormat="1" applyFont="1" applyFill="1" applyBorder="1" applyAlignment="1" applyProtection="1">
      <alignment horizontal="center" vertical="center" wrapText="1"/>
      <protection locked="0"/>
    </xf>
    <xf numFmtId="3" fontId="78" fillId="25" borderId="92" xfId="14" applyNumberFormat="1" applyFont="1" applyFill="1" applyBorder="1" applyAlignment="1" applyProtection="1">
      <alignment horizontal="center" vertical="center" wrapText="1"/>
      <protection locked="0"/>
    </xf>
    <xf numFmtId="3" fontId="78" fillId="25" borderId="93" xfId="14" applyNumberFormat="1" applyFont="1" applyFill="1" applyBorder="1" applyAlignment="1" applyProtection="1">
      <alignment horizontal="center" vertical="center" wrapText="1"/>
      <protection locked="0"/>
    </xf>
    <xf numFmtId="3" fontId="78" fillId="25" borderId="94" xfId="14" applyNumberFormat="1" applyFont="1" applyFill="1" applyBorder="1" applyAlignment="1" applyProtection="1">
      <alignment horizontal="center" vertical="center" wrapText="1"/>
      <protection locked="0"/>
    </xf>
    <xf numFmtId="3" fontId="78" fillId="25" borderId="95" xfId="14" applyNumberFormat="1" applyFont="1" applyFill="1" applyBorder="1" applyAlignment="1" applyProtection="1">
      <alignment horizontal="center" vertical="center" wrapText="1"/>
      <protection locked="0"/>
    </xf>
    <xf numFmtId="3" fontId="2" fillId="0" borderId="104" xfId="14" applyNumberFormat="1" applyFont="1" applyBorder="1" applyAlignment="1">
      <alignment horizontal="center" vertical="center"/>
    </xf>
    <xf numFmtId="3" fontId="2" fillId="0" borderId="105" xfId="14" applyNumberFormat="1" applyFont="1" applyBorder="1" applyAlignment="1">
      <alignment horizontal="center" vertical="center"/>
    </xf>
    <xf numFmtId="0" fontId="25" fillId="12" borderId="0" xfId="20" applyFont="1" applyFill="1" applyAlignment="1">
      <alignment horizontal="center" vertical="center" wrapText="1"/>
    </xf>
    <xf numFmtId="0" fontId="97" fillId="0" borderId="0" xfId="20" applyAlignment="1">
      <alignment horizontal="center"/>
    </xf>
    <xf numFmtId="0" fontId="28" fillId="0" borderId="12" xfId="20" applyFont="1" applyBorder="1" applyAlignment="1">
      <alignment horizontal="center" vertical="center" wrapText="1"/>
    </xf>
    <xf numFmtId="0" fontId="21" fillId="0" borderId="12" xfId="20" applyFont="1" applyBorder="1" applyAlignment="1">
      <alignment horizontal="center" vertical="center" wrapText="1"/>
    </xf>
    <xf numFmtId="49" fontId="31" fillId="0" borderId="12" xfId="20" applyNumberFormat="1" applyFont="1" applyBorder="1" applyAlignment="1">
      <alignment horizontal="left" vertical="center" wrapText="1"/>
    </xf>
    <xf numFmtId="0" fontId="31" fillId="0" borderId="12" xfId="20" applyFont="1" applyBorder="1" applyAlignment="1">
      <alignment horizontal="left" vertical="center" wrapText="1"/>
    </xf>
    <xf numFmtId="49" fontId="31" fillId="0" borderId="12" xfId="20" applyNumberFormat="1" applyFont="1" applyBorder="1" applyAlignment="1">
      <alignment horizontal="center" vertical="center"/>
    </xf>
    <xf numFmtId="49" fontId="31" fillId="0" borderId="11" xfId="20" applyNumberFormat="1" applyFont="1" applyBorder="1" applyAlignment="1">
      <alignment horizontal="center" vertical="center"/>
    </xf>
    <xf numFmtId="49" fontId="31" fillId="0" borderId="36" xfId="20" applyNumberFormat="1" applyFont="1" applyBorder="1" applyAlignment="1">
      <alignment horizontal="center" vertical="center"/>
    </xf>
    <xf numFmtId="49" fontId="31" fillId="0" borderId="37" xfId="20" applyNumberFormat="1" applyFont="1" applyBorder="1" applyAlignment="1">
      <alignment horizontal="center" vertical="center"/>
    </xf>
    <xf numFmtId="0" fontId="34" fillId="0" borderId="0" xfId="20" applyFont="1" applyAlignment="1">
      <alignment horizontal="left" wrapText="1"/>
    </xf>
    <xf numFmtId="0" fontId="41" fillId="0" borderId="0" xfId="20" applyFont="1" applyAlignment="1">
      <alignment horizontal="left"/>
    </xf>
    <xf numFmtId="0" fontId="22" fillId="0" borderId="0" xfId="20" applyFont="1" applyAlignment="1">
      <alignment horizontal="center"/>
    </xf>
    <xf numFmtId="0" fontId="30" fillId="0" borderId="12" xfId="20" applyFont="1" applyBorder="1" applyAlignment="1">
      <alignment vertical="center" wrapText="1"/>
    </xf>
    <xf numFmtId="0" fontId="30" fillId="0" borderId="12" xfId="20" applyFont="1" applyBorder="1" applyAlignment="1">
      <alignment horizontal="left" vertical="center" wrapText="1"/>
    </xf>
    <xf numFmtId="0" fontId="30" fillId="0" borderId="22" xfId="20" applyFont="1" applyBorder="1" applyAlignment="1">
      <alignment horizontal="center" vertical="center" wrapText="1"/>
    </xf>
    <xf numFmtId="0" fontId="30" fillId="0" borderId="31" xfId="20" applyFont="1" applyBorder="1" applyAlignment="1">
      <alignment horizontal="center" vertical="center" wrapText="1"/>
    </xf>
    <xf numFmtId="0" fontId="30" fillId="0" borderId="33" xfId="20" applyFont="1" applyBorder="1" applyAlignment="1">
      <alignment horizontal="center" vertical="center" wrapText="1"/>
    </xf>
    <xf numFmtId="0" fontId="30" fillId="0" borderId="10" xfId="20" applyFont="1" applyBorder="1" applyAlignment="1">
      <alignment horizontal="left" vertical="center" wrapText="1"/>
    </xf>
    <xf numFmtId="0" fontId="30" fillId="0" borderId="22" xfId="20" applyFont="1" applyBorder="1" applyAlignment="1">
      <alignment horizontal="left" vertical="center" wrapText="1"/>
    </xf>
    <xf numFmtId="0" fontId="30" fillId="0" borderId="31" xfId="20" applyFont="1" applyBorder="1" applyAlignment="1">
      <alignment horizontal="left" vertical="center" wrapText="1"/>
    </xf>
    <xf numFmtId="0" fontId="30" fillId="0" borderId="33" xfId="20" applyFont="1" applyBorder="1" applyAlignment="1">
      <alignment horizontal="left" vertical="center" wrapText="1"/>
    </xf>
    <xf numFmtId="0" fontId="31" fillId="0" borderId="29" xfId="20" applyFont="1" applyBorder="1" applyAlignment="1">
      <alignment horizontal="center" vertical="center" wrapText="1"/>
    </xf>
    <xf numFmtId="0" fontId="31" fillId="0" borderId="30" xfId="20" applyFont="1" applyBorder="1" applyAlignment="1">
      <alignment horizontal="center" vertical="center" wrapText="1"/>
    </xf>
    <xf numFmtId="0" fontId="31" fillId="0" borderId="32" xfId="20" applyFont="1" applyBorder="1" applyAlignment="1">
      <alignment horizontal="center" vertical="center" wrapText="1"/>
    </xf>
    <xf numFmtId="0" fontId="31" fillId="0" borderId="26" xfId="20" applyFont="1" applyBorder="1" applyAlignment="1">
      <alignment horizontal="center" vertical="center" wrapText="1"/>
    </xf>
    <xf numFmtId="0" fontId="31" fillId="0" borderId="34" xfId="20" applyFont="1" applyBorder="1" applyAlignment="1">
      <alignment horizontal="center" vertical="center" wrapText="1"/>
    </xf>
    <xf numFmtId="0" fontId="31" fillId="0" borderId="35" xfId="20" applyFont="1" applyBorder="1" applyAlignment="1">
      <alignment horizontal="center" vertical="center" wrapText="1"/>
    </xf>
    <xf numFmtId="0" fontId="71" fillId="2" borderId="85" xfId="0" applyFont="1" applyFill="1" applyBorder="1" applyAlignment="1">
      <alignment horizontal="left" vertical="center" wrapText="1"/>
    </xf>
    <xf numFmtId="0" fontId="71" fillId="2" borderId="83" xfId="0" applyFont="1" applyFill="1" applyBorder="1" applyAlignment="1">
      <alignment horizontal="left" vertical="center" wrapText="1"/>
    </xf>
    <xf numFmtId="0" fontId="71" fillId="2" borderId="86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71" fillId="2" borderId="79" xfId="0" applyFont="1" applyFill="1" applyBorder="1" applyAlignment="1">
      <alignment horizontal="center" vertical="center" wrapText="1"/>
    </xf>
    <xf numFmtId="0" fontId="71" fillId="2" borderId="82" xfId="0" applyFont="1" applyFill="1" applyBorder="1" applyAlignment="1">
      <alignment horizontal="center" vertical="center" wrapText="1"/>
    </xf>
    <xf numFmtId="0" fontId="71" fillId="2" borderId="81" xfId="0" applyFont="1" applyFill="1" applyBorder="1" applyAlignment="1">
      <alignment horizontal="center" vertical="center" wrapText="1"/>
    </xf>
    <xf numFmtId="0" fontId="71" fillId="2" borderId="84" xfId="0" applyFont="1" applyFill="1" applyBorder="1" applyAlignment="1">
      <alignment horizontal="center" vertical="center" wrapText="1"/>
    </xf>
    <xf numFmtId="0" fontId="71" fillId="2" borderId="80" xfId="0" applyFont="1" applyFill="1" applyBorder="1" applyAlignment="1">
      <alignment horizontal="center" vertical="center" wrapText="1"/>
    </xf>
    <xf numFmtId="0" fontId="72" fillId="2" borderId="85" xfId="0" applyFont="1" applyFill="1" applyBorder="1" applyAlignment="1">
      <alignment horizontal="left" vertical="center" wrapText="1"/>
    </xf>
    <xf numFmtId="0" fontId="72" fillId="2" borderId="83" xfId="0" applyFont="1" applyFill="1" applyBorder="1" applyAlignment="1">
      <alignment horizontal="left" vertical="center" wrapText="1"/>
    </xf>
    <xf numFmtId="0" fontId="72" fillId="2" borderId="86" xfId="0" applyFont="1" applyFill="1" applyBorder="1" applyAlignment="1">
      <alignment horizontal="left" vertical="center" wrapText="1"/>
    </xf>
    <xf numFmtId="49" fontId="3" fillId="0" borderId="45" xfId="0" applyNumberFormat="1" applyFont="1" applyBorder="1" applyAlignment="1">
      <alignment horizontal="right" vertical="top" wrapText="1"/>
    </xf>
    <xf numFmtId="49" fontId="3" fillId="0" borderId="46" xfId="0" applyNumberFormat="1" applyFont="1" applyBorder="1" applyAlignment="1">
      <alignment horizontal="right" vertical="top" wrapText="1"/>
    </xf>
    <xf numFmtId="49" fontId="3" fillId="0" borderId="38" xfId="0" applyNumberFormat="1" applyFont="1" applyBorder="1" applyAlignment="1">
      <alignment horizontal="left" vertical="top" wrapText="1"/>
    </xf>
    <xf numFmtId="49" fontId="3" fillId="0" borderId="39" xfId="0" applyNumberFormat="1" applyFont="1" applyBorder="1" applyAlignment="1">
      <alignment horizontal="left" vertical="top" wrapText="1"/>
    </xf>
    <xf numFmtId="49" fontId="3" fillId="0" borderId="55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right" vertical="top" wrapText="1"/>
    </xf>
    <xf numFmtId="49" fontId="3" fillId="0" borderId="75" xfId="0" applyNumberFormat="1" applyFont="1" applyBorder="1" applyAlignment="1">
      <alignment horizontal="left" vertical="top" wrapText="1"/>
    </xf>
    <xf numFmtId="49" fontId="3" fillId="0" borderId="72" xfId="0" applyNumberFormat="1" applyFont="1" applyBorder="1" applyAlignment="1">
      <alignment horizontal="left" vertical="top" wrapText="1"/>
    </xf>
    <xf numFmtId="49" fontId="3" fillId="0" borderId="65" xfId="0" applyNumberFormat="1" applyFont="1" applyBorder="1" applyAlignment="1">
      <alignment horizontal="left" vertical="top" wrapText="1"/>
    </xf>
    <xf numFmtId="3" fontId="49" fillId="0" borderId="38" xfId="0" applyNumberFormat="1" applyFont="1" applyBorder="1" applyAlignment="1">
      <alignment horizontal="center" vertical="center" wrapText="1"/>
    </xf>
    <xf numFmtId="3" fontId="49" fillId="0" borderId="39" xfId="0" applyNumberFormat="1" applyFont="1" applyBorder="1" applyAlignment="1">
      <alignment horizontal="center" vertical="center" wrapText="1"/>
    </xf>
    <xf numFmtId="3" fontId="49" fillId="0" borderId="55" xfId="0" applyNumberFormat="1" applyFont="1" applyBorder="1" applyAlignment="1">
      <alignment horizontal="center" vertical="center" wrapText="1"/>
    </xf>
    <xf numFmtId="3" fontId="50" fillId="2" borderId="0" xfId="22" applyNumberFormat="1" applyFont="1" applyFill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28" fillId="0" borderId="41" xfId="0" applyFont="1" applyBorder="1" applyAlignment="1">
      <alignment horizontal="center" vertical="top" wrapText="1"/>
    </xf>
    <xf numFmtId="0" fontId="28" fillId="0" borderId="42" xfId="0" applyFont="1" applyBorder="1" applyAlignment="1">
      <alignment horizontal="center" vertical="top" wrapText="1"/>
    </xf>
    <xf numFmtId="0" fontId="28" fillId="0" borderId="56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51" fillId="0" borderId="3" xfId="0" applyFont="1" applyBorder="1" applyAlignment="1">
      <alignment horizontal="right" vertical="top" wrapText="1"/>
    </xf>
    <xf numFmtId="0" fontId="51" fillId="0" borderId="4" xfId="0" applyFont="1" applyBorder="1" applyAlignment="1">
      <alignment horizontal="right" vertical="top" wrapText="1"/>
    </xf>
    <xf numFmtId="0" fontId="3" fillId="0" borderId="76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3" fillId="0" borderId="77" xfId="0" applyFont="1" applyBorder="1" applyAlignment="1">
      <alignment horizontal="left" vertical="top" wrapText="1"/>
    </xf>
    <xf numFmtId="0" fontId="51" fillId="0" borderId="38" xfId="0" applyFont="1" applyBorder="1" applyAlignment="1">
      <alignment horizontal="right" vertical="top" wrapText="1"/>
    </xf>
    <xf numFmtId="0" fontId="51" fillId="0" borderId="39" xfId="0" applyFont="1" applyBorder="1" applyAlignment="1">
      <alignment horizontal="right" vertical="top" wrapText="1"/>
    </xf>
    <xf numFmtId="3" fontId="28" fillId="0" borderId="0" xfId="0" applyNumberFormat="1" applyFont="1" applyAlignment="1">
      <alignment horizontal="center" vertical="center" wrapText="1"/>
    </xf>
    <xf numFmtId="3" fontId="28" fillId="0" borderId="20" xfId="0" applyNumberFormat="1" applyFont="1" applyBorder="1" applyAlignment="1">
      <alignment horizontal="center" vertical="center" wrapText="1"/>
    </xf>
    <xf numFmtId="0" fontId="6" fillId="0" borderId="45" xfId="0" applyFont="1" applyBorder="1" applyAlignment="1">
      <alignment horizontal="right" vertical="top" wrapText="1"/>
    </xf>
    <xf numFmtId="0" fontId="3" fillId="0" borderId="54" xfId="0" applyFont="1" applyBorder="1" applyAlignment="1">
      <alignment horizontal="right" vertical="top" wrapText="1"/>
    </xf>
    <xf numFmtId="0" fontId="3" fillId="0" borderId="45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3" fontId="3" fillId="0" borderId="0" xfId="0" applyNumberFormat="1" applyFont="1" applyAlignment="1">
      <alignment horizontal="center" vertical="center" wrapText="1"/>
    </xf>
    <xf numFmtId="0" fontId="51" fillId="0" borderId="7" xfId="0" applyFont="1" applyBorder="1" applyAlignment="1">
      <alignment horizontal="right" vertical="top" wrapText="1"/>
    </xf>
    <xf numFmtId="0" fontId="51" fillId="0" borderId="44" xfId="0" applyFont="1" applyBorder="1" applyAlignment="1">
      <alignment horizontal="right" vertical="top" wrapText="1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51" fillId="0" borderId="50" xfId="0" applyFont="1" applyBorder="1" applyAlignment="1">
      <alignment horizontal="righ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left" vertical="top" wrapText="1"/>
    </xf>
    <xf numFmtId="0" fontId="3" fillId="0" borderId="55" xfId="0" applyFont="1" applyBorder="1" applyAlignment="1">
      <alignment horizontal="left" vertical="top" wrapText="1"/>
    </xf>
    <xf numFmtId="49" fontId="51" fillId="0" borderId="9" xfId="0" applyNumberFormat="1" applyFont="1" applyBorder="1" applyAlignment="1">
      <alignment horizontal="left"/>
    </xf>
    <xf numFmtId="49" fontId="51" fillId="0" borderId="13" xfId="0" applyNumberFormat="1" applyFont="1" applyBorder="1" applyAlignment="1">
      <alignment horizontal="left"/>
    </xf>
    <xf numFmtId="0" fontId="51" fillId="0" borderId="10" xfId="0" applyFont="1" applyBorder="1" applyAlignment="1">
      <alignment horizontal="left" vertical="top" wrapText="1"/>
    </xf>
    <xf numFmtId="0" fontId="51" fillId="0" borderId="12" xfId="0" applyFont="1" applyBorder="1" applyAlignment="1">
      <alignment horizontal="left" vertical="top" wrapText="1"/>
    </xf>
    <xf numFmtId="0" fontId="51" fillId="0" borderId="14" xfId="0" applyFont="1" applyBorder="1" applyAlignment="1">
      <alignment horizontal="left" vertical="top" wrapText="1"/>
    </xf>
    <xf numFmtId="0" fontId="51" fillId="0" borderId="15" xfId="0" applyFont="1" applyBorder="1" applyAlignment="1">
      <alignment horizontal="right" vertical="top" wrapText="1"/>
    </xf>
    <xf numFmtId="0" fontId="51" fillId="0" borderId="16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3" fontId="49" fillId="2" borderId="0" xfId="22" applyNumberFormat="1" applyFont="1" applyFill="1" applyAlignment="1">
      <alignment horizontal="center" vertical="center" wrapText="1"/>
    </xf>
    <xf numFmtId="0" fontId="97" fillId="2" borderId="0" xfId="22" applyFill="1" applyAlignment="1">
      <alignment horizontal="center"/>
    </xf>
    <xf numFmtId="0" fontId="3" fillId="0" borderId="41" xfId="22" applyFont="1" applyBorder="1" applyAlignment="1">
      <alignment horizontal="center" vertical="top" wrapText="1"/>
    </xf>
    <xf numFmtId="0" fontId="3" fillId="0" borderId="42" xfId="22" applyFont="1" applyBorder="1" applyAlignment="1">
      <alignment horizontal="center" vertical="top" wrapText="1"/>
    </xf>
    <xf numFmtId="0" fontId="3" fillId="0" borderId="56" xfId="22" applyFont="1" applyBorder="1" applyAlignment="1">
      <alignment horizontal="center" vertical="top" wrapText="1"/>
    </xf>
    <xf numFmtId="0" fontId="3" fillId="0" borderId="38" xfId="22" applyFont="1" applyBorder="1" applyAlignment="1">
      <alignment horizontal="left" vertical="top"/>
    </xf>
    <xf numFmtId="0" fontId="3" fillId="0" borderId="39" xfId="22" applyFont="1" applyBorder="1" applyAlignment="1">
      <alignment horizontal="left" vertical="top"/>
    </xf>
    <xf numFmtId="0" fontId="3" fillId="0" borderId="55" xfId="22" applyFont="1" applyBorder="1" applyAlignment="1">
      <alignment horizontal="left" vertical="top"/>
    </xf>
    <xf numFmtId="49" fontId="3" fillId="0" borderId="43" xfId="22" applyNumberFormat="1" applyFont="1" applyBorder="1" applyAlignment="1">
      <alignment horizontal="right" vertical="top" wrapText="1"/>
    </xf>
    <xf numFmtId="49" fontId="3" fillId="0" borderId="52" xfId="22" applyNumberFormat="1" applyFont="1" applyBorder="1" applyAlignment="1">
      <alignment horizontal="right" vertical="top" wrapText="1"/>
    </xf>
    <xf numFmtId="49" fontId="3" fillId="0" borderId="3" xfId="22" applyNumberFormat="1" applyFont="1" applyBorder="1" applyAlignment="1">
      <alignment horizontal="left" vertical="top" wrapText="1"/>
    </xf>
    <xf numFmtId="49" fontId="3" fillId="0" borderId="4" xfId="22" applyNumberFormat="1" applyFont="1" applyBorder="1" applyAlignment="1">
      <alignment horizontal="left" vertical="top" wrapText="1"/>
    </xf>
    <xf numFmtId="49" fontId="3" fillId="0" borderId="5" xfId="22" applyNumberFormat="1" applyFont="1" applyBorder="1" applyAlignment="1">
      <alignment horizontal="left" vertical="top" wrapText="1"/>
    </xf>
    <xf numFmtId="49" fontId="3" fillId="0" borderId="3" xfId="28" applyNumberFormat="1" applyFont="1" applyBorder="1" applyAlignment="1">
      <alignment horizontal="right" vertical="top" wrapText="1"/>
    </xf>
    <xf numFmtId="49" fontId="3" fillId="0" borderId="4" xfId="28" applyNumberFormat="1" applyFont="1" applyBorder="1" applyAlignment="1">
      <alignment horizontal="right" vertical="top" wrapText="1"/>
    </xf>
    <xf numFmtId="0" fontId="51" fillId="0" borderId="3" xfId="22" applyFont="1" applyBorder="1" applyAlignment="1">
      <alignment horizontal="right" vertical="top" wrapText="1"/>
    </xf>
    <xf numFmtId="0" fontId="51" fillId="0" borderId="50" xfId="22" applyFont="1" applyBorder="1" applyAlignment="1">
      <alignment horizontal="right" vertical="top" wrapText="1"/>
    </xf>
    <xf numFmtId="0" fontId="3" fillId="0" borderId="3" xfId="22" applyFont="1" applyBorder="1" applyAlignment="1">
      <alignment horizontal="left" vertical="top"/>
    </xf>
    <xf numFmtId="0" fontId="3" fillId="0" borderId="4" xfId="22" applyFont="1" applyBorder="1" applyAlignment="1">
      <alignment horizontal="left" vertical="top"/>
    </xf>
    <xf numFmtId="0" fontId="3" fillId="0" borderId="5" xfId="22" applyFont="1" applyBorder="1" applyAlignment="1">
      <alignment horizontal="left" vertical="top"/>
    </xf>
    <xf numFmtId="49" fontId="51" fillId="0" borderId="11" xfId="22" applyNumberFormat="1" applyFont="1" applyBorder="1" applyAlignment="1">
      <alignment horizontal="left"/>
    </xf>
    <xf numFmtId="49" fontId="51" fillId="0" borderId="36" xfId="22" applyNumberFormat="1" applyFont="1" applyBorder="1" applyAlignment="1">
      <alignment horizontal="left"/>
    </xf>
    <xf numFmtId="49" fontId="51" fillId="0" borderId="64" xfId="22" applyNumberFormat="1" applyFont="1" applyBorder="1" applyAlignment="1">
      <alignment horizontal="left"/>
    </xf>
    <xf numFmtId="0" fontId="51" fillId="24" borderId="68" xfId="22" applyFont="1" applyFill="1" applyBorder="1" applyAlignment="1">
      <alignment horizontal="left" vertical="top" wrapText="1"/>
    </xf>
    <xf numFmtId="0" fontId="51" fillId="24" borderId="36" xfId="22" applyFont="1" applyFill="1" applyBorder="1" applyAlignment="1">
      <alignment horizontal="left" vertical="top" wrapText="1"/>
    </xf>
    <xf numFmtId="0" fontId="51" fillId="24" borderId="64" xfId="22" applyFont="1" applyFill="1" applyBorder="1" applyAlignment="1">
      <alignment horizontal="left" vertical="top" wrapText="1"/>
    </xf>
    <xf numFmtId="3" fontId="28" fillId="2" borderId="0" xfId="22" applyNumberFormat="1" applyFont="1" applyFill="1" applyAlignment="1">
      <alignment horizontal="center" vertical="center" wrapText="1"/>
    </xf>
    <xf numFmtId="3" fontId="28" fillId="2" borderId="20" xfId="22" applyNumberFormat="1" applyFont="1" applyFill="1" applyBorder="1" applyAlignment="1">
      <alignment horizontal="center" vertical="center" wrapText="1"/>
    </xf>
    <xf numFmtId="0" fontId="6" fillId="0" borderId="45" xfId="22" applyFont="1" applyBorder="1" applyAlignment="1">
      <alignment horizontal="right" vertical="top" wrapText="1"/>
    </xf>
    <xf numFmtId="0" fontId="3" fillId="0" borderId="54" xfId="22" applyFont="1" applyBorder="1" applyAlignment="1">
      <alignment horizontal="right" vertical="top" wrapText="1"/>
    </xf>
    <xf numFmtId="0" fontId="3" fillId="0" borderId="45" xfId="22" applyFont="1" applyBorder="1" applyAlignment="1">
      <alignment horizontal="right"/>
    </xf>
    <xf numFmtId="0" fontId="3" fillId="0" borderId="54" xfId="22" applyFont="1" applyBorder="1" applyAlignment="1">
      <alignment horizontal="right"/>
    </xf>
    <xf numFmtId="14" fontId="3" fillId="0" borderId="0" xfId="22" applyNumberFormat="1" applyFont="1" applyAlignment="1">
      <alignment horizontal="left" vertical="top" wrapText="1"/>
    </xf>
    <xf numFmtId="3" fontId="3" fillId="2" borderId="0" xfId="22" applyNumberFormat="1" applyFont="1" applyFill="1" applyAlignment="1">
      <alignment horizontal="center" vertical="center" wrapText="1"/>
    </xf>
    <xf numFmtId="0" fontId="3" fillId="0" borderId="38" xfId="22" applyFont="1" applyBorder="1" applyAlignment="1">
      <alignment horizontal="center" vertical="top" wrapText="1"/>
    </xf>
    <xf numFmtId="0" fontId="3" fillId="0" borderId="7" xfId="22" applyFont="1" applyBorder="1" applyAlignment="1">
      <alignment horizontal="center" vertical="top" wrapText="1"/>
    </xf>
    <xf numFmtId="0" fontId="3" fillId="0" borderId="40" xfId="22" applyFont="1" applyBorder="1" applyAlignment="1">
      <alignment horizontal="center" vertical="top" wrapText="1"/>
    </xf>
    <xf numFmtId="0" fontId="3" fillId="0" borderId="43" xfId="22" applyFont="1" applyBorder="1" applyAlignment="1">
      <alignment horizontal="center" vertical="top" wrapText="1"/>
    </xf>
    <xf numFmtId="0" fontId="3" fillId="0" borderId="18" xfId="22" applyFont="1" applyBorder="1" applyAlignment="1">
      <alignment horizontal="left" vertical="top" wrapText="1"/>
    </xf>
    <xf numFmtId="0" fontId="3" fillId="0" borderId="0" xfId="22" applyFont="1" applyAlignment="1">
      <alignment horizontal="left" vertical="top" wrapText="1"/>
    </xf>
    <xf numFmtId="0" fontId="3" fillId="0" borderId="19" xfId="22" applyFont="1" applyBorder="1" applyAlignment="1">
      <alignment horizontal="left" vertical="top" wrapText="1"/>
    </xf>
    <xf numFmtId="0" fontId="51" fillId="0" borderId="4" xfId="22" applyFont="1" applyBorder="1" applyAlignment="1">
      <alignment horizontal="right" vertical="top" wrapText="1"/>
    </xf>
    <xf numFmtId="0" fontId="3" fillId="0" borderId="3" xfId="22" applyFont="1" applyBorder="1" applyAlignment="1">
      <alignment horizontal="left" vertical="top" wrapText="1"/>
    </xf>
    <xf numFmtId="0" fontId="3" fillId="0" borderId="4" xfId="22" applyFont="1" applyBorder="1" applyAlignment="1">
      <alignment horizontal="left" vertical="top" wrapText="1"/>
    </xf>
    <xf numFmtId="0" fontId="3" fillId="0" borderId="5" xfId="22" applyFont="1" applyBorder="1" applyAlignment="1">
      <alignment horizontal="left" vertical="top" wrapText="1"/>
    </xf>
    <xf numFmtId="0" fontId="51" fillId="0" borderId="38" xfId="22" applyFont="1" applyBorder="1" applyAlignment="1">
      <alignment horizontal="right" vertical="top" wrapText="1"/>
    </xf>
    <xf numFmtId="0" fontId="51" fillId="0" borderId="39" xfId="22" applyFont="1" applyBorder="1" applyAlignment="1">
      <alignment horizontal="right" vertical="top" wrapText="1"/>
    </xf>
    <xf numFmtId="49" fontId="3" fillId="0" borderId="45" xfId="22" applyNumberFormat="1" applyFont="1" applyBorder="1" applyAlignment="1">
      <alignment horizontal="right" vertical="top" wrapText="1"/>
    </xf>
    <xf numFmtId="49" fontId="3" fillId="0" borderId="46" xfId="22" applyNumberFormat="1" applyFont="1" applyBorder="1" applyAlignment="1">
      <alignment horizontal="right" vertical="top" wrapText="1"/>
    </xf>
    <xf numFmtId="0" fontId="51" fillId="0" borderId="7" xfId="22" applyFont="1" applyBorder="1" applyAlignment="1">
      <alignment horizontal="right" vertical="top" wrapText="1"/>
    </xf>
    <xf numFmtId="0" fontId="51" fillId="0" borderId="44" xfId="22" applyFont="1" applyBorder="1" applyAlignment="1">
      <alignment horizontal="right" vertical="top" wrapText="1"/>
    </xf>
    <xf numFmtId="49" fontId="3" fillId="0" borderId="38" xfId="22" applyNumberFormat="1" applyFont="1" applyBorder="1" applyAlignment="1">
      <alignment horizontal="left" vertical="top" wrapText="1"/>
    </xf>
    <xf numFmtId="49" fontId="3" fillId="0" borderId="39" xfId="22" applyNumberFormat="1" applyFont="1" applyBorder="1" applyAlignment="1">
      <alignment horizontal="left" vertical="top" wrapText="1"/>
    </xf>
    <xf numFmtId="49" fontId="3" fillId="0" borderId="55" xfId="22" applyNumberFormat="1" applyFont="1" applyBorder="1" applyAlignment="1">
      <alignment horizontal="left" vertical="top" wrapText="1"/>
    </xf>
    <xf numFmtId="14" fontId="3" fillId="0" borderId="0" xfId="22" applyNumberFormat="1" applyFont="1" applyAlignment="1">
      <alignment horizontal="center" vertical="top" wrapText="1"/>
    </xf>
    <xf numFmtId="0" fontId="3" fillId="0" borderId="38" xfId="22" applyFont="1" applyBorder="1" applyAlignment="1">
      <alignment horizontal="left" vertical="top" wrapText="1"/>
    </xf>
    <xf numFmtId="0" fontId="3" fillId="0" borderId="39" xfId="22" applyFont="1" applyBorder="1" applyAlignment="1">
      <alignment horizontal="left" vertical="top" wrapText="1"/>
    </xf>
    <xf numFmtId="0" fontId="3" fillId="0" borderId="55" xfId="22" applyFont="1" applyBorder="1" applyAlignment="1">
      <alignment horizontal="left" vertical="top" wrapText="1"/>
    </xf>
    <xf numFmtId="3" fontId="49" fillId="0" borderId="0" xfId="22" applyNumberFormat="1" applyFont="1" applyAlignment="1">
      <alignment horizontal="center" vertical="center" wrapText="1"/>
    </xf>
    <xf numFmtId="3" fontId="50" fillId="0" borderId="0" xfId="22" applyNumberFormat="1" applyFont="1" applyAlignment="1">
      <alignment horizontal="center" vertical="center" wrapText="1"/>
    </xf>
    <xf numFmtId="0" fontId="97" fillId="0" borderId="0" xfId="22" applyAlignment="1">
      <alignment horizontal="center"/>
    </xf>
    <xf numFmtId="0" fontId="3" fillId="2" borderId="18" xfId="22" applyFont="1" applyFill="1" applyBorder="1" applyAlignment="1">
      <alignment horizontal="left" vertical="top" wrapText="1"/>
    </xf>
    <xf numFmtId="0" fontId="3" fillId="2" borderId="0" xfId="22" applyFont="1" applyFill="1" applyAlignment="1">
      <alignment horizontal="left" vertical="top" wrapText="1"/>
    </xf>
    <xf numFmtId="0" fontId="3" fillId="2" borderId="19" xfId="22" applyFont="1" applyFill="1" applyBorder="1" applyAlignment="1">
      <alignment horizontal="left" vertical="top" wrapText="1"/>
    </xf>
    <xf numFmtId="0" fontId="51" fillId="0" borderId="68" xfId="22" applyFont="1" applyBorder="1" applyAlignment="1">
      <alignment horizontal="left" vertical="top" wrapText="1"/>
    </xf>
    <xf numFmtId="0" fontId="51" fillId="0" borderId="36" xfId="22" applyFont="1" applyBorder="1" applyAlignment="1">
      <alignment horizontal="left" vertical="top" wrapText="1"/>
    </xf>
    <xf numFmtId="0" fontId="51" fillId="0" borderId="64" xfId="22" applyFont="1" applyBorder="1" applyAlignment="1">
      <alignment horizontal="left" vertical="top" wrapText="1"/>
    </xf>
    <xf numFmtId="3" fontId="28" fillId="0" borderId="0" xfId="22" applyNumberFormat="1" applyFont="1" applyAlignment="1">
      <alignment horizontal="center" vertical="center" wrapText="1"/>
    </xf>
    <xf numFmtId="3" fontId="28" fillId="0" borderId="20" xfId="22" applyNumberFormat="1" applyFont="1" applyBorder="1" applyAlignment="1">
      <alignment horizontal="center" vertical="center" wrapText="1"/>
    </xf>
    <xf numFmtId="3" fontId="3" fillId="0" borderId="0" xfId="22" applyNumberFormat="1" applyFont="1" applyAlignment="1">
      <alignment horizontal="center" vertical="center" wrapText="1"/>
    </xf>
    <xf numFmtId="0" fontId="51" fillId="24" borderId="43" xfId="22" applyFont="1" applyFill="1" applyBorder="1" applyAlignment="1">
      <alignment horizontal="right" vertical="top" wrapText="1"/>
    </xf>
    <xf numFmtId="0" fontId="51" fillId="24" borderId="52" xfId="22" applyFont="1" applyFill="1" applyBorder="1" applyAlignment="1">
      <alignment horizontal="right" vertical="top" wrapText="1"/>
    </xf>
    <xf numFmtId="0" fontId="3" fillId="24" borderId="3" xfId="22" applyFont="1" applyFill="1" applyBorder="1" applyAlignment="1">
      <alignment horizontal="left" vertical="top" wrapText="1"/>
    </xf>
    <xf numFmtId="0" fontId="3" fillId="24" borderId="4" xfId="22" applyFont="1" applyFill="1" applyBorder="1" applyAlignment="1">
      <alignment horizontal="left" vertical="top" wrapText="1"/>
    </xf>
    <xf numFmtId="0" fontId="3" fillId="24" borderId="5" xfId="22" applyFont="1" applyFill="1" applyBorder="1" applyAlignment="1">
      <alignment horizontal="left" vertical="top" wrapText="1"/>
    </xf>
    <xf numFmtId="0" fontId="51" fillId="2" borderId="45" xfId="22" applyFont="1" applyFill="1" applyBorder="1" applyAlignment="1">
      <alignment horizontal="right" vertical="top" wrapText="1"/>
    </xf>
    <xf numFmtId="0" fontId="51" fillId="2" borderId="46" xfId="22" applyFont="1" applyFill="1" applyBorder="1" applyAlignment="1">
      <alignment horizontal="right" vertical="top" wrapText="1"/>
    </xf>
    <xf numFmtId="0" fontId="3" fillId="0" borderId="7" xfId="22" applyFont="1" applyBorder="1" applyAlignment="1">
      <alignment horizontal="left" vertical="top" wrapText="1"/>
    </xf>
    <xf numFmtId="0" fontId="3" fillId="0" borderId="20" xfId="22" applyFont="1" applyBorder="1" applyAlignment="1">
      <alignment horizontal="left" vertical="top" wrapText="1"/>
    </xf>
    <xf numFmtId="0" fontId="3" fillId="0" borderId="21" xfId="22" applyFont="1" applyBorder="1" applyAlignment="1">
      <alignment horizontal="left" vertical="top" wrapText="1"/>
    </xf>
    <xf numFmtId="49" fontId="3" fillId="0" borderId="3" xfId="22" applyNumberFormat="1" applyFont="1" applyBorder="1" applyAlignment="1">
      <alignment horizontal="right" vertical="top" wrapText="1"/>
    </xf>
    <xf numFmtId="49" fontId="3" fillId="0" borderId="4" xfId="22" applyNumberFormat="1" applyFont="1" applyBorder="1" applyAlignment="1">
      <alignment horizontal="right" vertical="top" wrapText="1"/>
    </xf>
    <xf numFmtId="49" fontId="3" fillId="0" borderId="7" xfId="22" applyNumberFormat="1" applyFont="1" applyBorder="1" applyAlignment="1">
      <alignment horizontal="left" vertical="top" wrapText="1"/>
    </xf>
    <xf numFmtId="49" fontId="3" fillId="0" borderId="20" xfId="22" applyNumberFormat="1" applyFont="1" applyBorder="1" applyAlignment="1">
      <alignment horizontal="left" vertical="top" wrapText="1"/>
    </xf>
    <xf numFmtId="49" fontId="3" fillId="0" borderId="21" xfId="22" applyNumberFormat="1" applyFont="1" applyBorder="1" applyAlignment="1">
      <alignment horizontal="left" vertical="top" wrapText="1"/>
    </xf>
    <xf numFmtId="0" fontId="51" fillId="0" borderId="20" xfId="22" applyFont="1" applyBorder="1" applyAlignment="1">
      <alignment horizontal="right" vertical="top" wrapText="1"/>
    </xf>
    <xf numFmtId="0" fontId="3" fillId="0" borderId="1" xfId="22" applyFont="1" applyBorder="1" applyAlignment="1">
      <alignment horizontal="center" vertical="top" wrapText="1"/>
    </xf>
    <xf numFmtId="0" fontId="3" fillId="0" borderId="2" xfId="22" applyFont="1" applyBorder="1" applyAlignment="1">
      <alignment horizontal="center" vertical="top" wrapText="1"/>
    </xf>
    <xf numFmtId="49" fontId="3" fillId="0" borderId="49" xfId="22" applyNumberFormat="1" applyFont="1" applyBorder="1" applyAlignment="1">
      <alignment horizontal="center" vertical="center" wrapText="1"/>
    </xf>
    <xf numFmtId="49" fontId="3" fillId="0" borderId="53" xfId="22" applyNumberFormat="1" applyFont="1" applyBorder="1" applyAlignment="1">
      <alignment horizontal="center" vertical="center" wrapText="1"/>
    </xf>
    <xf numFmtId="49" fontId="3" fillId="0" borderId="47" xfId="22" applyNumberFormat="1" applyFont="1" applyBorder="1" applyAlignment="1">
      <alignment horizontal="center" vertical="center" wrapText="1"/>
    </xf>
    <xf numFmtId="49" fontId="3" fillId="0" borderId="8" xfId="22" applyNumberFormat="1" applyFont="1" applyBorder="1" applyAlignment="1">
      <alignment horizontal="center" vertical="top" wrapText="1"/>
    </xf>
    <xf numFmtId="49" fontId="3" fillId="0" borderId="10" xfId="22" applyNumberFormat="1" applyFont="1" applyBorder="1" applyAlignment="1">
      <alignment horizontal="center" vertical="top" wrapText="1"/>
    </xf>
    <xf numFmtId="0" fontId="51" fillId="0" borderId="45" xfId="22" applyFont="1" applyBorder="1" applyAlignment="1">
      <alignment horizontal="right" vertical="top" wrapText="1"/>
    </xf>
    <xf numFmtId="0" fontId="51" fillId="0" borderId="46" xfId="22" applyFont="1" applyBorder="1" applyAlignment="1">
      <alignment horizontal="right" vertical="top" wrapText="1"/>
    </xf>
    <xf numFmtId="0" fontId="54" fillId="0" borderId="43" xfId="0" applyFont="1" applyBorder="1" applyAlignment="1">
      <alignment horizontal="left" vertical="center"/>
    </xf>
    <xf numFmtId="0" fontId="54" fillId="0" borderId="52" xfId="0" applyFont="1" applyBorder="1" applyAlignment="1">
      <alignment horizontal="left" vertical="center"/>
    </xf>
    <xf numFmtId="0" fontId="54" fillId="0" borderId="45" xfId="0" applyFont="1" applyBorder="1" applyAlignment="1">
      <alignment horizontal="left" vertical="center"/>
    </xf>
    <xf numFmtId="0" fontId="54" fillId="0" borderId="4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3" fontId="57" fillId="0" borderId="18" xfId="1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54" fillId="0" borderId="45" xfId="14" applyFont="1" applyBorder="1" applyAlignment="1">
      <alignment horizontal="left" vertical="center"/>
    </xf>
    <xf numFmtId="0" fontId="54" fillId="0" borderId="46" xfId="14" applyFont="1" applyBorder="1" applyAlignment="1">
      <alignment horizontal="left" vertical="center"/>
    </xf>
    <xf numFmtId="0" fontId="54" fillId="0" borderId="43" xfId="14" applyFont="1" applyBorder="1" applyAlignment="1">
      <alignment horizontal="left" vertical="center"/>
    </xf>
    <xf numFmtId="0" fontId="54" fillId="0" borderId="52" xfId="14" applyFont="1" applyBorder="1" applyAlignment="1">
      <alignment horizontal="left" vertical="center"/>
    </xf>
    <xf numFmtId="0" fontId="3" fillId="0" borderId="10" xfId="14" applyFont="1" applyBorder="1" applyAlignment="1">
      <alignment horizontal="center" vertical="center" wrapText="1"/>
    </xf>
    <xf numFmtId="0" fontId="3" fillId="0" borderId="15" xfId="14" applyFont="1" applyBorder="1" applyAlignment="1">
      <alignment horizontal="center" vertical="center" wrapText="1"/>
    </xf>
    <xf numFmtId="3" fontId="49" fillId="0" borderId="18" xfId="30" applyNumberFormat="1" applyFont="1" applyBorder="1" applyAlignment="1">
      <alignment horizontal="center" vertical="center" wrapText="1"/>
    </xf>
    <xf numFmtId="3" fontId="49" fillId="0" borderId="0" xfId="30" applyNumberFormat="1" applyFont="1" applyAlignment="1">
      <alignment horizontal="center" vertical="center" wrapText="1"/>
    </xf>
    <xf numFmtId="3" fontId="49" fillId="0" borderId="19" xfId="30" applyNumberFormat="1" applyFont="1" applyBorder="1" applyAlignment="1">
      <alignment horizontal="center" vertical="center" wrapText="1"/>
    </xf>
    <xf numFmtId="3" fontId="50" fillId="0" borderId="18" xfId="30" applyNumberFormat="1" applyFont="1" applyBorder="1" applyAlignment="1">
      <alignment horizontal="center" vertical="center" wrapText="1"/>
    </xf>
    <xf numFmtId="3" fontId="50" fillId="0" borderId="0" xfId="30" applyNumberFormat="1" applyFont="1" applyAlignment="1">
      <alignment horizontal="center" vertical="center" wrapText="1"/>
    </xf>
    <xf numFmtId="3" fontId="50" fillId="0" borderId="19" xfId="30" applyNumberFormat="1" applyFont="1" applyBorder="1" applyAlignment="1">
      <alignment horizontal="center" vertical="center" wrapText="1"/>
    </xf>
    <xf numFmtId="0" fontId="97" fillId="0" borderId="18" xfId="30" applyBorder="1" applyAlignment="1">
      <alignment horizontal="center"/>
    </xf>
    <xf numFmtId="0" fontId="97" fillId="0" borderId="0" xfId="30" applyAlignment="1">
      <alignment horizontal="center"/>
    </xf>
    <xf numFmtId="0" fontId="97" fillId="0" borderId="19" xfId="30" applyBorder="1" applyAlignment="1">
      <alignment horizontal="center"/>
    </xf>
    <xf numFmtId="0" fontId="3" fillId="0" borderId="41" xfId="30" applyFont="1" applyBorder="1" applyAlignment="1">
      <alignment horizontal="center" vertical="top" wrapText="1"/>
    </xf>
    <xf numFmtId="0" fontId="3" fillId="0" borderId="42" xfId="30" applyFont="1" applyBorder="1" applyAlignment="1">
      <alignment horizontal="center" vertical="top" wrapText="1"/>
    </xf>
    <xf numFmtId="0" fontId="3" fillId="0" borderId="56" xfId="30" applyFont="1" applyBorder="1" applyAlignment="1">
      <alignment horizontal="center" vertical="top" wrapText="1"/>
    </xf>
    <xf numFmtId="0" fontId="3" fillId="0" borderId="3" xfId="30" applyFont="1" applyBorder="1" applyAlignment="1">
      <alignment horizontal="left" vertical="top"/>
    </xf>
    <xf numFmtId="0" fontId="3" fillId="0" borderId="4" xfId="30" applyFont="1" applyBorder="1" applyAlignment="1">
      <alignment horizontal="left" vertical="top"/>
    </xf>
    <xf numFmtId="0" fontId="3" fillId="0" borderId="5" xfId="30" applyFont="1" applyBorder="1" applyAlignment="1">
      <alignment horizontal="left" vertical="top"/>
    </xf>
    <xf numFmtId="49" fontId="3" fillId="0" borderId="45" xfId="30" applyNumberFormat="1" applyFont="1" applyBorder="1" applyAlignment="1">
      <alignment horizontal="right" vertical="top" wrapText="1"/>
    </xf>
    <xf numFmtId="49" fontId="3" fillId="0" borderId="46" xfId="30" applyNumberFormat="1" applyFont="1" applyBorder="1" applyAlignment="1">
      <alignment horizontal="right" vertical="top" wrapText="1"/>
    </xf>
    <xf numFmtId="49" fontId="3" fillId="0" borderId="3" xfId="30" applyNumberFormat="1" applyFont="1" applyBorder="1" applyAlignment="1">
      <alignment horizontal="left" vertical="top" wrapText="1"/>
    </xf>
    <xf numFmtId="49" fontId="3" fillId="0" borderId="4" xfId="30" applyNumberFormat="1" applyFont="1" applyBorder="1" applyAlignment="1">
      <alignment horizontal="left" vertical="top" wrapText="1"/>
    </xf>
    <xf numFmtId="49" fontId="3" fillId="0" borderId="5" xfId="30" applyNumberFormat="1" applyFont="1" applyBorder="1" applyAlignment="1">
      <alignment horizontal="left" vertical="top" wrapText="1"/>
    </xf>
    <xf numFmtId="49" fontId="3" fillId="0" borderId="3" xfId="30" applyNumberFormat="1" applyFont="1" applyBorder="1" applyAlignment="1">
      <alignment horizontal="right" vertical="top" wrapText="1"/>
    </xf>
    <xf numFmtId="49" fontId="3" fillId="0" borderId="4" xfId="30" applyNumberFormat="1" applyFont="1" applyBorder="1" applyAlignment="1">
      <alignment horizontal="right" vertical="top" wrapText="1"/>
    </xf>
    <xf numFmtId="0" fontId="51" fillId="0" borderId="7" xfId="30" applyFont="1" applyBorder="1" applyAlignment="1">
      <alignment horizontal="right" vertical="top" wrapText="1"/>
    </xf>
    <xf numFmtId="0" fontId="51" fillId="0" borderId="44" xfId="30" applyFont="1" applyBorder="1" applyAlignment="1">
      <alignment horizontal="right" vertical="top" wrapText="1"/>
    </xf>
    <xf numFmtId="0" fontId="3" fillId="0" borderId="38" xfId="30" applyFont="1" applyBorder="1" applyAlignment="1">
      <alignment horizontal="left" vertical="top"/>
    </xf>
    <xf numFmtId="0" fontId="3" fillId="0" borderId="39" xfId="30" applyFont="1" applyBorder="1" applyAlignment="1">
      <alignment horizontal="left" vertical="top"/>
    </xf>
    <xf numFmtId="0" fontId="3" fillId="0" borderId="55" xfId="30" applyFont="1" applyBorder="1" applyAlignment="1">
      <alignment horizontal="left" vertical="top"/>
    </xf>
    <xf numFmtId="49" fontId="51" fillId="0" borderId="9" xfId="30" applyNumberFormat="1" applyFont="1" applyBorder="1" applyAlignment="1">
      <alignment horizontal="left"/>
    </xf>
    <xf numFmtId="49" fontId="51" fillId="0" borderId="13" xfId="30" applyNumberFormat="1" applyFont="1" applyBorder="1" applyAlignment="1">
      <alignment horizontal="left"/>
    </xf>
    <xf numFmtId="0" fontId="51" fillId="0" borderId="10" xfId="30" applyFont="1" applyBorder="1" applyAlignment="1">
      <alignment horizontal="left" vertical="top" wrapText="1"/>
    </xf>
    <xf numFmtId="0" fontId="51" fillId="0" borderId="12" xfId="30" applyFont="1" applyBorder="1" applyAlignment="1">
      <alignment horizontal="left" vertical="top" wrapText="1"/>
    </xf>
    <xf numFmtId="0" fontId="51" fillId="0" borderId="14" xfId="30" applyFont="1" applyBorder="1" applyAlignment="1">
      <alignment horizontal="left" vertical="top" wrapText="1"/>
    </xf>
    <xf numFmtId="0" fontId="51" fillId="0" borderId="3" xfId="30" applyFont="1" applyBorder="1" applyAlignment="1">
      <alignment horizontal="right" vertical="top" wrapText="1"/>
    </xf>
    <xf numFmtId="0" fontId="51" fillId="0" borderId="50" xfId="30" applyFont="1" applyBorder="1" applyAlignment="1">
      <alignment horizontal="right" vertical="top" wrapText="1"/>
    </xf>
    <xf numFmtId="3" fontId="28" fillId="0" borderId="0" xfId="30" applyNumberFormat="1" applyFont="1" applyAlignment="1">
      <alignment horizontal="center" vertical="center" wrapText="1"/>
    </xf>
    <xf numFmtId="3" fontId="28" fillId="0" borderId="20" xfId="30" applyNumberFormat="1" applyFont="1" applyBorder="1" applyAlignment="1">
      <alignment horizontal="center" vertical="center" wrapText="1"/>
    </xf>
    <xf numFmtId="0" fontId="6" fillId="0" borderId="45" xfId="30" applyFont="1" applyBorder="1" applyAlignment="1">
      <alignment horizontal="right" vertical="top" wrapText="1"/>
    </xf>
    <xf numFmtId="0" fontId="3" fillId="0" borderId="54" xfId="30" applyFont="1" applyBorder="1" applyAlignment="1">
      <alignment horizontal="right" vertical="top" wrapText="1"/>
    </xf>
    <xf numFmtId="0" fontId="3" fillId="0" borderId="45" xfId="30" applyFont="1" applyBorder="1" applyAlignment="1">
      <alignment horizontal="right"/>
    </xf>
    <xf numFmtId="0" fontId="3" fillId="0" borderId="54" xfId="30" applyFont="1" applyBorder="1" applyAlignment="1">
      <alignment horizontal="right"/>
    </xf>
    <xf numFmtId="3" fontId="3" fillId="0" borderId="0" xfId="30" applyNumberFormat="1" applyFont="1" applyAlignment="1">
      <alignment horizontal="center" vertical="center" wrapText="1"/>
    </xf>
    <xf numFmtId="0" fontId="3" fillId="0" borderId="38" xfId="30" applyFont="1" applyBorder="1" applyAlignment="1">
      <alignment horizontal="center" vertical="top" wrapText="1"/>
    </xf>
    <xf numFmtId="0" fontId="3" fillId="0" borderId="7" xfId="30" applyFont="1" applyBorder="1" applyAlignment="1">
      <alignment horizontal="center" vertical="top" wrapText="1"/>
    </xf>
    <xf numFmtId="0" fontId="3" fillId="0" borderId="40" xfId="30" applyFont="1" applyBorder="1" applyAlignment="1">
      <alignment horizontal="center" vertical="top" wrapText="1"/>
    </xf>
    <xf numFmtId="0" fontId="3" fillId="0" borderId="43" xfId="30" applyFont="1" applyBorder="1" applyAlignment="1">
      <alignment horizontal="center" vertical="top" wrapText="1"/>
    </xf>
    <xf numFmtId="0" fontId="3" fillId="0" borderId="18" xfId="30" applyFont="1" applyBorder="1" applyAlignment="1">
      <alignment horizontal="left" vertical="top" wrapText="1"/>
    </xf>
    <xf numFmtId="0" fontId="3" fillId="0" borderId="0" xfId="30" applyFont="1" applyAlignment="1">
      <alignment horizontal="left" vertical="top" wrapText="1"/>
    </xf>
    <xf numFmtId="0" fontId="3" fillId="0" borderId="19" xfId="30" applyFont="1" applyBorder="1" applyAlignment="1">
      <alignment horizontal="left" vertical="top" wrapText="1"/>
    </xf>
    <xf numFmtId="0" fontId="51" fillId="0" borderId="20" xfId="30" applyFont="1" applyBorder="1" applyAlignment="1">
      <alignment horizontal="right" vertical="top" wrapText="1"/>
    </xf>
    <xf numFmtId="0" fontId="3" fillId="0" borderId="3" xfId="30" applyFont="1" applyBorder="1" applyAlignment="1">
      <alignment horizontal="left" vertical="top" wrapText="1"/>
    </xf>
    <xf numFmtId="0" fontId="3" fillId="0" borderId="4" xfId="30" applyFont="1" applyBorder="1" applyAlignment="1">
      <alignment horizontal="left" vertical="top" wrapText="1"/>
    </xf>
    <xf numFmtId="0" fontId="3" fillId="0" borderId="5" xfId="30" applyFont="1" applyBorder="1" applyAlignment="1">
      <alignment horizontal="left" vertical="top" wrapText="1"/>
    </xf>
    <xf numFmtId="0" fontId="51" fillId="0" borderId="4" xfId="30" applyFont="1" applyBorder="1" applyAlignment="1">
      <alignment horizontal="right" vertical="top" wrapText="1"/>
    </xf>
    <xf numFmtId="0" fontId="3" fillId="0" borderId="38" xfId="30" applyFont="1" applyBorder="1" applyAlignment="1">
      <alignment horizontal="left" vertical="top" wrapText="1"/>
    </xf>
    <xf numFmtId="0" fontId="3" fillId="0" borderId="39" xfId="30" applyFont="1" applyBorder="1" applyAlignment="1">
      <alignment horizontal="left" vertical="top" wrapText="1"/>
    </xf>
    <xf numFmtId="0" fontId="3" fillId="0" borderId="55" xfId="30" applyFont="1" applyBorder="1" applyAlignment="1">
      <alignment horizontal="left" vertical="top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0" fillId="9" borderId="8" xfId="0" applyFill="1" applyBorder="1" applyAlignment="1">
      <alignment horizontal="left" vertical="center"/>
    </xf>
    <xf numFmtId="0" fontId="0" fillId="9" borderId="9" xfId="0" applyFill="1" applyBorder="1" applyAlignment="1">
      <alignment horizontal="left" vertical="center"/>
    </xf>
    <xf numFmtId="0" fontId="3" fillId="9" borderId="12" xfId="0" applyFont="1" applyFill="1" applyBorder="1" applyAlignment="1">
      <alignment horizontal="center" wrapText="1"/>
    </xf>
    <xf numFmtId="0" fontId="3" fillId="9" borderId="12" xfId="0" applyFont="1" applyFill="1" applyBorder="1" applyAlignment="1">
      <alignment horizontal="left" wrapText="1"/>
    </xf>
    <xf numFmtId="0" fontId="3" fillId="9" borderId="14" xfId="0" applyFont="1" applyFill="1" applyBorder="1" applyAlignment="1">
      <alignment horizontal="left" wrapText="1"/>
    </xf>
    <xf numFmtId="0" fontId="3" fillId="9" borderId="14" xfId="0" applyFont="1" applyFill="1" applyBorder="1" applyAlignment="1">
      <alignment horizontal="center" wrapText="1"/>
    </xf>
    <xf numFmtId="0" fontId="3" fillId="3" borderId="3" xfId="32" applyFont="1" applyFill="1" applyBorder="1" applyAlignment="1">
      <alignment horizontal="center" vertical="top"/>
    </xf>
    <xf numFmtId="0" fontId="3" fillId="3" borderId="4" xfId="32" applyFont="1" applyFill="1" applyBorder="1" applyAlignment="1">
      <alignment horizontal="center" vertical="top"/>
    </xf>
    <xf numFmtId="0" fontId="3" fillId="3" borderId="5" xfId="32" applyFont="1" applyFill="1" applyBorder="1" applyAlignment="1">
      <alignment horizontal="center" vertical="top"/>
    </xf>
  </cellXfs>
  <cellStyles count="49">
    <cellStyle name="Comma" xfId="1" builtinId="3"/>
    <cellStyle name="Comma 2" xfId="3"/>
    <cellStyle name="Comma 2 2" xfId="4"/>
    <cellStyle name="Comma 2 3" xfId="5"/>
    <cellStyle name="Comma 3" xfId="6"/>
    <cellStyle name="Comma 3 2" xfId="7"/>
    <cellStyle name="Comma 4" xfId="8"/>
    <cellStyle name="Comma 5" xfId="9"/>
    <cellStyle name="Comma_Summary FinPlan_Intergroup" xfId="10"/>
    <cellStyle name="Currency 12" xfId="11"/>
    <cellStyle name="Currency 12 2" xfId="12"/>
    <cellStyle name="Currency 12 3" xfId="13"/>
    <cellStyle name="Normal" xfId="0" builtinId="0"/>
    <cellStyle name="Normal 14" xfId="14"/>
    <cellStyle name="Normal 2" xfId="15"/>
    <cellStyle name="Normal 2 2" xfId="16"/>
    <cellStyle name="Normal 2 2 2" xfId="17"/>
    <cellStyle name="Normal 2 2 2 2" xfId="18"/>
    <cellStyle name="Normal 2 3" xfId="19"/>
    <cellStyle name="Normal 2 4" xfId="20"/>
    <cellStyle name="Normal 2 8" xfId="21"/>
    <cellStyle name="Normal 3" xfId="22"/>
    <cellStyle name="Normal 3 2" xfId="23"/>
    <cellStyle name="Normal 3 3" xfId="24"/>
    <cellStyle name="Normal 3 4" xfId="25"/>
    <cellStyle name="Normal 3_Financial_Model_CBA_SatuMare_2014-2020_etape" xfId="26"/>
    <cellStyle name="Normal 4" xfId="27"/>
    <cellStyle name="Normal 4 2" xfId="28"/>
    <cellStyle name="Normal 4 3" xfId="29"/>
    <cellStyle name="Normal 5" xfId="30"/>
    <cellStyle name="Normal 5 2" xfId="31"/>
    <cellStyle name="Normal 6" xfId="32"/>
    <cellStyle name="Normal 6 2" xfId="33"/>
    <cellStyle name="Normal 7" xfId="34"/>
    <cellStyle name="Normal_CBA_Veliko SW Final 24 May 2011" xfId="35"/>
    <cellStyle name="Normal_Financial Model-Bistrita" xfId="36"/>
    <cellStyle name="Normal_Refacere Deviz general" xfId="37"/>
    <cellStyle name="Normal_Refacere Deviz general 2" xfId="38"/>
    <cellStyle name="Normal_Summary FinPlan_Intergroup" xfId="39"/>
    <cellStyle name="Percent" xfId="2" builtinId="5"/>
    <cellStyle name="Percent 2" xfId="40"/>
    <cellStyle name="Percent 2 2" xfId="41"/>
    <cellStyle name="Percent 2 3" xfId="42"/>
    <cellStyle name="Percent 2 4" xfId="43"/>
    <cellStyle name="Percent 3" xfId="44"/>
    <cellStyle name="Percent 3 2" xfId="45"/>
    <cellStyle name="Percent 4" xfId="46"/>
    <cellStyle name="Procent 2" xfId="47"/>
    <cellStyle name="Virgulă 5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A00"/>
      <color rgb="FFD5FC79"/>
      <color rgb="FF8EFA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www.wps.cn/officeDocument/2023/relationships/customStorage" Target="customStorage/customStorag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60960</xdr:rowOff>
    </xdr:from>
    <xdr:to>
      <xdr:col>1</xdr:col>
      <xdr:colOff>1582862</xdr:colOff>
      <xdr:row>2</xdr:row>
      <xdr:rowOff>135484</xdr:rowOff>
    </xdr:to>
    <xdr:pic>
      <xdr:nvPicPr>
        <xdr:cNvPr id="2" name="Picture 14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0960"/>
          <a:ext cx="1953895" cy="3981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266700</xdr:colOff>
      <xdr:row>0</xdr:row>
      <xdr:rowOff>53340</xdr:rowOff>
    </xdr:from>
    <xdr:to>
      <xdr:col>9</xdr:col>
      <xdr:colOff>1790700</xdr:colOff>
      <xdr:row>2</xdr:row>
      <xdr:rowOff>76200</xdr:rowOff>
    </xdr:to>
    <xdr:pic>
      <xdr:nvPicPr>
        <xdr:cNvPr id="3" name="Picture 2" descr="REC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506325" y="53340"/>
          <a:ext cx="1524000" cy="3467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ttps:/d.docs.live.net/C:/C:/C:/Galati/august%202018/SMID%20GL%20ACB_01_08_2018-cu%20corectii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ACB%20PDD/DG%20DB%20PDD%202024_10_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Deviz%20PDD/Verisuni/DG%20DB%20PDD%202024_11_15%20cu%2010%2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Deviz%20PDD/DG%20DB%20PDD%202025_01_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Deviz%20PDD/Verisuni/DG%20DB%20PDD%202025_01_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OIM/Ianuarie%202023/DB-ACB%2022_12_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OIM/SF/model%20ACB/DG%20SMID%20DB%20POIM_06.10.2021%20feb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Statistici/Prognoza-Toamna-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simulari%20iunie%202024/DG%20DB%20PDD%20cu%20UC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OIM/Iunie%202023/DB-ACB%2023_01_2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OIM/Ianuarie%202023/DB-ACB%2023_01_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BC%20POIM%20deseuri/SF/devize/DG%20SMID%20BC%20POIM_202108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lde/Documents/Proiecte/DB%20PDD/simulari%20iunie%202024/DG%20DB%20POIM%202023_07_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"/>
      <sheetName val="Schema flux"/>
      <sheetName val="Input"/>
      <sheetName val="Calculation"/>
      <sheetName val="Sensitivity"/>
      <sheetName val="Output-E"/>
      <sheetName val="Output-H"/>
      <sheetName val="Financing"/>
      <sheetName val="EconomicBenefits"/>
      <sheetName val="Input_PRO"/>
      <sheetName val="Input_NOPRO"/>
      <sheetName val="Output_PRO"/>
      <sheetName val="Output_NOPRO"/>
      <sheetName val="Equiv EUR_PRO"/>
      <sheetName val="Equiv EUR_NOPRO"/>
      <sheetName val="basic data"/>
      <sheetName val="Date soc-ec"/>
      <sheetName val="IPOTEZE deseuri"/>
      <sheetName val="Gen DMUN jud"/>
      <sheetName val="Gen DMUN zone"/>
      <sheetName val="COL jud"/>
      <sheetName val="COL U"/>
      <sheetName val="COL R"/>
      <sheetName val="COL Fluxuri"/>
      <sheetName val="SMID"/>
      <sheetName val="cant cu proiect"/>
      <sheetName val="cant fara proiect"/>
      <sheetName val="Deviz general constante"/>
      <sheetName val="Inv pe comp curente"/>
      <sheetName val="sinteza contracte"/>
      <sheetName val="Inv const-curent"/>
      <sheetName val="existing assets"/>
      <sheetName val="reinvest"/>
      <sheetName val="amortizare"/>
      <sheetName val="redevente"/>
      <sheetName val="C&amp;T zone"/>
      <sheetName val="echip C&amp;T"/>
      <sheetName val="ST"/>
      <sheetName val="SC"/>
      <sheetName val="Depozit"/>
      <sheetName val="SS"/>
      <sheetName val="MBT"/>
      <sheetName val="O&amp;M cost detaliat"/>
      <sheetName val="O&amp;M Sinteza"/>
      <sheetName val="DPC"/>
      <sheetName val=" Revenues"/>
      <sheetName val="Tarife"/>
      <sheetName val="Tarifs"/>
      <sheetName val="Chart6"/>
      <sheetName val="Chart7"/>
      <sheetName val="suportabilitate"/>
      <sheetName val="C. Cost investitie"/>
      <sheetName val="G.1.2 plan anual"/>
      <sheetName val="Chart8"/>
      <sheetName val="Chart9"/>
      <sheetName val="Chart10"/>
      <sheetName val="Situatia existenta"/>
      <sheetName val="Tabel 9-16"/>
      <sheetName val="Tabel 9-1"/>
      <sheetName val="Loans"/>
      <sheetName val="tarife actuale"/>
      <sheetName val="tarife actuale (2)"/>
      <sheetName val="grafice pop"/>
      <sheetName val="Charts"/>
      <sheetName val="Grafice cant"/>
      <sheetName val="Tabele pt SF"/>
      <sheetName val="Sheet1"/>
      <sheetName val="Foaie1"/>
      <sheetName val="zonari"/>
      <sheetName val="suprafete"/>
      <sheetName val="operators"/>
      <sheetName val="Tinte"/>
      <sheetName val="Tabele raport"/>
      <sheetName val="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.Deviz general constante"/>
      <sheetName val="Deviz general curente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tiv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on"/>
      <sheetName val="suportabilitate"/>
      <sheetName val="Sensitivity"/>
      <sheetName val="Inp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FG"/>
      <sheetName val="Info gen"/>
      <sheetName val="4.Incremental"/>
      <sheetName val="1.Inpu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25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.Deviz general constante"/>
      <sheetName val="Deviz general curent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2.Inv DB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.Financing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&amp;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68"/>
  <sheetViews>
    <sheetView view="pageBreakPreview" zoomScaleNormal="100" workbookViewId="0">
      <selection activeCell="G37" sqref="G37"/>
    </sheetView>
  </sheetViews>
  <sheetFormatPr defaultColWidth="8.85546875" defaultRowHeight="12.75"/>
  <cols>
    <col min="2" max="2" width="23.85546875" customWidth="1"/>
    <col min="3" max="3" width="12.85546875" customWidth="1"/>
    <col min="4" max="4" width="18.140625" customWidth="1"/>
    <col min="5" max="5" width="13.28515625" customWidth="1"/>
    <col min="6" max="6" width="14" customWidth="1"/>
    <col min="7" max="7" width="14.42578125" customWidth="1"/>
    <col min="8" max="8" width="15.7109375" customWidth="1"/>
    <col min="9" max="9" width="13.28515625" customWidth="1"/>
    <col min="10" max="12" width="14.140625" customWidth="1"/>
    <col min="13" max="13" width="14" customWidth="1"/>
    <col min="14" max="14" width="14.7109375" customWidth="1"/>
  </cols>
  <sheetData>
    <row r="2" spans="2:15">
      <c r="B2" t="s">
        <v>0</v>
      </c>
      <c r="D2">
        <v>1</v>
      </c>
    </row>
    <row r="5" spans="2:15">
      <c r="B5" s="585" t="s">
        <v>1</v>
      </c>
      <c r="I5" t="s">
        <v>2</v>
      </c>
    </row>
    <row r="6" spans="2:15">
      <c r="I6" t="s">
        <v>3</v>
      </c>
      <c r="N6" t="s">
        <v>4</v>
      </c>
    </row>
    <row r="7" spans="2:15">
      <c r="B7" t="s">
        <v>5</v>
      </c>
      <c r="D7" s="1609">
        <v>0.19</v>
      </c>
      <c r="I7" t="s">
        <v>6</v>
      </c>
    </row>
    <row r="8" spans="2:15">
      <c r="B8" t="s">
        <v>7</v>
      </c>
      <c r="D8" s="507">
        <v>4.9757999999999996</v>
      </c>
      <c r="E8" t="s">
        <v>8</v>
      </c>
      <c r="F8" t="s">
        <v>9</v>
      </c>
      <c r="I8" t="s">
        <v>10</v>
      </c>
      <c r="N8" t="s">
        <v>11</v>
      </c>
    </row>
    <row r="9" spans="2:15">
      <c r="B9" t="s">
        <v>12</v>
      </c>
      <c r="D9" s="1610" t="s">
        <v>13</v>
      </c>
      <c r="E9" t="s">
        <v>9</v>
      </c>
      <c r="F9" t="s">
        <v>9</v>
      </c>
      <c r="I9" t="s">
        <v>14</v>
      </c>
      <c r="O9" t="s">
        <v>15</v>
      </c>
    </row>
    <row r="10" spans="2:15">
      <c r="I10" t="s">
        <v>16</v>
      </c>
    </row>
    <row r="11" spans="2:15">
      <c r="B11" s="585" t="s">
        <v>17</v>
      </c>
    </row>
    <row r="12" spans="2:15">
      <c r="B12" s="585" t="s">
        <v>18</v>
      </c>
      <c r="C12" t="s">
        <v>19</v>
      </c>
      <c r="D12" s="1611">
        <f>'DEVIZ GENERAL'!C164</f>
        <v>462286318.46340001</v>
      </c>
      <c r="E12" s="1612" t="s">
        <v>9</v>
      </c>
      <c r="F12" s="1612"/>
      <c r="G12" s="1612"/>
      <c r="H12" s="1612"/>
      <c r="I12" s="1612"/>
      <c r="J12" s="1612"/>
      <c r="K12" s="1612"/>
      <c r="L12" s="1612"/>
      <c r="M12" s="1647"/>
    </row>
    <row r="13" spans="2:15">
      <c r="B13" s="585"/>
      <c r="C13" t="s">
        <v>20</v>
      </c>
      <c r="D13" s="1611">
        <f>'DEVIZ GENERAL'!C111</f>
        <v>362409555.98500001</v>
      </c>
      <c r="E13" s="1612"/>
      <c r="F13" s="1612"/>
      <c r="G13" s="1612"/>
      <c r="H13" s="1612"/>
      <c r="I13" s="1612"/>
      <c r="J13" s="1612"/>
      <c r="K13" s="1612"/>
      <c r="L13" s="1612"/>
      <c r="M13" s="1647"/>
    </row>
    <row r="14" spans="2:15">
      <c r="B14" s="1613" t="s">
        <v>21</v>
      </c>
      <c r="D14" s="1614">
        <v>1.3</v>
      </c>
      <c r="E14" s="1612"/>
      <c r="F14" s="1612"/>
      <c r="G14" s="1612"/>
      <c r="H14" s="1612"/>
      <c r="I14" s="1612"/>
      <c r="J14" s="1612"/>
      <c r="K14" s="1612"/>
      <c r="L14" s="1612"/>
      <c r="M14" s="1647"/>
    </row>
    <row r="15" spans="2:15">
      <c r="B15" s="585" t="s">
        <v>22</v>
      </c>
      <c r="D15" s="1615">
        <v>1.0757000000000001</v>
      </c>
      <c r="E15" s="1612"/>
      <c r="F15" s="1612"/>
      <c r="G15" s="1612"/>
      <c r="H15" s="1612"/>
      <c r="I15" s="1612"/>
      <c r="J15" s="1612"/>
      <c r="K15" s="1612"/>
      <c r="L15" s="1612"/>
      <c r="M15" s="1647"/>
    </row>
    <row r="16" spans="2:15">
      <c r="E16" s="1612"/>
      <c r="F16" s="1612"/>
      <c r="G16" s="1612"/>
      <c r="H16" s="1612"/>
      <c r="I16" s="1612"/>
      <c r="J16" s="1612"/>
      <c r="K16" s="1612"/>
      <c r="L16" s="1612"/>
      <c r="M16" s="1647"/>
    </row>
    <row r="17" spans="2:17">
      <c r="B17" t="s">
        <v>23</v>
      </c>
      <c r="D17" s="1616" t="s">
        <v>24</v>
      </c>
      <c r="E17" s="1616">
        <v>2021</v>
      </c>
      <c r="F17" s="1616">
        <f>E17+1</f>
        <v>2022</v>
      </c>
      <c r="G17" s="1616">
        <f>F17+1</f>
        <v>2023</v>
      </c>
      <c r="H17" s="1616">
        <f>G17+1</f>
        <v>2024</v>
      </c>
      <c r="I17" s="1616">
        <v>2025</v>
      </c>
      <c r="J17" s="1616">
        <v>2026</v>
      </c>
      <c r="K17" s="1616">
        <v>2027</v>
      </c>
      <c r="L17" s="1616">
        <v>2028</v>
      </c>
      <c r="M17" s="1616">
        <v>2029</v>
      </c>
      <c r="N17" t="s">
        <v>25</v>
      </c>
    </row>
    <row r="18" spans="2:17">
      <c r="B18" t="s">
        <v>26</v>
      </c>
      <c r="D18" s="1617">
        <f>SUM(I18:M18)</f>
        <v>0.99999999999999978</v>
      </c>
      <c r="E18" s="1618">
        <v>0</v>
      </c>
      <c r="F18" s="1618">
        <v>0</v>
      </c>
      <c r="G18" s="1618">
        <v>0</v>
      </c>
      <c r="H18" s="1618">
        <v>0</v>
      </c>
      <c r="I18" s="1618">
        <f>'esalonare investitie'!C53</f>
        <v>1.4025445878120185E-2</v>
      </c>
      <c r="J18" s="1618">
        <f>'esalonare investitie'!D53</f>
        <v>4.298772091909512E-2</v>
      </c>
      <c r="K18" s="1618">
        <f>'esalonare investitie'!E53</f>
        <v>0.26575707723800757</v>
      </c>
      <c r="L18" s="1618">
        <f>'esalonare investitie'!F53</f>
        <v>0.43818727903352311</v>
      </c>
      <c r="M18" s="1618">
        <f>'esalonare investitie'!G53</f>
        <v>0.23904247693125383</v>
      </c>
      <c r="N18" s="1652">
        <f>SUM(E18:M18)</f>
        <v>0.99999999999999978</v>
      </c>
      <c r="O18" s="1647"/>
      <c r="P18" s="1647"/>
      <c r="Q18" s="1647"/>
    </row>
    <row r="19" spans="2:17">
      <c r="B19" t="s">
        <v>27</v>
      </c>
      <c r="D19" s="1616"/>
      <c r="E19" s="1619">
        <v>0.121</v>
      </c>
      <c r="F19" s="1619">
        <v>0.17699999999999999</v>
      </c>
      <c r="G19" s="1620">
        <f>'[5]pag 25'!B$11/100</f>
        <v>8.2000000000000003E-2</v>
      </c>
      <c r="H19" s="1620">
        <f>'[5]pag 25'!C$11/100</f>
        <v>0.10100000000000001</v>
      </c>
      <c r="I19" s="1620">
        <f>'[5]pag 25'!D$11/100</f>
        <v>5.2999999999999999E-2</v>
      </c>
      <c r="J19" s="1620">
        <f>'[5]pag 25'!E$11/100</f>
        <v>4.5999999999999999E-2</v>
      </c>
      <c r="K19" s="1620">
        <f>'[5]pag 25'!F$11/100</f>
        <v>3.6999999999999998E-2</v>
      </c>
      <c r="L19" s="1620">
        <f>'[5]pag 25'!G$11/100</f>
        <v>2.9000000000000001E-2</v>
      </c>
      <c r="M19" s="1620">
        <f>L19</f>
        <v>2.9000000000000001E-2</v>
      </c>
    </row>
    <row r="20" spans="2:17">
      <c r="B20" t="s">
        <v>28</v>
      </c>
      <c r="D20" s="1616">
        <v>1</v>
      </c>
      <c r="E20" s="1621">
        <v>1</v>
      </c>
      <c r="F20" s="1621">
        <v>1</v>
      </c>
      <c r="G20" s="1621">
        <v>1</v>
      </c>
      <c r="H20" s="1621">
        <v>1</v>
      </c>
      <c r="I20" s="1621">
        <v>1</v>
      </c>
      <c r="J20" s="1621">
        <f>I20*(1+J19)</f>
        <v>1.046</v>
      </c>
      <c r="K20" s="1621">
        <f t="shared" ref="K20:M20" si="0">J20*(1+K19)</f>
        <v>1.0847020000000001</v>
      </c>
      <c r="L20" s="1621">
        <f t="shared" si="0"/>
        <v>1.1161583580000001</v>
      </c>
      <c r="M20" s="1621">
        <f t="shared" si="0"/>
        <v>1.1485269503819999</v>
      </c>
    </row>
    <row r="21" spans="2:17">
      <c r="B21" t="s">
        <v>29</v>
      </c>
      <c r="D21" s="1622">
        <f>SUM(J21:M21)</f>
        <v>455802549</v>
      </c>
      <c r="E21" s="1622">
        <f>ROUND($D$12*E18,0)</f>
        <v>0</v>
      </c>
      <c r="F21" s="1622">
        <f>ROUND($D$12*F18,0)</f>
        <v>0</v>
      </c>
      <c r="G21" s="1622">
        <f t="shared" ref="G21:H21" si="1">ROUND($D$12*G18,0)</f>
        <v>0</v>
      </c>
      <c r="H21" s="1622">
        <f t="shared" si="1"/>
        <v>0</v>
      </c>
      <c r="I21" s="1622">
        <f>ROUNDDOWN($D$12*I18,0)</f>
        <v>6483771</v>
      </c>
      <c r="J21" s="1622">
        <f>ROUNDUP($D$12*J18,0)</f>
        <v>19872636</v>
      </c>
      <c r="K21" s="1622">
        <f t="shared" ref="K21:M21" si="2">ROUNDUP($D$12*K18,0)</f>
        <v>122855861</v>
      </c>
      <c r="L21" s="1622">
        <f t="shared" si="2"/>
        <v>202567985</v>
      </c>
      <c r="M21" s="1622">
        <f t="shared" si="2"/>
        <v>110506067</v>
      </c>
      <c r="N21" s="163">
        <f>SUM(G21:M21)</f>
        <v>462286320</v>
      </c>
    </row>
    <row r="22" spans="2:17">
      <c r="B22" t="s">
        <v>30</v>
      </c>
      <c r="D22" s="1622">
        <f>SUM(J22:M22)</f>
        <v>507065924</v>
      </c>
      <c r="E22" s="1611">
        <f>ROUND(E21*E20,0)</f>
        <v>0</v>
      </c>
      <c r="F22" s="1611">
        <f>ROUNDUP(F21*F20,0)</f>
        <v>0</v>
      </c>
      <c r="G22" s="1611">
        <f>ROUNDUP(G21*G20,0)</f>
        <v>0</v>
      </c>
      <c r="H22" s="1611">
        <f>ROUNDUP(H21*H20,0)</f>
        <v>0</v>
      </c>
      <c r="I22" s="1611">
        <f>ROUNDUP(I21*I20,0)</f>
        <v>6483771</v>
      </c>
      <c r="J22" s="1611">
        <f>ROUNDUP(J21*J20,0)</f>
        <v>20786778</v>
      </c>
      <c r="K22" s="1611">
        <f t="shared" ref="K22:L22" si="3">ROUNDUP(K21*K20,0)</f>
        <v>133261999</v>
      </c>
      <c r="L22" s="1611">
        <f t="shared" si="3"/>
        <v>226097950</v>
      </c>
      <c r="M22" s="1611">
        <f t="shared" ref="M22" si="4">ROUNDUP(M21*M20,0)</f>
        <v>126919197</v>
      </c>
      <c r="N22" s="163">
        <f>SUM(G22:M22)</f>
        <v>513549695</v>
      </c>
    </row>
    <row r="23" spans="2:17">
      <c r="B23" s="585" t="s">
        <v>31</v>
      </c>
      <c r="D23" s="1623">
        <f>ROUND(D22/D21,10)</f>
        <v>1.1124683816000001</v>
      </c>
      <c r="E23" s="1616" t="s">
        <v>9</v>
      </c>
      <c r="F23" s="1616"/>
      <c r="G23" s="1624" t="s">
        <v>9</v>
      </c>
      <c r="H23" s="1616"/>
      <c r="I23" s="1616"/>
      <c r="J23" s="1616" t="s">
        <v>9</v>
      </c>
      <c r="K23" s="1616"/>
      <c r="L23" s="1616"/>
      <c r="N23" s="1653"/>
    </row>
    <row r="24" spans="2:17">
      <c r="D24" t="s">
        <v>9</v>
      </c>
      <c r="G24" t="s">
        <v>9</v>
      </c>
    </row>
    <row r="25" spans="2:17" hidden="1">
      <c r="B25" s="585" t="s">
        <v>32</v>
      </c>
      <c r="C25" t="s">
        <v>33</v>
      </c>
      <c r="D25" s="1625"/>
    </row>
    <row r="26" spans="2:17" hidden="1">
      <c r="B26" s="1626" t="s">
        <v>34</v>
      </c>
      <c r="C26" s="1627"/>
      <c r="D26" s="1628">
        <v>2023</v>
      </c>
      <c r="E26" s="1629" t="s">
        <v>35</v>
      </c>
    </row>
    <row r="27" spans="2:17" hidden="1">
      <c r="B27" s="1630" t="s">
        <v>36</v>
      </c>
      <c r="C27" s="1631" t="s">
        <v>37</v>
      </c>
      <c r="D27" s="1632">
        <v>0.2</v>
      </c>
      <c r="E27" s="1633">
        <v>0.1</v>
      </c>
    </row>
    <row r="28" spans="2:17" hidden="1">
      <c r="B28" s="1634" t="s">
        <v>38</v>
      </c>
      <c r="C28" s="1635" t="s">
        <v>37</v>
      </c>
      <c r="D28" s="1636">
        <v>0.85</v>
      </c>
      <c r="E28" s="1637">
        <v>0.6</v>
      </c>
    </row>
    <row r="29" spans="2:17" hidden="1">
      <c r="B29" s="1638" t="s">
        <v>39</v>
      </c>
      <c r="C29" s="1639" t="s">
        <v>37</v>
      </c>
      <c r="D29" s="1640">
        <v>0.13</v>
      </c>
      <c r="E29" s="1641">
        <v>0.38</v>
      </c>
    </row>
    <row r="30" spans="2:17" hidden="1">
      <c r="D30" s="1625"/>
    </row>
    <row r="31" spans="2:17" hidden="1">
      <c r="D31" s="1625"/>
    </row>
    <row r="32" spans="2:17" hidden="1">
      <c r="D32" s="1625"/>
    </row>
    <row r="33" spans="1:17" hidden="1">
      <c r="D33" s="1625"/>
    </row>
    <row r="36" spans="1:17">
      <c r="B36" s="585" t="s">
        <v>40</v>
      </c>
    </row>
    <row r="37" spans="1:17">
      <c r="A37" s="585" t="s">
        <v>41</v>
      </c>
    </row>
    <row r="38" spans="1:17">
      <c r="A38" s="507" t="s">
        <v>42</v>
      </c>
      <c r="B38" t="s">
        <v>43</v>
      </c>
      <c r="C38" s="1642">
        <v>2E-3</v>
      </c>
      <c r="D38" s="1642"/>
      <c r="E38" t="s">
        <v>44</v>
      </c>
      <c r="M38" s="1647" t="s">
        <v>45</v>
      </c>
      <c r="N38" s="1647"/>
      <c r="O38" s="1647"/>
      <c r="P38" s="1647"/>
      <c r="Q38" s="1647"/>
    </row>
    <row r="39" spans="1:17">
      <c r="A39" s="507" t="s">
        <v>46</v>
      </c>
      <c r="B39" t="s">
        <v>47</v>
      </c>
      <c r="C39" s="1642"/>
      <c r="D39" s="1642"/>
    </row>
    <row r="40" spans="1:17">
      <c r="A40" s="507"/>
      <c r="B40" t="s">
        <v>48</v>
      </c>
      <c r="C40" s="1642">
        <v>0.01</v>
      </c>
      <c r="D40" s="1642"/>
      <c r="E40" t="s">
        <v>44</v>
      </c>
    </row>
    <row r="41" spans="1:17">
      <c r="A41" s="507"/>
      <c r="B41" t="s">
        <v>49</v>
      </c>
      <c r="C41" s="1642">
        <v>5.0000000000000001E-3</v>
      </c>
      <c r="D41" s="1642"/>
      <c r="E41" t="s">
        <v>44</v>
      </c>
    </row>
    <row r="42" spans="1:17">
      <c r="A42" s="507" t="s">
        <v>50</v>
      </c>
      <c r="B42" t="s">
        <v>51</v>
      </c>
      <c r="C42" s="1642">
        <v>8.0000000000000002E-3</v>
      </c>
      <c r="D42" s="1642"/>
      <c r="E42" t="s">
        <v>44</v>
      </c>
    </row>
    <row r="43" spans="1:17">
      <c r="A43" s="507" t="s">
        <v>52</v>
      </c>
      <c r="B43" t="s">
        <v>53</v>
      </c>
      <c r="C43" s="1642">
        <v>2E-3</v>
      </c>
      <c r="D43" s="1642"/>
      <c r="E43" t="s">
        <v>44</v>
      </c>
    </row>
    <row r="44" spans="1:17">
      <c r="A44" s="507" t="s">
        <v>54</v>
      </c>
      <c r="B44" t="s">
        <v>55</v>
      </c>
      <c r="C44" s="1642">
        <v>0</v>
      </c>
      <c r="D44" s="1642"/>
      <c r="E44" t="s">
        <v>44</v>
      </c>
    </row>
    <row r="45" spans="1:17">
      <c r="C45" s="1642"/>
    </row>
    <row r="46" spans="1:17">
      <c r="A46" s="585" t="s">
        <v>56</v>
      </c>
    </row>
    <row r="47" spans="1:17">
      <c r="A47" s="507" t="s">
        <v>57</v>
      </c>
      <c r="B47" t="s">
        <v>58</v>
      </c>
      <c r="C47" s="1642">
        <f>C48+C49</f>
        <v>2.5000000000000001E-2</v>
      </c>
      <c r="D47" s="1642"/>
      <c r="E47" s="1643" t="s">
        <v>59</v>
      </c>
    </row>
    <row r="48" spans="1:17">
      <c r="A48" s="507"/>
      <c r="B48" t="s">
        <v>60</v>
      </c>
      <c r="C48" s="1642">
        <v>0.02</v>
      </c>
      <c r="D48" s="1644"/>
      <c r="E48" s="1643" t="s">
        <v>59</v>
      </c>
    </row>
    <row r="49" spans="1:13">
      <c r="A49" s="507"/>
      <c r="B49" t="s">
        <v>61</v>
      </c>
      <c r="C49" s="1642">
        <v>5.0000000000000001E-3</v>
      </c>
      <c r="D49" s="1644"/>
      <c r="E49" s="1643" t="s">
        <v>59</v>
      </c>
    </row>
    <row r="50" spans="1:13">
      <c r="A50" s="507" t="s">
        <v>62</v>
      </c>
      <c r="B50" t="s">
        <v>63</v>
      </c>
      <c r="C50" s="1642">
        <v>1.0999999999999999E-2</v>
      </c>
      <c r="D50" s="1644"/>
      <c r="E50" t="s">
        <v>44</v>
      </c>
    </row>
    <row r="51" spans="1:13">
      <c r="A51" s="507" t="s">
        <v>64</v>
      </c>
      <c r="B51" t="s">
        <v>65</v>
      </c>
      <c r="C51" s="1642">
        <v>0.1</v>
      </c>
      <c r="D51" s="1642"/>
      <c r="E51" t="s">
        <v>66</v>
      </c>
      <c r="H51" s="1645">
        <f>'DEVIZ GENERAL'!C137/'DEVIZ GENERAL'!C111</f>
        <v>0.10703934915448418</v>
      </c>
      <c r="I51" t="s">
        <v>67</v>
      </c>
    </row>
    <row r="52" spans="1:13">
      <c r="A52" s="507"/>
    </row>
    <row r="53" spans="1:13">
      <c r="A53" s="585" t="s">
        <v>68</v>
      </c>
    </row>
    <row r="54" spans="1:13">
      <c r="A54" s="507" t="s">
        <v>69</v>
      </c>
      <c r="B54" t="s">
        <v>70</v>
      </c>
      <c r="C54" s="1642">
        <v>0.04</v>
      </c>
      <c r="D54" s="1642"/>
      <c r="E54" t="s">
        <v>71</v>
      </c>
    </row>
    <row r="55" spans="1:13">
      <c r="A55" s="507" t="s">
        <v>72</v>
      </c>
      <c r="B55" t="s">
        <v>73</v>
      </c>
      <c r="C55" s="1642">
        <v>0.08</v>
      </c>
      <c r="D55" s="1642"/>
      <c r="E55" t="s">
        <v>71</v>
      </c>
    </row>
    <row r="57" spans="1:13" ht="38.25">
      <c r="B57" s="50" t="s">
        <v>74</v>
      </c>
      <c r="C57" s="57">
        <v>876130</v>
      </c>
      <c r="D57" t="s">
        <v>8</v>
      </c>
      <c r="E57" s="1744" t="s">
        <v>75</v>
      </c>
      <c r="F57" s="1744"/>
      <c r="G57" s="1744"/>
      <c r="H57" s="1744"/>
      <c r="I57" s="1654">
        <f>'esalonare investitie'!H48*euro*0.2%</f>
        <v>888947.15865262807</v>
      </c>
      <c r="J57" s="1647" t="s">
        <v>76</v>
      </c>
      <c r="K57" s="1646"/>
      <c r="L57" s="1646"/>
    </row>
    <row r="58" spans="1:13" ht="38.25">
      <c r="B58" s="50" t="s">
        <v>77</v>
      </c>
      <c r="C58" s="57">
        <v>0</v>
      </c>
      <c r="D58" t="s">
        <v>8</v>
      </c>
    </row>
    <row r="59" spans="1:13" ht="76.5">
      <c r="B59" s="50" t="s">
        <v>78</v>
      </c>
      <c r="C59" s="57">
        <f>'DEVIZ GENERAL'!C161</f>
        <v>37999.9784</v>
      </c>
      <c r="D59" t="s">
        <v>8</v>
      </c>
      <c r="E59" s="1647" t="s">
        <v>79</v>
      </c>
      <c r="F59" s="1647"/>
      <c r="G59" s="1647"/>
      <c r="H59">
        <f>10000/coef</f>
        <v>8989.0195221706599</v>
      </c>
      <c r="I59">
        <f>H59*euro/1.19</f>
        <v>37586.18767934182</v>
      </c>
      <c r="J59" t="s">
        <v>76</v>
      </c>
      <c r="M59" s="274">
        <f>'Deviz general curente'!H142</f>
        <v>10110.16</v>
      </c>
    </row>
    <row r="61" spans="1:13">
      <c r="B61" s="1648" t="s">
        <v>80</v>
      </c>
      <c r="C61" t="s">
        <v>81</v>
      </c>
      <c r="D61" t="s">
        <v>82</v>
      </c>
    </row>
    <row r="62" spans="1:13" ht="38.25">
      <c r="B62" s="276" t="s">
        <v>83</v>
      </c>
      <c r="C62" s="1649">
        <v>700000</v>
      </c>
      <c r="D62" t="s">
        <v>84</v>
      </c>
    </row>
    <row r="63" spans="1:13">
      <c r="B63" s="276" t="s">
        <v>85</v>
      </c>
      <c r="C63" s="1650">
        <v>90000</v>
      </c>
      <c r="D63" t="s">
        <v>86</v>
      </c>
      <c r="F63" s="1647" t="s">
        <v>9</v>
      </c>
    </row>
    <row r="64" spans="1:13" ht="51">
      <c r="B64" s="1651" t="s">
        <v>87</v>
      </c>
      <c r="C64" s="1649">
        <v>100000</v>
      </c>
      <c r="D64" s="1647" t="s">
        <v>88</v>
      </c>
    </row>
    <row r="65" spans="2:6" ht="38.25">
      <c r="B65" s="1651" t="s">
        <v>89</v>
      </c>
      <c r="C65" s="1649">
        <f>ROUND(487115/2,0)</f>
        <v>243558</v>
      </c>
      <c r="D65" t="s">
        <v>90</v>
      </c>
    </row>
    <row r="66" spans="2:6">
      <c r="B66" t="s">
        <v>91</v>
      </c>
      <c r="C66" s="1649">
        <v>0</v>
      </c>
      <c r="D66" s="1647" t="s">
        <v>88</v>
      </c>
      <c r="E66" s="1647"/>
      <c r="F66" s="1647"/>
    </row>
    <row r="67" spans="2:6">
      <c r="B67" t="s">
        <v>92</v>
      </c>
      <c r="C67" s="1649">
        <f>63489200*1%</f>
        <v>634892</v>
      </c>
      <c r="D67" s="1647" t="s">
        <v>88</v>
      </c>
      <c r="E67" s="1647" t="s">
        <v>93</v>
      </c>
      <c r="F67" s="1647"/>
    </row>
    <row r="68" spans="2:6">
      <c r="B68" s="1655"/>
      <c r="C68" s="1647" t="s">
        <v>94</v>
      </c>
      <c r="D68" s="1647"/>
    </row>
  </sheetData>
  <mergeCells count="1">
    <mergeCell ref="E57:H57"/>
  </mergeCells>
  <pageMargins left="0.7" right="0.7" top="0.75" bottom="0.75" header="0.3" footer="0.3"/>
  <pageSetup scale="5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N120"/>
  <sheetViews>
    <sheetView view="pageBreakPreview" topLeftCell="A72" zoomScale="75" zoomScaleNormal="100" workbookViewId="0">
      <selection activeCell="R84" sqref="R84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3" width="11.42578125" style="598" customWidth="1"/>
    <col min="4" max="4" width="9.42578125" style="598" customWidth="1"/>
    <col min="5" max="5" width="15.7109375" style="598" customWidth="1"/>
    <col min="6" max="7" width="23.85546875" style="598" customWidth="1"/>
    <col min="8" max="10" width="18" style="598" customWidth="1"/>
    <col min="11" max="11" width="27.28515625" style="598" customWidth="1"/>
    <col min="12" max="12" width="11.28515625" style="598" hidden="1" customWidth="1"/>
    <col min="13" max="13" width="12.28515625" style="598" customWidth="1"/>
    <col min="14" max="14" width="17" style="598" hidden="1" customWidth="1"/>
    <col min="15" max="16384" width="11.28515625" style="598"/>
  </cols>
  <sheetData>
    <row r="1" spans="1:11" s="903" customFormat="1" ht="12.75" customHeight="1">
      <c r="B1" s="1980" t="str">
        <f>'DEVIZ GENERAL'!B4</f>
        <v>SISTEM DE MANAGEMENT INTEGRAT AL DEȘEURILOR DIN JUDEȚUL DÂMBOVIȚA</v>
      </c>
      <c r="C1" s="1980"/>
      <c r="D1" s="1980"/>
      <c r="E1" s="1980"/>
      <c r="F1" s="1980"/>
      <c r="G1" s="1980"/>
      <c r="H1" s="1980"/>
      <c r="I1" s="1980"/>
      <c r="J1" s="1980"/>
      <c r="K1" s="1980"/>
    </row>
    <row r="2" spans="1:11" s="903" customFormat="1" ht="12.75" customHeight="1">
      <c r="A2" s="908"/>
      <c r="B2" s="1980"/>
      <c r="C2" s="1980"/>
      <c r="D2" s="1980"/>
      <c r="E2" s="1980"/>
      <c r="F2" s="1980"/>
      <c r="G2" s="1980"/>
      <c r="H2" s="1980"/>
      <c r="I2" s="1980"/>
      <c r="J2" s="1980"/>
      <c r="K2" s="1980"/>
    </row>
    <row r="3" spans="1:11" s="903" customFormat="1">
      <c r="A3" s="909"/>
      <c r="B3" s="1981"/>
      <c r="C3" s="1981"/>
      <c r="D3" s="1981"/>
      <c r="E3" s="1981"/>
      <c r="F3" s="1981"/>
      <c r="G3" s="1981"/>
      <c r="H3" s="1981"/>
      <c r="I3" s="1981"/>
      <c r="J3" s="1981"/>
      <c r="K3" s="1981"/>
    </row>
    <row r="4" spans="1:11" s="903" customFormat="1">
      <c r="A4" s="910"/>
      <c r="B4" s="601"/>
      <c r="C4" s="601"/>
      <c r="D4" s="601"/>
      <c r="E4" s="601"/>
      <c r="F4" s="910"/>
      <c r="G4" s="910"/>
      <c r="H4" s="911"/>
      <c r="I4" s="911"/>
      <c r="J4" s="911"/>
      <c r="K4" s="959"/>
    </row>
    <row r="5" spans="1:11" s="904" customFormat="1" ht="26.25" customHeight="1">
      <c r="A5" s="1954" t="str">
        <f>'D8.compostoare individuale'!A5</f>
        <v>DEVIZ OBIECT</v>
      </c>
      <c r="B5" s="1954"/>
      <c r="C5" s="1954"/>
      <c r="D5" s="1954"/>
      <c r="E5" s="1954"/>
      <c r="F5" s="1954"/>
      <c r="G5" s="1954"/>
      <c r="H5" s="1954"/>
      <c r="I5" s="1954"/>
      <c r="J5" s="1954"/>
      <c r="K5" s="1954"/>
    </row>
    <row r="6" spans="1:11" s="905" customFormat="1" ht="39.75" customHeight="1">
      <c r="A6" s="1905" t="s">
        <v>559</v>
      </c>
      <c r="B6" s="1905"/>
      <c r="C6" s="1905"/>
      <c r="D6" s="1905"/>
      <c r="E6" s="1905"/>
      <c r="F6" s="1905"/>
      <c r="G6" s="1905"/>
      <c r="H6" s="1905"/>
      <c r="I6" s="1905"/>
      <c r="J6" s="1905"/>
      <c r="K6" s="1905"/>
    </row>
    <row r="7" spans="1:11" s="904" customFormat="1">
      <c r="A7" s="1955" t="s">
        <v>240</v>
      </c>
      <c r="B7" s="1955"/>
      <c r="C7" s="1955"/>
      <c r="D7" s="1955"/>
      <c r="E7" s="1955"/>
      <c r="F7" s="1955"/>
      <c r="G7" s="1955"/>
      <c r="H7" s="1955"/>
      <c r="I7" s="1955"/>
      <c r="J7" s="1955"/>
      <c r="K7" s="1955"/>
    </row>
    <row r="8" spans="1:11" ht="31.5" customHeight="1">
      <c r="A8" s="1988" t="s">
        <v>99</v>
      </c>
      <c r="B8" s="1990" t="s">
        <v>100</v>
      </c>
      <c r="C8" s="289" t="s">
        <v>560</v>
      </c>
      <c r="D8" s="289" t="s">
        <v>561</v>
      </c>
      <c r="E8" s="289" t="s">
        <v>562</v>
      </c>
      <c r="F8" s="1956" t="s">
        <v>101</v>
      </c>
      <c r="G8" s="1957"/>
      <c r="H8" s="1956" t="s">
        <v>102</v>
      </c>
      <c r="I8" s="1957"/>
      <c r="J8" s="1956" t="s">
        <v>563</v>
      </c>
      <c r="K8" s="1958"/>
    </row>
    <row r="9" spans="1:11" s="596" customFormat="1" ht="17.25" customHeight="1">
      <c r="A9" s="1989"/>
      <c r="B9" s="1991"/>
      <c r="C9" s="603"/>
      <c r="D9" s="603"/>
      <c r="E9" s="603"/>
      <c r="F9" s="604" t="s">
        <v>546</v>
      </c>
      <c r="G9" s="604" t="s">
        <v>81</v>
      </c>
      <c r="H9" s="604" t="s">
        <v>546</v>
      </c>
      <c r="I9" s="960" t="s">
        <v>81</v>
      </c>
      <c r="J9" s="960" t="s">
        <v>546</v>
      </c>
      <c r="K9" s="812" t="s">
        <v>81</v>
      </c>
    </row>
    <row r="10" spans="1:11">
      <c r="A10" s="605">
        <v>1</v>
      </c>
      <c r="B10" s="606">
        <v>2</v>
      </c>
      <c r="C10" s="606"/>
      <c r="D10" s="606"/>
      <c r="E10" s="606"/>
      <c r="F10" s="606">
        <v>3</v>
      </c>
      <c r="G10" s="606">
        <v>4</v>
      </c>
      <c r="H10" s="606">
        <v>5</v>
      </c>
      <c r="I10" s="607">
        <v>6</v>
      </c>
      <c r="J10" s="607">
        <v>7</v>
      </c>
      <c r="K10" s="689">
        <v>8</v>
      </c>
    </row>
    <row r="11" spans="1:11">
      <c r="A11" s="1959" t="s">
        <v>564</v>
      </c>
      <c r="B11" s="1960"/>
      <c r="C11" s="1960"/>
      <c r="D11" s="1960"/>
      <c r="E11" s="1960"/>
      <c r="F11" s="1960"/>
      <c r="G11" s="1960"/>
      <c r="H11" s="1960"/>
      <c r="I11" s="1960"/>
      <c r="J11" s="1960"/>
      <c r="K11" s="1961"/>
    </row>
    <row r="12" spans="1:11" customFormat="1">
      <c r="A12" s="912" t="s">
        <v>110</v>
      </c>
      <c r="B12" s="913" t="s">
        <v>111</v>
      </c>
      <c r="C12" s="914"/>
      <c r="D12" s="914"/>
      <c r="E12" s="914"/>
      <c r="F12" s="914"/>
      <c r="G12" s="915"/>
      <c r="H12" s="915"/>
      <c r="I12" s="915"/>
      <c r="J12" s="961"/>
      <c r="K12" s="962"/>
    </row>
    <row r="13" spans="1:11" customFormat="1">
      <c r="A13" s="916" t="s">
        <v>113</v>
      </c>
      <c r="B13" s="917" t="s">
        <v>114</v>
      </c>
      <c r="C13" s="918"/>
      <c r="D13" s="918"/>
      <c r="E13" s="918"/>
      <c r="F13" s="918"/>
      <c r="G13" s="919"/>
      <c r="H13" s="919"/>
      <c r="I13" s="919"/>
      <c r="J13" s="55"/>
      <c r="K13" s="76"/>
    </row>
    <row r="14" spans="1:11" customFormat="1" ht="25.5">
      <c r="A14" s="920" t="s">
        <v>115</v>
      </c>
      <c r="B14" s="921" t="s">
        <v>565</v>
      </c>
      <c r="C14" s="918"/>
      <c r="D14" s="918"/>
      <c r="E14" s="918"/>
      <c r="F14" s="922">
        <f t="shared" ref="F14:K14" si="0">SUM(F15:F19)</f>
        <v>7307532</v>
      </c>
      <c r="G14" s="922">
        <f t="shared" si="0"/>
        <v>1468614.49</v>
      </c>
      <c r="H14" s="922">
        <f t="shared" si="0"/>
        <v>1388431.08</v>
      </c>
      <c r="I14" s="922">
        <f t="shared" si="0"/>
        <v>279036.76</v>
      </c>
      <c r="J14" s="922">
        <f t="shared" si="0"/>
        <v>8695963.0800000001</v>
      </c>
      <c r="K14" s="964">
        <f t="shared" si="0"/>
        <v>1747651.25</v>
      </c>
    </row>
    <row r="15" spans="1:11" s="906" customFormat="1">
      <c r="A15" s="924" t="s">
        <v>549</v>
      </c>
      <c r="B15" s="925" t="s">
        <v>566</v>
      </c>
      <c r="C15" s="713">
        <v>26400</v>
      </c>
      <c r="D15" s="713" t="s">
        <v>567</v>
      </c>
      <c r="E15" s="926">
        <f>4*IPC*crinv</f>
        <v>5.5936399999999997</v>
      </c>
      <c r="F15" s="322">
        <f>ROUND(C15*E15,0)</f>
        <v>147672</v>
      </c>
      <c r="G15" s="322">
        <f>ROUND(F15/euro,2)</f>
        <v>29678.04</v>
      </c>
      <c r="H15" s="322">
        <f>ROUND(F15*TVA,2)</f>
        <v>28057.68</v>
      </c>
      <c r="I15" s="965">
        <f>ROUND(H15/euro,2)</f>
        <v>5638.83</v>
      </c>
      <c r="J15" s="321">
        <f t="shared" ref="J15:K20" si="1">F15+H15</f>
        <v>175729.68</v>
      </c>
      <c r="K15" s="421">
        <f t="shared" si="1"/>
        <v>35316.870000000003</v>
      </c>
    </row>
    <row r="16" spans="1:11" s="906" customFormat="1" ht="25.5">
      <c r="A16" s="924" t="s">
        <v>551</v>
      </c>
      <c r="B16" s="925" t="s">
        <v>568</v>
      </c>
      <c r="C16" s="713">
        <v>20000</v>
      </c>
      <c r="D16" s="713" t="s">
        <v>569</v>
      </c>
      <c r="E16" s="926">
        <f>70*IPC*crinv</f>
        <v>97.8887</v>
      </c>
      <c r="F16" s="322">
        <f t="shared" ref="F16:F19" si="2">ROUND(C16*E16,0)</f>
        <v>1957774</v>
      </c>
      <c r="G16" s="322">
        <f>ROUND(F16/euro,2)</f>
        <v>393459.14</v>
      </c>
      <c r="H16" s="322">
        <f>ROUND(F16*TVA,2)</f>
        <v>371977.06</v>
      </c>
      <c r="I16" s="965">
        <f>ROUND(H16/euro,2)</f>
        <v>74757.240000000005</v>
      </c>
      <c r="J16" s="321">
        <f t="shared" si="1"/>
        <v>2329751.06</v>
      </c>
      <c r="K16" s="421">
        <f t="shared" si="1"/>
        <v>468216.38</v>
      </c>
    </row>
    <row r="17" spans="1:11" s="906" customFormat="1">
      <c r="A17" s="924" t="s">
        <v>553</v>
      </c>
      <c r="B17" s="925" t="s">
        <v>570</v>
      </c>
      <c r="C17" s="713">
        <v>200</v>
      </c>
      <c r="D17" s="713" t="s">
        <v>567</v>
      </c>
      <c r="E17" s="926">
        <f>500*IPC*crinv</f>
        <v>699.20500000000004</v>
      </c>
      <c r="F17" s="322">
        <f t="shared" si="2"/>
        <v>139841</v>
      </c>
      <c r="G17" s="322">
        <f>ROUND(F17/euro,2)</f>
        <v>28104.22</v>
      </c>
      <c r="H17" s="322">
        <f>ROUND(F17*TVA,2)</f>
        <v>26569.79</v>
      </c>
      <c r="I17" s="965">
        <f>ROUND(H17/euro,2)</f>
        <v>5339.8</v>
      </c>
      <c r="J17" s="321">
        <f t="shared" si="1"/>
        <v>166410.79</v>
      </c>
      <c r="K17" s="421">
        <f t="shared" si="1"/>
        <v>33444.019999999997</v>
      </c>
    </row>
    <row r="18" spans="1:11" s="906" customFormat="1">
      <c r="A18" s="924" t="s">
        <v>555</v>
      </c>
      <c r="B18" s="925" t="s">
        <v>571</v>
      </c>
      <c r="C18" s="713">
        <v>200</v>
      </c>
      <c r="D18" s="713" t="s">
        <v>569</v>
      </c>
      <c r="E18" s="926">
        <f>800*IPC*crinv</f>
        <v>1118.7280000000001</v>
      </c>
      <c r="F18" s="322">
        <f t="shared" si="2"/>
        <v>223746</v>
      </c>
      <c r="G18" s="322">
        <f>ROUND(F18/euro,2)</f>
        <v>44966.84</v>
      </c>
      <c r="H18" s="322">
        <f>ROUND(F18*TVA,2)</f>
        <v>42511.74</v>
      </c>
      <c r="I18" s="965">
        <f>ROUND(H18/euro,2)</f>
        <v>8543.7000000000007</v>
      </c>
      <c r="J18" s="321">
        <f t="shared" si="1"/>
        <v>266257.74</v>
      </c>
      <c r="K18" s="421">
        <f t="shared" si="1"/>
        <v>53510.54</v>
      </c>
    </row>
    <row r="19" spans="1:11" s="1001" customFormat="1">
      <c r="A19" s="1679" t="s">
        <v>572</v>
      </c>
      <c r="B19" s="1673" t="s">
        <v>573</v>
      </c>
      <c r="C19" s="1674">
        <v>1</v>
      </c>
      <c r="D19" s="1674" t="s">
        <v>574</v>
      </c>
      <c r="E19" s="1675">
        <f>3460000*IPC*crinv</f>
        <v>4838498.5999999996</v>
      </c>
      <c r="F19" s="1676">
        <f t="shared" si="2"/>
        <v>4838499</v>
      </c>
      <c r="G19" s="1676">
        <f>ROUND(F19/euro,2)</f>
        <v>972406.25</v>
      </c>
      <c r="H19" s="1676">
        <f>ROUND(F19*TVA,2)</f>
        <v>919314.81</v>
      </c>
      <c r="I19" s="1677">
        <f>ROUND(H19/euro,2)</f>
        <v>184757.19</v>
      </c>
      <c r="J19" s="1672">
        <f t="shared" si="1"/>
        <v>5757813.8099999996</v>
      </c>
      <c r="K19" s="1678">
        <f>G19+I19</f>
        <v>1157163.44</v>
      </c>
    </row>
    <row r="20" spans="1:11" customFormat="1">
      <c r="A20" s="927" t="s">
        <v>117</v>
      </c>
      <c r="B20" s="928" t="s">
        <v>118</v>
      </c>
      <c r="C20" s="918"/>
      <c r="D20" s="918"/>
      <c r="E20" s="918"/>
      <c r="F20" s="322">
        <f>C20*E20</f>
        <v>0</v>
      </c>
      <c r="G20" s="322">
        <f>F20/euro</f>
        <v>0</v>
      </c>
      <c r="H20" s="322">
        <f>F20*TVA</f>
        <v>0</v>
      </c>
      <c r="I20" s="965">
        <f>H20/euro</f>
        <v>0</v>
      </c>
      <c r="J20" s="321">
        <f t="shared" si="1"/>
        <v>0</v>
      </c>
      <c r="K20" s="421">
        <f t="shared" si="1"/>
        <v>0</v>
      </c>
    </row>
    <row r="21" spans="1:11">
      <c r="A21" s="1962" t="s">
        <v>119</v>
      </c>
      <c r="B21" s="1963"/>
      <c r="C21" s="929"/>
      <c r="D21" s="929"/>
      <c r="E21" s="929"/>
      <c r="F21" s="930">
        <f>F20+F14</f>
        <v>7307532</v>
      </c>
      <c r="G21" s="930">
        <f t="shared" ref="G21:K21" si="3">G20+G14</f>
        <v>1468614.49</v>
      </c>
      <c r="H21" s="930">
        <f t="shared" si="3"/>
        <v>1388431.08</v>
      </c>
      <c r="I21" s="930">
        <f t="shared" si="3"/>
        <v>279036.76</v>
      </c>
      <c r="J21" s="966">
        <f t="shared" si="3"/>
        <v>8695963.0800000001</v>
      </c>
      <c r="K21" s="967">
        <f t="shared" si="3"/>
        <v>1747651.25</v>
      </c>
    </row>
    <row r="22" spans="1:11">
      <c r="A22" s="1964" t="s">
        <v>575</v>
      </c>
      <c r="B22" s="1965"/>
      <c r="C22" s="1965"/>
      <c r="D22" s="1965"/>
      <c r="E22" s="1965"/>
      <c r="F22" s="1965"/>
      <c r="G22" s="1965"/>
      <c r="H22" s="1965"/>
      <c r="I22" s="1965"/>
      <c r="J22" s="1965"/>
      <c r="K22" s="1966"/>
    </row>
    <row r="23" spans="1:11">
      <c r="A23" s="1002" t="s">
        <v>549</v>
      </c>
      <c r="B23" s="1003" t="s">
        <v>576</v>
      </c>
      <c r="C23" s="1004">
        <v>1000</v>
      </c>
      <c r="D23" s="1004" t="s">
        <v>577</v>
      </c>
      <c r="E23" s="926">
        <f>2100*IPC*crinv</f>
        <v>2936.6610000000001</v>
      </c>
      <c r="F23" s="322">
        <f>C23*E23</f>
        <v>2936661</v>
      </c>
      <c r="G23" s="322">
        <f>ROUND(F23/euro,2)</f>
        <v>590188.71</v>
      </c>
      <c r="H23" s="322">
        <f>ROUND(F23*TVA,2)</f>
        <v>557965.59</v>
      </c>
      <c r="I23" s="965">
        <f>ROUND(H23/euro,2)</f>
        <v>112135.86</v>
      </c>
      <c r="J23" s="321">
        <f>F23+H23</f>
        <v>3494626.59</v>
      </c>
      <c r="K23" s="421">
        <f>G23+I23</f>
        <v>702324.57</v>
      </c>
    </row>
    <row r="24" spans="1:11">
      <c r="A24" s="1002" t="s">
        <v>551</v>
      </c>
      <c r="B24" s="1003" t="s">
        <v>578</v>
      </c>
      <c r="C24" s="1004">
        <v>0</v>
      </c>
      <c r="D24" s="1004" t="s">
        <v>579</v>
      </c>
      <c r="E24" s="926">
        <f>600*IPC*crinv</f>
        <v>839.04600000000005</v>
      </c>
      <c r="F24" s="322">
        <f t="shared" ref="F24:F26" si="4">C24*E24</f>
        <v>0</v>
      </c>
      <c r="G24" s="322">
        <f>ROUND(F24/euro,2)</f>
        <v>0</v>
      </c>
      <c r="H24" s="322">
        <f>ROUND(F24*TVA,2)</f>
        <v>0</v>
      </c>
      <c r="I24" s="965">
        <f>ROUND(H24/euro,2)</f>
        <v>0</v>
      </c>
      <c r="J24" s="321">
        <f t="shared" ref="J24:J26" si="5">F24+H24</f>
        <v>0</v>
      </c>
      <c r="K24" s="421">
        <f t="shared" ref="K24:K26" si="6">G24+I24</f>
        <v>0</v>
      </c>
    </row>
    <row r="25" spans="1:11">
      <c r="A25" s="1002" t="s">
        <v>553</v>
      </c>
      <c r="B25" s="1003" t="s">
        <v>580</v>
      </c>
      <c r="C25" s="1004">
        <v>1300</v>
      </c>
      <c r="D25" s="1004" t="s">
        <v>579</v>
      </c>
      <c r="E25" s="926">
        <f>500*IPC*crinv</f>
        <v>699.20500000000004</v>
      </c>
      <c r="F25" s="322">
        <f t="shared" si="4"/>
        <v>908966.5</v>
      </c>
      <c r="G25" s="322">
        <f>ROUND(F25/euro,2)</f>
        <v>182677.46</v>
      </c>
      <c r="H25" s="322">
        <f>ROUND(F25*TVA,2)</f>
        <v>172703.64</v>
      </c>
      <c r="I25" s="965">
        <f>ROUND(H25/euro,2)</f>
        <v>34708.720000000001</v>
      </c>
      <c r="J25" s="321">
        <f t="shared" si="5"/>
        <v>1081670.1399999999</v>
      </c>
      <c r="K25" s="421">
        <f t="shared" si="6"/>
        <v>217386.18</v>
      </c>
    </row>
    <row r="26" spans="1:11">
      <c r="A26" s="924" t="s">
        <v>555</v>
      </c>
      <c r="B26" s="925" t="s">
        <v>581</v>
      </c>
      <c r="C26" s="713">
        <v>0</v>
      </c>
      <c r="D26" s="713" t="s">
        <v>577</v>
      </c>
      <c r="E26" s="926">
        <f>500*IPC*crinv</f>
        <v>699.20500000000004</v>
      </c>
      <c r="F26" s="322">
        <f t="shared" si="4"/>
        <v>0</v>
      </c>
      <c r="G26" s="322">
        <f>ROUND(F26/euro,2)</f>
        <v>0</v>
      </c>
      <c r="H26" s="322">
        <f>ROUND(F26*TVA,2)</f>
        <v>0</v>
      </c>
      <c r="I26" s="965">
        <f>ROUND(H26/euro,2)</f>
        <v>0</v>
      </c>
      <c r="J26" s="321">
        <f t="shared" si="5"/>
        <v>0</v>
      </c>
      <c r="K26" s="421">
        <f t="shared" si="6"/>
        <v>0</v>
      </c>
    </row>
    <row r="27" spans="1:11" ht="12.95" customHeight="1">
      <c r="A27" s="1967" t="s">
        <v>122</v>
      </c>
      <c r="B27" s="1968"/>
      <c r="C27" s="933"/>
      <c r="D27" s="933"/>
      <c r="E27" s="933"/>
      <c r="F27" s="336">
        <f>SUM(F23:F26)</f>
        <v>3845627.5</v>
      </c>
      <c r="G27" s="337">
        <f t="shared" ref="G27:K27" si="7">SUM(G23:G26)</f>
        <v>772866.17</v>
      </c>
      <c r="H27" s="336">
        <f t="shared" si="7"/>
        <v>730669.23</v>
      </c>
      <c r="I27" s="337">
        <f t="shared" si="7"/>
        <v>146844.57999999999</v>
      </c>
      <c r="J27" s="337">
        <f t="shared" si="7"/>
        <v>4576296.7300000004</v>
      </c>
      <c r="K27" s="423">
        <f t="shared" si="7"/>
        <v>919710.75</v>
      </c>
    </row>
    <row r="28" spans="1:11">
      <c r="A28" s="1964" t="s">
        <v>160</v>
      </c>
      <c r="B28" s="1965"/>
      <c r="C28" s="1965"/>
      <c r="D28" s="1965"/>
      <c r="E28" s="1965"/>
      <c r="F28" s="1965"/>
      <c r="G28" s="1965"/>
      <c r="H28" s="1965"/>
      <c r="I28" s="1965"/>
      <c r="J28" s="1965"/>
      <c r="K28" s="1966"/>
    </row>
    <row r="29" spans="1:11">
      <c r="A29" s="1971" t="s">
        <v>161</v>
      </c>
      <c r="B29" s="1972"/>
      <c r="C29" s="1972"/>
      <c r="D29" s="1972"/>
      <c r="E29" s="1972"/>
      <c r="F29" s="1972"/>
      <c r="G29" s="1972"/>
      <c r="H29" s="1972"/>
      <c r="I29" s="1972"/>
      <c r="J29" s="1972"/>
      <c r="K29" s="1973"/>
    </row>
    <row r="30" spans="1:11">
      <c r="A30" s="608" t="s">
        <v>162</v>
      </c>
      <c r="B30" s="1974" t="s">
        <v>548</v>
      </c>
      <c r="C30" s="1975"/>
      <c r="D30" s="1975"/>
      <c r="E30" s="1975"/>
      <c r="F30" s="1975"/>
      <c r="G30" s="1975"/>
      <c r="H30" s="1975"/>
      <c r="I30" s="1975"/>
      <c r="J30" s="1975"/>
      <c r="K30" s="1976"/>
    </row>
    <row r="31" spans="1:11">
      <c r="A31" s="1680" t="s">
        <v>549</v>
      </c>
      <c r="B31" s="1681" t="s">
        <v>582</v>
      </c>
      <c r="C31" s="1674">
        <v>9700</v>
      </c>
      <c r="D31" s="1674" t="s">
        <v>569</v>
      </c>
      <c r="E31" s="1682">
        <f>25*IPC*crinv</f>
        <v>34.960250000000002</v>
      </c>
      <c r="F31" s="1676">
        <f>C31*E31</f>
        <v>339114.42499999999</v>
      </c>
      <c r="G31" s="1676">
        <f>ROUND(F31/euro,2)</f>
        <v>68152.740000000005</v>
      </c>
      <c r="H31" s="1676">
        <f>ROUND(F31*TVA,2)</f>
        <v>64431.74</v>
      </c>
      <c r="I31" s="1677">
        <f>ROUND(H31/euro,2)</f>
        <v>12949.02</v>
      </c>
      <c r="J31" s="1672">
        <f>F31+H31</f>
        <v>403546.16499999998</v>
      </c>
      <c r="K31" s="1678">
        <f>G31+I31</f>
        <v>81101.759999999995</v>
      </c>
    </row>
    <row r="32" spans="1:11" ht="25.5">
      <c r="A32" s="1680" t="s">
        <v>551</v>
      </c>
      <c r="B32" s="1681" t="s">
        <v>583</v>
      </c>
      <c r="C32" s="1674">
        <v>48000</v>
      </c>
      <c r="D32" s="1674" t="s">
        <v>569</v>
      </c>
      <c r="E32" s="1683">
        <f>50*IPC*crinv</f>
        <v>69.920500000000004</v>
      </c>
      <c r="F32" s="1676">
        <f t="shared" ref="F32:F35" si="8">C32*E32</f>
        <v>3356184</v>
      </c>
      <c r="G32" s="1676">
        <f>ROUND(F32/euro,2)</f>
        <v>674501.39</v>
      </c>
      <c r="H32" s="1676">
        <f>ROUND(F32*TVA,2)</f>
        <v>637674.96</v>
      </c>
      <c r="I32" s="1677">
        <f>ROUND(H32/euro,2)</f>
        <v>128155.26</v>
      </c>
      <c r="J32" s="1672">
        <f t="shared" ref="J32:J35" si="9">F32+H32</f>
        <v>3993858.96</v>
      </c>
      <c r="K32" s="1678">
        <f t="shared" ref="K32:K35" si="10">G32+I32</f>
        <v>802656.65</v>
      </c>
    </row>
    <row r="33" spans="1:11" ht="25.5">
      <c r="A33" s="1680" t="s">
        <v>553</v>
      </c>
      <c r="B33" s="1681" t="s">
        <v>584</v>
      </c>
      <c r="C33" s="1674">
        <v>0</v>
      </c>
      <c r="D33" s="1674" t="s">
        <v>569</v>
      </c>
      <c r="E33" s="1683">
        <f>50*IPC*crinv</f>
        <v>69.920500000000004</v>
      </c>
      <c r="F33" s="1676">
        <f t="shared" si="8"/>
        <v>0</v>
      </c>
      <c r="G33" s="1676">
        <f>ROUND(F33/euro,2)</f>
        <v>0</v>
      </c>
      <c r="H33" s="1676">
        <f>ROUND(F33*TVA,2)</f>
        <v>0</v>
      </c>
      <c r="I33" s="1677">
        <f>ROUND(H33/euro,2)</f>
        <v>0</v>
      </c>
      <c r="J33" s="1672">
        <f t="shared" si="9"/>
        <v>0</v>
      </c>
      <c r="K33" s="1678">
        <f t="shared" si="10"/>
        <v>0</v>
      </c>
    </row>
    <row r="34" spans="1:11" ht="25.5">
      <c r="A34" s="1680" t="s">
        <v>555</v>
      </c>
      <c r="B34" s="1681" t="s">
        <v>585</v>
      </c>
      <c r="C34" s="1674">
        <v>18000</v>
      </c>
      <c r="D34" s="1674" t="s">
        <v>569</v>
      </c>
      <c r="E34" s="1683">
        <f>40*IPC*crinv</f>
        <v>55.936399999999999</v>
      </c>
      <c r="F34" s="1676">
        <f t="shared" si="8"/>
        <v>1006855.2</v>
      </c>
      <c r="G34" s="1676">
        <f>ROUND(F34/euro,2)</f>
        <v>202350.42</v>
      </c>
      <c r="H34" s="1676">
        <f>ROUND(F34*TVA,2)</f>
        <v>191302.49</v>
      </c>
      <c r="I34" s="1677">
        <f>ROUND(H34/euro,2)</f>
        <v>38446.58</v>
      </c>
      <c r="J34" s="1672">
        <f t="shared" si="9"/>
        <v>1198157.69</v>
      </c>
      <c r="K34" s="1678">
        <f t="shared" si="10"/>
        <v>240797</v>
      </c>
    </row>
    <row r="35" spans="1:11">
      <c r="A35" s="1680" t="s">
        <v>572</v>
      </c>
      <c r="B35" s="1681" t="s">
        <v>586</v>
      </c>
      <c r="C35" s="1674">
        <v>11</v>
      </c>
      <c r="D35" s="1674" t="s">
        <v>574</v>
      </c>
      <c r="E35" s="1683">
        <f>20000*IPC*crinv</f>
        <v>27968.2</v>
      </c>
      <c r="F35" s="1676">
        <f t="shared" si="8"/>
        <v>307650.2</v>
      </c>
      <c r="G35" s="1676">
        <f>ROUND(F35/euro,2)</f>
        <v>61829.29</v>
      </c>
      <c r="H35" s="1676">
        <f>ROUND(F35*TVA,2)</f>
        <v>58453.54</v>
      </c>
      <c r="I35" s="1677">
        <f>ROUND(H35/euro,2)</f>
        <v>11747.57</v>
      </c>
      <c r="J35" s="1672">
        <f t="shared" si="9"/>
        <v>366103.74</v>
      </c>
      <c r="K35" s="1678">
        <f t="shared" si="10"/>
        <v>73576.86</v>
      </c>
    </row>
    <row r="36" spans="1:11">
      <c r="A36" s="1977" t="s">
        <v>557</v>
      </c>
      <c r="B36" s="1978"/>
      <c r="C36" s="1978"/>
      <c r="D36" s="1978"/>
      <c r="E36" s="1978"/>
      <c r="F36" s="1978"/>
      <c r="G36" s="1978"/>
      <c r="H36" s="1978"/>
      <c r="I36" s="1978"/>
      <c r="J36" s="1978"/>
      <c r="K36" s="1979"/>
    </row>
    <row r="37" spans="1:11">
      <c r="A37" s="1680" t="s">
        <v>549</v>
      </c>
      <c r="B37" s="1684" t="s">
        <v>587</v>
      </c>
      <c r="C37" s="1674">
        <v>1</v>
      </c>
      <c r="D37" s="1685" t="s">
        <v>574</v>
      </c>
      <c r="E37" s="1683">
        <f>200000*IPC*crinv</f>
        <v>279682</v>
      </c>
      <c r="F37" s="1665">
        <f>C37*E37</f>
        <v>279682</v>
      </c>
      <c r="G37" s="1686">
        <f t="shared" ref="G37:G58" si="11">ROUND(F37/euro,2)</f>
        <v>56208.45</v>
      </c>
      <c r="H37" s="1687">
        <f t="shared" ref="H37:H58" si="12">ROUND(F37*TVA,2)</f>
        <v>53139.58</v>
      </c>
      <c r="I37" s="1686">
        <f t="shared" ref="I37:I58" si="13">ROUND(H37/euro,2)</f>
        <v>10679.61</v>
      </c>
      <c r="J37" s="1672">
        <f t="shared" ref="J37:K40" si="14">F37+H37</f>
        <v>332821.58</v>
      </c>
      <c r="K37" s="1678">
        <f t="shared" si="14"/>
        <v>66888.06</v>
      </c>
    </row>
    <row r="38" spans="1:11">
      <c r="A38" s="1680" t="s">
        <v>551</v>
      </c>
      <c r="B38" s="1684" t="s">
        <v>588</v>
      </c>
      <c r="C38" s="1674">
        <v>1</v>
      </c>
      <c r="D38" s="1685" t="s">
        <v>574</v>
      </c>
      <c r="E38" s="1675">
        <f>1000000*IPC*crinv</f>
        <v>1398410</v>
      </c>
      <c r="F38" s="1665">
        <f>C38*E38</f>
        <v>1398410</v>
      </c>
      <c r="G38" s="1686">
        <f t="shared" si="11"/>
        <v>281042.24</v>
      </c>
      <c r="H38" s="1687">
        <f t="shared" si="12"/>
        <v>265697.90000000002</v>
      </c>
      <c r="I38" s="1686">
        <f t="shared" si="13"/>
        <v>53398.03</v>
      </c>
      <c r="J38" s="1672">
        <f t="shared" si="14"/>
        <v>1664107.9</v>
      </c>
      <c r="K38" s="1678">
        <f t="shared" si="14"/>
        <v>334440.27</v>
      </c>
    </row>
    <row r="39" spans="1:11">
      <c r="A39" s="1680" t="s">
        <v>555</v>
      </c>
      <c r="B39" s="1684" t="s">
        <v>589</v>
      </c>
      <c r="C39" s="1674">
        <v>1</v>
      </c>
      <c r="D39" s="1685" t="s">
        <v>574</v>
      </c>
      <c r="E39" s="1683">
        <f>75000*IPC*crinv</f>
        <v>104880.75</v>
      </c>
      <c r="F39" s="1665">
        <f>C39*E39</f>
        <v>104880.75</v>
      </c>
      <c r="G39" s="1686">
        <f t="shared" si="11"/>
        <v>21078.17</v>
      </c>
      <c r="H39" s="1687">
        <f t="shared" si="12"/>
        <v>19927.34</v>
      </c>
      <c r="I39" s="1686">
        <f t="shared" si="13"/>
        <v>4004.85</v>
      </c>
      <c r="J39" s="1672">
        <f t="shared" si="14"/>
        <v>124808.09</v>
      </c>
      <c r="K39" s="1678">
        <f t="shared" si="14"/>
        <v>25083.02</v>
      </c>
    </row>
    <row r="40" spans="1:11">
      <c r="A40" s="1680" t="s">
        <v>572</v>
      </c>
      <c r="B40" s="1684" t="s">
        <v>590</v>
      </c>
      <c r="C40" s="1674">
        <v>8300</v>
      </c>
      <c r="D40" s="1674" t="s">
        <v>567</v>
      </c>
      <c r="E40" s="1683">
        <f>500*IPC*crinv</f>
        <v>699.20500000000004</v>
      </c>
      <c r="F40" s="1665">
        <f>C40*E40</f>
        <v>5803401.5</v>
      </c>
      <c r="G40" s="1686">
        <f t="shared" si="11"/>
        <v>1166325.31</v>
      </c>
      <c r="H40" s="1687">
        <f t="shared" si="12"/>
        <v>1102646.29</v>
      </c>
      <c r="I40" s="1686">
        <f t="shared" si="13"/>
        <v>221601.81</v>
      </c>
      <c r="J40" s="1672">
        <f t="shared" si="14"/>
        <v>6906047.79</v>
      </c>
      <c r="K40" s="1678">
        <f t="shared" si="14"/>
        <v>1387927.12</v>
      </c>
    </row>
    <row r="41" spans="1:11">
      <c r="A41" s="1680" t="s">
        <v>591</v>
      </c>
      <c r="B41" s="1688" t="s">
        <v>592</v>
      </c>
      <c r="C41" s="1674">
        <f>400+50</f>
        <v>450</v>
      </c>
      <c r="D41" s="1674" t="s">
        <v>577</v>
      </c>
      <c r="E41" s="1683">
        <f>2100*IPC*crinv</f>
        <v>2936.6610000000001</v>
      </c>
      <c r="F41" s="1665">
        <f t="shared" ref="F41:F58" si="15">C41*E41</f>
        <v>1321497.45</v>
      </c>
      <c r="G41" s="1686">
        <f t="shared" si="11"/>
        <v>265584.92</v>
      </c>
      <c r="H41" s="1687">
        <f t="shared" si="12"/>
        <v>251084.52</v>
      </c>
      <c r="I41" s="1686">
        <f t="shared" si="13"/>
        <v>50461.14</v>
      </c>
      <c r="J41" s="1672">
        <f t="shared" ref="J41:J58" si="16">F41+H41</f>
        <v>1572581.97</v>
      </c>
      <c r="K41" s="1678">
        <f t="shared" ref="K41:K58" si="17">G41+I41</f>
        <v>316046.06</v>
      </c>
    </row>
    <row r="42" spans="1:11">
      <c r="A42" s="1680" t="s">
        <v>593</v>
      </c>
      <c r="B42" s="1688" t="s">
        <v>594</v>
      </c>
      <c r="C42" s="1674">
        <v>220</v>
      </c>
      <c r="D42" s="1674" t="s">
        <v>577</v>
      </c>
      <c r="E42" s="1683">
        <f>2000*IPC*crinv</f>
        <v>2796.82</v>
      </c>
      <c r="F42" s="1665">
        <f t="shared" si="15"/>
        <v>615300.4</v>
      </c>
      <c r="G42" s="1686">
        <f t="shared" si="11"/>
        <v>123658.59</v>
      </c>
      <c r="H42" s="1687">
        <f t="shared" si="12"/>
        <v>116907.08</v>
      </c>
      <c r="I42" s="1686">
        <f t="shared" si="13"/>
        <v>23495.13</v>
      </c>
      <c r="J42" s="1672">
        <f t="shared" si="16"/>
        <v>732207.48</v>
      </c>
      <c r="K42" s="1678">
        <f t="shared" si="17"/>
        <v>147153.72</v>
      </c>
    </row>
    <row r="43" spans="1:11">
      <c r="A43" s="1680" t="s">
        <v>595</v>
      </c>
      <c r="B43" s="1688" t="s">
        <v>596</v>
      </c>
      <c r="C43" s="1674">
        <f>55+60+105+200+100+350</f>
        <v>870</v>
      </c>
      <c r="D43" s="1674" t="s">
        <v>577</v>
      </c>
      <c r="E43" s="1683">
        <f>500*IPC*crinv</f>
        <v>699.20500000000004</v>
      </c>
      <c r="F43" s="1665">
        <f t="shared" si="15"/>
        <v>608308.35</v>
      </c>
      <c r="G43" s="1686">
        <f t="shared" si="11"/>
        <v>122253.38</v>
      </c>
      <c r="H43" s="1687">
        <f t="shared" si="12"/>
        <v>115578.59</v>
      </c>
      <c r="I43" s="1686">
        <f t="shared" si="13"/>
        <v>23228.14</v>
      </c>
      <c r="J43" s="1672">
        <f t="shared" si="16"/>
        <v>723886.94</v>
      </c>
      <c r="K43" s="1678">
        <f t="shared" si="17"/>
        <v>145481.51999999999</v>
      </c>
    </row>
    <row r="44" spans="1:11">
      <c r="A44" s="1680" t="s">
        <v>597</v>
      </c>
      <c r="B44" s="1688" t="s">
        <v>598</v>
      </c>
      <c r="C44" s="1674">
        <v>1</v>
      </c>
      <c r="D44" s="1685" t="s">
        <v>574</v>
      </c>
      <c r="E44" s="1683">
        <f>15000*IPC*crinv</f>
        <v>20976.15</v>
      </c>
      <c r="F44" s="1665">
        <f t="shared" si="15"/>
        <v>20976.15</v>
      </c>
      <c r="G44" s="1686">
        <f t="shared" si="11"/>
        <v>4215.63</v>
      </c>
      <c r="H44" s="1687">
        <f t="shared" si="12"/>
        <v>3985.47</v>
      </c>
      <c r="I44" s="1686">
        <f t="shared" si="13"/>
        <v>800.97</v>
      </c>
      <c r="J44" s="1672">
        <f t="shared" si="16"/>
        <v>24961.62</v>
      </c>
      <c r="K44" s="1678">
        <f t="shared" si="17"/>
        <v>5016.6000000000004</v>
      </c>
    </row>
    <row r="45" spans="1:11">
      <c r="A45" s="1680" t="s">
        <v>599</v>
      </c>
      <c r="B45" s="1684" t="s">
        <v>600</v>
      </c>
      <c r="C45" s="1674">
        <f>1000+50</f>
        <v>1050</v>
      </c>
      <c r="D45" s="1674" t="s">
        <v>577</v>
      </c>
      <c r="E45" s="1683">
        <f>1100*IPC*crinv</f>
        <v>1538.251</v>
      </c>
      <c r="F45" s="1665">
        <f t="shared" si="15"/>
        <v>1615163.55</v>
      </c>
      <c r="G45" s="1686">
        <f t="shared" si="11"/>
        <v>324603.78999999998</v>
      </c>
      <c r="H45" s="1687">
        <f t="shared" si="12"/>
        <v>306881.07</v>
      </c>
      <c r="I45" s="1686">
        <f t="shared" si="13"/>
        <v>61674.720000000001</v>
      </c>
      <c r="J45" s="1672">
        <f t="shared" si="16"/>
        <v>1922044.62</v>
      </c>
      <c r="K45" s="1678">
        <f t="shared" si="17"/>
        <v>386278.51</v>
      </c>
    </row>
    <row r="46" spans="1:11">
      <c r="A46" s="1680" t="s">
        <v>601</v>
      </c>
      <c r="B46" s="1684" t="s">
        <v>602</v>
      </c>
      <c r="C46" s="1685">
        <v>1</v>
      </c>
      <c r="D46" s="1685" t="s">
        <v>574</v>
      </c>
      <c r="E46" s="1689">
        <f>20000*IPC*crinv</f>
        <v>27968.2</v>
      </c>
      <c r="F46" s="1665">
        <f t="shared" si="15"/>
        <v>27968.2</v>
      </c>
      <c r="G46" s="1686">
        <f t="shared" si="11"/>
        <v>5620.84</v>
      </c>
      <c r="H46" s="1687">
        <f t="shared" si="12"/>
        <v>5313.96</v>
      </c>
      <c r="I46" s="1686">
        <f t="shared" si="13"/>
        <v>1067.96</v>
      </c>
      <c r="J46" s="1672">
        <f t="shared" si="16"/>
        <v>33282.160000000003</v>
      </c>
      <c r="K46" s="1678">
        <f t="shared" si="17"/>
        <v>6688.8</v>
      </c>
    </row>
    <row r="47" spans="1:11">
      <c r="A47" s="1680" t="s">
        <v>603</v>
      </c>
      <c r="B47" s="1684" t="s">
        <v>604</v>
      </c>
      <c r="C47" s="1685">
        <v>1</v>
      </c>
      <c r="D47" s="1685" t="s">
        <v>574</v>
      </c>
      <c r="E47" s="1689">
        <f>10000*IPC*crinv</f>
        <v>13984.1</v>
      </c>
      <c r="F47" s="1665">
        <f t="shared" si="15"/>
        <v>13984.1</v>
      </c>
      <c r="G47" s="1686">
        <f t="shared" si="11"/>
        <v>2810.42</v>
      </c>
      <c r="H47" s="1687">
        <f t="shared" si="12"/>
        <v>2656.98</v>
      </c>
      <c r="I47" s="1686">
        <f t="shared" si="13"/>
        <v>533.98</v>
      </c>
      <c r="J47" s="1672">
        <f t="shared" si="16"/>
        <v>16641.080000000002</v>
      </c>
      <c r="K47" s="1678">
        <f t="shared" si="17"/>
        <v>3344.4</v>
      </c>
    </row>
    <row r="48" spans="1:11">
      <c r="A48" s="1680" t="s">
        <v>605</v>
      </c>
      <c r="B48" s="1697" t="s">
        <v>1140</v>
      </c>
      <c r="C48" s="1685">
        <v>1</v>
      </c>
      <c r="D48" s="1685" t="s">
        <v>574</v>
      </c>
      <c r="E48" s="1689">
        <f>500000*IPC*crinv</f>
        <v>699205</v>
      </c>
      <c r="F48" s="1665">
        <f t="shared" si="15"/>
        <v>699205</v>
      </c>
      <c r="G48" s="1686">
        <f t="shared" si="11"/>
        <v>140521.12</v>
      </c>
      <c r="H48" s="1687">
        <f t="shared" si="12"/>
        <v>132848.95000000001</v>
      </c>
      <c r="I48" s="1686">
        <f t="shared" si="13"/>
        <v>26699.01</v>
      </c>
      <c r="J48" s="1672">
        <f t="shared" si="16"/>
        <v>832053.95</v>
      </c>
      <c r="K48" s="1678">
        <f t="shared" si="17"/>
        <v>167220.13</v>
      </c>
    </row>
    <row r="49" spans="1:11">
      <c r="A49" s="1680" t="s">
        <v>606</v>
      </c>
      <c r="B49" s="1684" t="s">
        <v>578</v>
      </c>
      <c r="C49" s="1674">
        <v>310</v>
      </c>
      <c r="D49" s="1674" t="s">
        <v>577</v>
      </c>
      <c r="E49" s="1683">
        <f>600*IPC*crinv</f>
        <v>839.04600000000005</v>
      </c>
      <c r="F49" s="1665">
        <f t="shared" si="15"/>
        <v>260104.26</v>
      </c>
      <c r="G49" s="1686">
        <f t="shared" si="11"/>
        <v>52273.86</v>
      </c>
      <c r="H49" s="1687">
        <f t="shared" si="12"/>
        <v>49419.81</v>
      </c>
      <c r="I49" s="1686">
        <f t="shared" si="13"/>
        <v>9932.0300000000007</v>
      </c>
      <c r="J49" s="1672">
        <f t="shared" si="16"/>
        <v>309524.07</v>
      </c>
      <c r="K49" s="1678">
        <f t="shared" si="17"/>
        <v>62205.89</v>
      </c>
    </row>
    <row r="50" spans="1:11">
      <c r="A50" s="1680" t="s">
        <v>607</v>
      </c>
      <c r="B50" s="1684" t="s">
        <v>608</v>
      </c>
      <c r="C50" s="1674">
        <f>290+400</f>
        <v>690</v>
      </c>
      <c r="D50" s="1674" t="s">
        <v>577</v>
      </c>
      <c r="E50" s="1683">
        <f>600*IPC*crinv</f>
        <v>839.04600000000005</v>
      </c>
      <c r="F50" s="1665">
        <f t="shared" si="15"/>
        <v>578941.74</v>
      </c>
      <c r="G50" s="1686">
        <f t="shared" si="11"/>
        <v>116351.49</v>
      </c>
      <c r="H50" s="1687">
        <f t="shared" si="12"/>
        <v>109998.93</v>
      </c>
      <c r="I50" s="1686">
        <f t="shared" si="13"/>
        <v>22106.78</v>
      </c>
      <c r="J50" s="1672">
        <f t="shared" si="16"/>
        <v>688940.67</v>
      </c>
      <c r="K50" s="1678">
        <f t="shared" si="17"/>
        <v>138458.26999999999</v>
      </c>
    </row>
    <row r="51" spans="1:11">
      <c r="A51" s="1680" t="s">
        <v>609</v>
      </c>
      <c r="B51" s="1684" t="s">
        <v>610</v>
      </c>
      <c r="C51" s="1674">
        <f>750+600</f>
        <v>1350</v>
      </c>
      <c r="D51" s="1674" t="s">
        <v>577</v>
      </c>
      <c r="E51" s="1683">
        <f>500*IPC*crinv</f>
        <v>699.20500000000004</v>
      </c>
      <c r="F51" s="1665">
        <f t="shared" si="15"/>
        <v>943926.75</v>
      </c>
      <c r="G51" s="1686">
        <f t="shared" si="11"/>
        <v>189703.52</v>
      </c>
      <c r="H51" s="1687">
        <f t="shared" si="12"/>
        <v>179346.08</v>
      </c>
      <c r="I51" s="1686">
        <f t="shared" si="13"/>
        <v>36043.67</v>
      </c>
      <c r="J51" s="1672">
        <f t="shared" si="16"/>
        <v>1123272.83</v>
      </c>
      <c r="K51" s="1678">
        <f t="shared" si="17"/>
        <v>225747.19</v>
      </c>
    </row>
    <row r="52" spans="1:11">
      <c r="A52" s="1680" t="s">
        <v>611</v>
      </c>
      <c r="B52" s="1684" t="s">
        <v>612</v>
      </c>
      <c r="C52" s="1674">
        <v>1</v>
      </c>
      <c r="D52" s="1674" t="s">
        <v>574</v>
      </c>
      <c r="E52" s="1683">
        <f>10000*IPC*crinv</f>
        <v>13984.1</v>
      </c>
      <c r="F52" s="1665">
        <f t="shared" si="15"/>
        <v>13984.1</v>
      </c>
      <c r="G52" s="1686">
        <f t="shared" si="11"/>
        <v>2810.42</v>
      </c>
      <c r="H52" s="1687">
        <f t="shared" si="12"/>
        <v>2656.98</v>
      </c>
      <c r="I52" s="1686">
        <f t="shared" si="13"/>
        <v>533.98</v>
      </c>
      <c r="J52" s="1672">
        <f t="shared" si="16"/>
        <v>16641.080000000002</v>
      </c>
      <c r="K52" s="1678">
        <f t="shared" si="17"/>
        <v>3344.4</v>
      </c>
    </row>
    <row r="53" spans="1:11">
      <c r="A53" s="1680" t="s">
        <v>613</v>
      </c>
      <c r="B53" s="1690" t="s">
        <v>614</v>
      </c>
      <c r="C53" s="1674">
        <v>1</v>
      </c>
      <c r="D53" s="1674" t="s">
        <v>574</v>
      </c>
      <c r="E53" s="1683">
        <f>400000*IPC*crinv</f>
        <v>559364</v>
      </c>
      <c r="F53" s="1665">
        <f t="shared" si="15"/>
        <v>559364</v>
      </c>
      <c r="G53" s="1686">
        <f t="shared" si="11"/>
        <v>112416.9</v>
      </c>
      <c r="H53" s="1687">
        <f t="shared" si="12"/>
        <v>106279.16</v>
      </c>
      <c r="I53" s="1686">
        <f t="shared" si="13"/>
        <v>21359.21</v>
      </c>
      <c r="J53" s="1672">
        <f t="shared" si="16"/>
        <v>665643.16</v>
      </c>
      <c r="K53" s="1678">
        <f t="shared" si="17"/>
        <v>133776.10999999999</v>
      </c>
    </row>
    <row r="54" spans="1:11">
      <c r="A54" s="1680" t="s">
        <v>615</v>
      </c>
      <c r="B54" s="1684" t="s">
        <v>616</v>
      </c>
      <c r="C54" s="1674">
        <v>1</v>
      </c>
      <c r="D54" s="1674" t="s">
        <v>574</v>
      </c>
      <c r="E54" s="1683">
        <f>50000*IPC*crinv</f>
        <v>69920.5</v>
      </c>
      <c r="F54" s="1665">
        <f t="shared" si="15"/>
        <v>69920.5</v>
      </c>
      <c r="G54" s="1686">
        <f t="shared" si="11"/>
        <v>14052.11</v>
      </c>
      <c r="H54" s="1687">
        <f t="shared" si="12"/>
        <v>13284.9</v>
      </c>
      <c r="I54" s="1686">
        <f t="shared" si="13"/>
        <v>2669.9</v>
      </c>
      <c r="J54" s="1672">
        <f t="shared" si="16"/>
        <v>83205.399999999994</v>
      </c>
      <c r="K54" s="1678">
        <f t="shared" si="17"/>
        <v>16722.009999999998</v>
      </c>
    </row>
    <row r="55" spans="1:11">
      <c r="A55" s="1680" t="s">
        <v>617</v>
      </c>
      <c r="B55" s="1691" t="s">
        <v>618</v>
      </c>
      <c r="C55" s="1674">
        <f>1200+200</f>
        <v>1400</v>
      </c>
      <c r="D55" s="1674" t="s">
        <v>577</v>
      </c>
      <c r="E55" s="1683">
        <f>500*IPC*crinv</f>
        <v>699.20500000000004</v>
      </c>
      <c r="F55" s="1665">
        <f t="shared" si="15"/>
        <v>978887</v>
      </c>
      <c r="G55" s="1686">
        <f t="shared" si="11"/>
        <v>196729.57</v>
      </c>
      <c r="H55" s="1687">
        <f t="shared" si="12"/>
        <v>185988.53</v>
      </c>
      <c r="I55" s="1686">
        <f t="shared" si="13"/>
        <v>37378.620000000003</v>
      </c>
      <c r="J55" s="1672">
        <f t="shared" si="16"/>
        <v>1164875.53</v>
      </c>
      <c r="K55" s="1678">
        <f t="shared" si="17"/>
        <v>234108.19</v>
      </c>
    </row>
    <row r="56" spans="1:11">
      <c r="A56" s="1680" t="s">
        <v>619</v>
      </c>
      <c r="B56" s="1691" t="s">
        <v>620</v>
      </c>
      <c r="C56" s="1674">
        <v>1</v>
      </c>
      <c r="D56" s="1692" t="s">
        <v>574</v>
      </c>
      <c r="E56" s="1693">
        <f>15000*IPC*crinv</f>
        <v>20976.15</v>
      </c>
      <c r="F56" s="1665">
        <f t="shared" si="15"/>
        <v>20976.15</v>
      </c>
      <c r="G56" s="1686">
        <f t="shared" si="11"/>
        <v>4215.63</v>
      </c>
      <c r="H56" s="1687">
        <f t="shared" si="12"/>
        <v>3985.47</v>
      </c>
      <c r="I56" s="1686">
        <f t="shared" si="13"/>
        <v>800.97</v>
      </c>
      <c r="J56" s="1672">
        <f t="shared" si="16"/>
        <v>24961.62</v>
      </c>
      <c r="K56" s="1678">
        <f t="shared" si="17"/>
        <v>5016.6000000000004</v>
      </c>
    </row>
    <row r="57" spans="1:11">
      <c r="A57" s="1680" t="s">
        <v>621</v>
      </c>
      <c r="B57" s="1691" t="s">
        <v>622</v>
      </c>
      <c r="C57" s="1692">
        <v>6</v>
      </c>
      <c r="D57" s="1692" t="s">
        <v>574</v>
      </c>
      <c r="E57" s="1693">
        <f>4000*IPC*crinv</f>
        <v>5593.64</v>
      </c>
      <c r="F57" s="1665">
        <f t="shared" si="15"/>
        <v>33561.839999999997</v>
      </c>
      <c r="G57" s="1686">
        <f t="shared" si="11"/>
        <v>6745.01</v>
      </c>
      <c r="H57" s="1687">
        <f t="shared" si="12"/>
        <v>6376.75</v>
      </c>
      <c r="I57" s="1686">
        <f t="shared" si="13"/>
        <v>1281.55</v>
      </c>
      <c r="J57" s="1672">
        <f t="shared" si="16"/>
        <v>39938.589999999997</v>
      </c>
      <c r="K57" s="1678">
        <f t="shared" si="17"/>
        <v>8026.56</v>
      </c>
    </row>
    <row r="58" spans="1:11">
      <c r="A58" s="1680" t="s">
        <v>623</v>
      </c>
      <c r="B58" s="1694" t="s">
        <v>624</v>
      </c>
      <c r="C58" s="1695">
        <v>1</v>
      </c>
      <c r="D58" s="1695" t="s">
        <v>574</v>
      </c>
      <c r="E58" s="1696">
        <f>15000*IPC*crinv</f>
        <v>20976.15</v>
      </c>
      <c r="F58" s="1665">
        <f t="shared" si="15"/>
        <v>20976.15</v>
      </c>
      <c r="G58" s="1686">
        <f t="shared" si="11"/>
        <v>4215.63</v>
      </c>
      <c r="H58" s="1687">
        <f t="shared" si="12"/>
        <v>3985.47</v>
      </c>
      <c r="I58" s="1686">
        <f t="shared" si="13"/>
        <v>800.97</v>
      </c>
      <c r="J58" s="1672">
        <f t="shared" si="16"/>
        <v>24961.62</v>
      </c>
      <c r="K58" s="1678">
        <f t="shared" si="17"/>
        <v>5016.6000000000004</v>
      </c>
    </row>
    <row r="59" spans="1:11">
      <c r="A59" s="1969" t="s">
        <v>163</v>
      </c>
      <c r="B59" s="1970"/>
      <c r="C59" s="609"/>
      <c r="D59" s="609"/>
      <c r="E59" s="609"/>
      <c r="F59" s="336">
        <f>SUM(F31:F58)</f>
        <v>20999223.765000001</v>
      </c>
      <c r="G59" s="942">
        <f t="shared" ref="G59:K59" si="18">SUM(G31:G58)</f>
        <v>4220270.84</v>
      </c>
      <c r="H59" s="336">
        <f t="shared" si="18"/>
        <v>3989852.54</v>
      </c>
      <c r="I59" s="942">
        <f t="shared" si="18"/>
        <v>801851.46</v>
      </c>
      <c r="J59" s="337">
        <f t="shared" si="18"/>
        <v>24989076.305</v>
      </c>
      <c r="K59" s="423">
        <f t="shared" si="18"/>
        <v>5022122.3</v>
      </c>
    </row>
    <row r="60" spans="1:11">
      <c r="A60" s="1971" t="s">
        <v>164</v>
      </c>
      <c r="B60" s="1972"/>
      <c r="C60" s="1972"/>
      <c r="D60" s="1972"/>
      <c r="E60" s="1972"/>
      <c r="F60" s="1972"/>
      <c r="G60" s="1972"/>
      <c r="H60" s="1972"/>
      <c r="I60" s="1972"/>
      <c r="J60" s="1972"/>
      <c r="K60" s="1973"/>
    </row>
    <row r="61" spans="1:11">
      <c r="A61" s="936" t="s">
        <v>549</v>
      </c>
      <c r="B61" s="983" t="s">
        <v>589</v>
      </c>
      <c r="C61" s="941">
        <v>1</v>
      </c>
      <c r="D61" s="713" t="s">
        <v>574</v>
      </c>
      <c r="E61" s="982">
        <f>SUM(E74*0.15)</f>
        <v>52440.375</v>
      </c>
      <c r="F61" s="321">
        <f>C61*E61</f>
        <v>52440.375</v>
      </c>
      <c r="G61" s="938">
        <f t="shared" ref="G61:G71" si="19">ROUND(F61/euro,2)</f>
        <v>10539.08</v>
      </c>
      <c r="H61" s="939">
        <f t="shared" ref="H61:H71" si="20">ROUND(F61*TVA,2)</f>
        <v>9963.67</v>
      </c>
      <c r="I61" s="938">
        <f t="shared" ref="I61:I70" si="21">ROUND(H61/euro,2)</f>
        <v>2002.43</v>
      </c>
      <c r="J61" s="321">
        <f>F61+H61</f>
        <v>62404.044999999998</v>
      </c>
      <c r="K61" s="421">
        <f>G61+I61</f>
        <v>12541.51</v>
      </c>
    </row>
    <row r="62" spans="1:11">
      <c r="A62" s="936" t="s">
        <v>551</v>
      </c>
      <c r="B62" s="983" t="s">
        <v>625</v>
      </c>
      <c r="C62" s="941">
        <v>1</v>
      </c>
      <c r="D62" s="713" t="s">
        <v>574</v>
      </c>
      <c r="E62" s="982">
        <f>30000*IPC*crinv</f>
        <v>41952.3</v>
      </c>
      <c r="F62" s="321">
        <f>C62*E62</f>
        <v>41952.3</v>
      </c>
      <c r="G62" s="938">
        <f t="shared" si="19"/>
        <v>8431.27</v>
      </c>
      <c r="H62" s="939">
        <f t="shared" si="20"/>
        <v>7970.94</v>
      </c>
      <c r="I62" s="938">
        <f t="shared" si="21"/>
        <v>1601.94</v>
      </c>
      <c r="J62" s="321">
        <f>F62+H62</f>
        <v>49923.24</v>
      </c>
      <c r="K62" s="421">
        <f>G62+I62</f>
        <v>10033.209999999999</v>
      </c>
    </row>
    <row r="63" spans="1:11">
      <c r="A63" s="936" t="s">
        <v>553</v>
      </c>
      <c r="B63" s="937" t="s">
        <v>604</v>
      </c>
      <c r="C63" s="941">
        <v>1</v>
      </c>
      <c r="D63" s="713" t="s">
        <v>574</v>
      </c>
      <c r="E63" s="982">
        <f>SUM(E76*0.15)</f>
        <v>188785.35</v>
      </c>
      <c r="F63" s="321">
        <f t="shared" ref="F63:F71" si="22">C63*E63</f>
        <v>188785.35</v>
      </c>
      <c r="G63" s="938">
        <f t="shared" si="19"/>
        <v>37940.699999999997</v>
      </c>
      <c r="H63" s="939">
        <f t="shared" si="20"/>
        <v>35869.22</v>
      </c>
      <c r="I63" s="938">
        <f t="shared" si="21"/>
        <v>7208.73</v>
      </c>
      <c r="J63" s="321">
        <f t="shared" ref="J63:J71" si="23">F63+H63</f>
        <v>224654.57</v>
      </c>
      <c r="K63" s="421">
        <f t="shared" ref="K63:K71" si="24">G63+I63</f>
        <v>45149.43</v>
      </c>
    </row>
    <row r="64" spans="1:11">
      <c r="A64" s="936" t="s">
        <v>555</v>
      </c>
      <c r="B64" s="1698" t="s">
        <v>1141</v>
      </c>
      <c r="C64" s="941">
        <v>1</v>
      </c>
      <c r="D64" s="713" t="s">
        <v>574</v>
      </c>
      <c r="E64" s="982">
        <f>SUM(E77*0.15)</f>
        <v>734165.25</v>
      </c>
      <c r="F64" s="321">
        <f t="shared" si="22"/>
        <v>734165.25</v>
      </c>
      <c r="G64" s="938">
        <f t="shared" si="19"/>
        <v>147547.18</v>
      </c>
      <c r="H64" s="939">
        <f t="shared" si="20"/>
        <v>139491.4</v>
      </c>
      <c r="I64" s="938">
        <f t="shared" si="21"/>
        <v>28033.96</v>
      </c>
      <c r="J64" s="321">
        <f t="shared" si="23"/>
        <v>873656.65</v>
      </c>
      <c r="K64" s="421">
        <f t="shared" si="24"/>
        <v>175581.14</v>
      </c>
    </row>
    <row r="65" spans="1:11">
      <c r="A65" s="936" t="s">
        <v>572</v>
      </c>
      <c r="B65" s="937" t="s">
        <v>626</v>
      </c>
      <c r="C65" s="941">
        <v>1</v>
      </c>
      <c r="D65" s="713" t="s">
        <v>574</v>
      </c>
      <c r="E65" s="982">
        <f>SUM(E78*0.15)</f>
        <v>62928.45</v>
      </c>
      <c r="F65" s="321">
        <f t="shared" si="22"/>
        <v>62928.45</v>
      </c>
      <c r="G65" s="938">
        <f t="shared" si="19"/>
        <v>12646.9</v>
      </c>
      <c r="H65" s="939">
        <f t="shared" si="20"/>
        <v>11956.41</v>
      </c>
      <c r="I65" s="938">
        <f t="shared" si="21"/>
        <v>2402.91</v>
      </c>
      <c r="J65" s="321">
        <f t="shared" si="23"/>
        <v>74884.86</v>
      </c>
      <c r="K65" s="421">
        <f t="shared" si="24"/>
        <v>15049.81</v>
      </c>
    </row>
    <row r="66" spans="1:11">
      <c r="A66" s="936" t="s">
        <v>591</v>
      </c>
      <c r="B66" s="984" t="s">
        <v>614</v>
      </c>
      <c r="C66" s="1004">
        <v>1</v>
      </c>
      <c r="D66" s="713" t="s">
        <v>574</v>
      </c>
      <c r="E66" s="982">
        <f t="shared" ref="E66:E71" si="25">SUM(E79*0.15)</f>
        <v>58733.22</v>
      </c>
      <c r="F66" s="321">
        <f t="shared" si="22"/>
        <v>58733.22</v>
      </c>
      <c r="G66" s="938">
        <f t="shared" si="19"/>
        <v>11803.77</v>
      </c>
      <c r="H66" s="939">
        <f t="shared" si="20"/>
        <v>11159.31</v>
      </c>
      <c r="I66" s="938">
        <f t="shared" si="21"/>
        <v>2242.7199999999998</v>
      </c>
      <c r="J66" s="321">
        <f t="shared" si="23"/>
        <v>69892.53</v>
      </c>
      <c r="K66" s="421">
        <f t="shared" si="24"/>
        <v>14046.49</v>
      </c>
    </row>
    <row r="67" spans="1:11">
      <c r="A67" s="936" t="s">
        <v>593</v>
      </c>
      <c r="B67" s="1006" t="s">
        <v>598</v>
      </c>
      <c r="C67" s="1004">
        <v>1</v>
      </c>
      <c r="D67" s="713" t="s">
        <v>574</v>
      </c>
      <c r="E67" s="982">
        <f t="shared" si="25"/>
        <v>10488.075000000001</v>
      </c>
      <c r="F67" s="321">
        <f t="shared" si="22"/>
        <v>10488.075000000001</v>
      </c>
      <c r="G67" s="938">
        <f t="shared" si="19"/>
        <v>2107.8200000000002</v>
      </c>
      <c r="H67" s="939">
        <f t="shared" si="20"/>
        <v>1992.73</v>
      </c>
      <c r="I67" s="938">
        <f t="shared" si="21"/>
        <v>400.48</v>
      </c>
      <c r="J67" s="321">
        <f t="shared" si="23"/>
        <v>12480.805</v>
      </c>
      <c r="K67" s="421">
        <f t="shared" si="24"/>
        <v>2508.3000000000002</v>
      </c>
    </row>
    <row r="68" spans="1:11">
      <c r="A68" s="936" t="s">
        <v>595</v>
      </c>
      <c r="B68" s="937" t="s">
        <v>616</v>
      </c>
      <c r="C68" s="713">
        <v>1</v>
      </c>
      <c r="D68" s="713" t="s">
        <v>574</v>
      </c>
      <c r="E68" s="982">
        <f t="shared" si="25"/>
        <v>41952.3</v>
      </c>
      <c r="F68" s="321">
        <f t="shared" si="22"/>
        <v>41952.3</v>
      </c>
      <c r="G68" s="938">
        <f t="shared" si="19"/>
        <v>8431.27</v>
      </c>
      <c r="H68" s="939">
        <f t="shared" si="20"/>
        <v>7970.94</v>
      </c>
      <c r="I68" s="938">
        <f t="shared" si="21"/>
        <v>1601.94</v>
      </c>
      <c r="J68" s="321">
        <f t="shared" si="23"/>
        <v>49923.24</v>
      </c>
      <c r="K68" s="421">
        <f t="shared" si="24"/>
        <v>10033.209999999999</v>
      </c>
    </row>
    <row r="69" spans="1:11">
      <c r="A69" s="936" t="s">
        <v>597</v>
      </c>
      <c r="B69" s="1008" t="s">
        <v>627</v>
      </c>
      <c r="C69" s="713">
        <v>1</v>
      </c>
      <c r="D69" s="713" t="s">
        <v>574</v>
      </c>
      <c r="E69" s="982">
        <f t="shared" si="25"/>
        <v>10488.075000000001</v>
      </c>
      <c r="F69" s="321">
        <f t="shared" si="22"/>
        <v>10488.075000000001</v>
      </c>
      <c r="G69" s="938">
        <f t="shared" si="19"/>
        <v>2107.8200000000002</v>
      </c>
      <c r="H69" s="939">
        <f t="shared" si="20"/>
        <v>1992.73</v>
      </c>
      <c r="I69" s="938">
        <f t="shared" si="21"/>
        <v>400.48</v>
      </c>
      <c r="J69" s="321">
        <f t="shared" si="23"/>
        <v>12480.805</v>
      </c>
      <c r="K69" s="421">
        <f t="shared" si="24"/>
        <v>2508.3000000000002</v>
      </c>
    </row>
    <row r="70" spans="1:11">
      <c r="A70" s="936" t="s">
        <v>599</v>
      </c>
      <c r="B70" s="1007" t="s">
        <v>618</v>
      </c>
      <c r="C70" s="717">
        <v>1</v>
      </c>
      <c r="D70" s="713" t="s">
        <v>574</v>
      </c>
      <c r="E70" s="982">
        <f t="shared" si="25"/>
        <v>2097.6149999999998</v>
      </c>
      <c r="F70" s="321">
        <f t="shared" si="22"/>
        <v>2097.6149999999998</v>
      </c>
      <c r="G70" s="938">
        <f t="shared" si="19"/>
        <v>421.56</v>
      </c>
      <c r="H70" s="939">
        <f t="shared" si="20"/>
        <v>398.55</v>
      </c>
      <c r="I70" s="938">
        <f t="shared" si="21"/>
        <v>80.099999999999994</v>
      </c>
      <c r="J70" s="321">
        <f t="shared" si="23"/>
        <v>2496.165</v>
      </c>
      <c r="K70" s="421">
        <f t="shared" si="24"/>
        <v>501.66</v>
      </c>
    </row>
    <row r="71" spans="1:11">
      <c r="A71" s="936" t="s">
        <v>601</v>
      </c>
      <c r="B71" s="1006" t="s">
        <v>628</v>
      </c>
      <c r="C71" s="1009">
        <v>1</v>
      </c>
      <c r="D71" s="713" t="s">
        <v>574</v>
      </c>
      <c r="E71" s="982">
        <f t="shared" si="25"/>
        <v>104880.75</v>
      </c>
      <c r="F71" s="321">
        <f t="shared" si="22"/>
        <v>104880.75</v>
      </c>
      <c r="G71" s="938">
        <f t="shared" si="19"/>
        <v>21078.17</v>
      </c>
      <c r="H71" s="939">
        <f t="shared" si="20"/>
        <v>19927.34</v>
      </c>
      <c r="I71" s="938">
        <f>ROUNDUP(H71/euro,2)</f>
        <v>4004.86</v>
      </c>
      <c r="J71" s="321">
        <f t="shared" si="23"/>
        <v>124808.09</v>
      </c>
      <c r="K71" s="421">
        <f t="shared" si="24"/>
        <v>25083.03</v>
      </c>
    </row>
    <row r="72" spans="1:11" ht="12" customHeight="1">
      <c r="A72" s="1969" t="s">
        <v>166</v>
      </c>
      <c r="B72" s="1970"/>
      <c r="C72" s="609"/>
      <c r="D72" s="609"/>
      <c r="E72" s="609"/>
      <c r="F72" s="396">
        <f>SUM(F61:F71)</f>
        <v>1308911.76</v>
      </c>
      <c r="G72" s="942">
        <f t="shared" ref="G72:K72" si="26">SUM(G61:G71)</f>
        <v>263055.53999999998</v>
      </c>
      <c r="H72" s="396">
        <f t="shared" si="26"/>
        <v>248693.24</v>
      </c>
      <c r="I72" s="942">
        <f>ROUNDUP(SUM(I61:I71),2)</f>
        <v>49980.55</v>
      </c>
      <c r="J72" s="337">
        <f t="shared" si="26"/>
        <v>1557605</v>
      </c>
      <c r="K72" s="423">
        <f t="shared" si="26"/>
        <v>313036.09000000003</v>
      </c>
    </row>
    <row r="73" spans="1:11">
      <c r="A73" s="1959" t="s">
        <v>167</v>
      </c>
      <c r="B73" s="1960"/>
      <c r="C73" s="1960"/>
      <c r="D73" s="1960"/>
      <c r="E73" s="1960"/>
      <c r="F73" s="1960"/>
      <c r="G73" s="1960"/>
      <c r="H73" s="1960"/>
      <c r="I73" s="1960"/>
      <c r="J73" s="1960"/>
      <c r="K73" s="1961"/>
    </row>
    <row r="74" spans="1:11">
      <c r="A74" s="1010" t="s">
        <v>549</v>
      </c>
      <c r="B74" s="1011" t="s">
        <v>589</v>
      </c>
      <c r="C74" s="1012">
        <v>1</v>
      </c>
      <c r="D74" s="1012" t="s">
        <v>574</v>
      </c>
      <c r="E74" s="990">
        <f>250000*IPC*crinv</f>
        <v>349602.5</v>
      </c>
      <c r="F74" s="943">
        <f>C74*E74</f>
        <v>349602.5</v>
      </c>
      <c r="G74" s="992">
        <f t="shared" ref="G74:G84" si="27">ROUND(F74/euro,2)</f>
        <v>70260.56</v>
      </c>
      <c r="H74" s="993">
        <f t="shared" ref="H74:H84" si="28">ROUND(F74*TVA,2)</f>
        <v>66424.479999999996</v>
      </c>
      <c r="I74" s="992">
        <f t="shared" ref="I74:I84" si="29">ROUND(H74/euro,2)</f>
        <v>13349.51</v>
      </c>
      <c r="J74" s="359">
        <f>F74+H74</f>
        <v>416026.98</v>
      </c>
      <c r="K74" s="429">
        <f>G74+I74</f>
        <v>83610.070000000007</v>
      </c>
    </row>
    <row r="75" spans="1:11">
      <c r="A75" s="936" t="s">
        <v>551</v>
      </c>
      <c r="B75" s="983" t="s">
        <v>625</v>
      </c>
      <c r="C75" s="1005">
        <v>1</v>
      </c>
      <c r="D75" s="713" t="s">
        <v>574</v>
      </c>
      <c r="E75" s="982">
        <f>600000*IPC*crinv</f>
        <v>839046</v>
      </c>
      <c r="F75" s="320">
        <f>C75*E75</f>
        <v>839046</v>
      </c>
      <c r="G75" s="938">
        <f t="shared" si="27"/>
        <v>168625.35</v>
      </c>
      <c r="H75" s="939">
        <f t="shared" si="28"/>
        <v>159418.74</v>
      </c>
      <c r="I75" s="938">
        <f t="shared" si="29"/>
        <v>32038.82</v>
      </c>
      <c r="J75" s="321">
        <f>F75+H75</f>
        <v>998464.74</v>
      </c>
      <c r="K75" s="421">
        <f>G75+I75</f>
        <v>200664.17</v>
      </c>
    </row>
    <row r="76" spans="1:11">
      <c r="A76" s="936" t="s">
        <v>553</v>
      </c>
      <c r="B76" s="937" t="s">
        <v>604</v>
      </c>
      <c r="C76" s="713">
        <v>1</v>
      </c>
      <c r="D76" s="713" t="s">
        <v>574</v>
      </c>
      <c r="E76" s="996">
        <f>900000*IPC*crinv</f>
        <v>1258569</v>
      </c>
      <c r="F76" s="320">
        <f t="shared" ref="F76:F84" si="30">C76*E76</f>
        <v>1258569</v>
      </c>
      <c r="G76" s="938">
        <f t="shared" si="27"/>
        <v>252938.02</v>
      </c>
      <c r="H76" s="939">
        <f t="shared" si="28"/>
        <v>239128.11</v>
      </c>
      <c r="I76" s="938">
        <f t="shared" si="29"/>
        <v>48058.22</v>
      </c>
      <c r="J76" s="321">
        <f t="shared" ref="J76:J84" si="31">F76+H76</f>
        <v>1497697.11</v>
      </c>
      <c r="K76" s="421">
        <f t="shared" ref="K76:K84" si="32">G76+I76</f>
        <v>300996.24</v>
      </c>
    </row>
    <row r="77" spans="1:11">
      <c r="A77" s="936" t="s">
        <v>555</v>
      </c>
      <c r="B77" s="1698" t="s">
        <v>1141</v>
      </c>
      <c r="C77" s="1005">
        <v>1</v>
      </c>
      <c r="D77" s="713" t="s">
        <v>574</v>
      </c>
      <c r="E77" s="979">
        <f>3500000*IPC*crinv</f>
        <v>4894435</v>
      </c>
      <c r="F77" s="320">
        <f t="shared" si="30"/>
        <v>4894435</v>
      </c>
      <c r="G77" s="938">
        <f t="shared" si="27"/>
        <v>983647.86</v>
      </c>
      <c r="H77" s="939">
        <f t="shared" si="28"/>
        <v>929942.65</v>
      </c>
      <c r="I77" s="938">
        <f t="shared" si="29"/>
        <v>186893.09</v>
      </c>
      <c r="J77" s="321">
        <f t="shared" si="31"/>
        <v>5824377.6500000004</v>
      </c>
      <c r="K77" s="421">
        <f t="shared" si="32"/>
        <v>1170540.95</v>
      </c>
    </row>
    <row r="78" spans="1:11">
      <c r="A78" s="936" t="s">
        <v>572</v>
      </c>
      <c r="B78" s="937" t="s">
        <v>626</v>
      </c>
      <c r="C78" s="1005">
        <v>1</v>
      </c>
      <c r="D78" s="713" t="s">
        <v>574</v>
      </c>
      <c r="E78" s="982">
        <f>300000*IPC*crinv</f>
        <v>419523</v>
      </c>
      <c r="F78" s="320">
        <f t="shared" si="30"/>
        <v>419523</v>
      </c>
      <c r="G78" s="938">
        <f t="shared" si="27"/>
        <v>84312.67</v>
      </c>
      <c r="H78" s="939">
        <f t="shared" si="28"/>
        <v>79709.37</v>
      </c>
      <c r="I78" s="938">
        <f t="shared" si="29"/>
        <v>16019.41</v>
      </c>
      <c r="J78" s="321">
        <f t="shared" si="31"/>
        <v>499232.37</v>
      </c>
      <c r="K78" s="421">
        <f t="shared" si="32"/>
        <v>100332.08</v>
      </c>
    </row>
    <row r="79" spans="1:11">
      <c r="A79" s="936" t="s">
        <v>591</v>
      </c>
      <c r="B79" s="984" t="s">
        <v>614</v>
      </c>
      <c r="C79" s="1005">
        <v>1</v>
      </c>
      <c r="D79" s="713" t="s">
        <v>574</v>
      </c>
      <c r="E79" s="982">
        <f>280000*IPC*crinv</f>
        <v>391554.8</v>
      </c>
      <c r="F79" s="320">
        <f t="shared" si="30"/>
        <v>391554.8</v>
      </c>
      <c r="G79" s="938">
        <f t="shared" si="27"/>
        <v>78691.83</v>
      </c>
      <c r="H79" s="939">
        <f t="shared" si="28"/>
        <v>74395.41</v>
      </c>
      <c r="I79" s="938">
        <f t="shared" si="29"/>
        <v>14951.45</v>
      </c>
      <c r="J79" s="321">
        <f t="shared" si="31"/>
        <v>465950.21</v>
      </c>
      <c r="K79" s="421">
        <f t="shared" si="32"/>
        <v>93643.28</v>
      </c>
    </row>
    <row r="80" spans="1:11">
      <c r="A80" s="936" t="s">
        <v>593</v>
      </c>
      <c r="B80" s="1006" t="s">
        <v>598</v>
      </c>
      <c r="C80" s="1005">
        <v>1</v>
      </c>
      <c r="D80" s="713" t="s">
        <v>574</v>
      </c>
      <c r="E80" s="978">
        <f>50000*IPC*crinv</f>
        <v>69920.5</v>
      </c>
      <c r="F80" s="320">
        <f t="shared" si="30"/>
        <v>69920.5</v>
      </c>
      <c r="G80" s="938">
        <f t="shared" si="27"/>
        <v>14052.11</v>
      </c>
      <c r="H80" s="939">
        <f t="shared" si="28"/>
        <v>13284.9</v>
      </c>
      <c r="I80" s="938">
        <f t="shared" si="29"/>
        <v>2669.9</v>
      </c>
      <c r="J80" s="321">
        <f t="shared" si="31"/>
        <v>83205.399999999994</v>
      </c>
      <c r="K80" s="421">
        <f t="shared" si="32"/>
        <v>16722.009999999998</v>
      </c>
    </row>
    <row r="81" spans="1:14">
      <c r="A81" s="936" t="s">
        <v>595</v>
      </c>
      <c r="B81" s="937" t="s">
        <v>616</v>
      </c>
      <c r="C81" s="1005">
        <v>1</v>
      </c>
      <c r="D81" s="713" t="s">
        <v>574</v>
      </c>
      <c r="E81" s="978">
        <f>200000*IPC*crinv</f>
        <v>279682</v>
      </c>
      <c r="F81" s="320">
        <f t="shared" si="30"/>
        <v>279682</v>
      </c>
      <c r="G81" s="938">
        <f t="shared" si="27"/>
        <v>56208.45</v>
      </c>
      <c r="H81" s="939">
        <f t="shared" si="28"/>
        <v>53139.58</v>
      </c>
      <c r="I81" s="938">
        <f t="shared" si="29"/>
        <v>10679.61</v>
      </c>
      <c r="J81" s="321">
        <f t="shared" si="31"/>
        <v>332821.58</v>
      </c>
      <c r="K81" s="421">
        <f t="shared" si="32"/>
        <v>66888.06</v>
      </c>
    </row>
    <row r="82" spans="1:14">
      <c r="A82" s="936" t="s">
        <v>597</v>
      </c>
      <c r="B82" s="1008" t="s">
        <v>629</v>
      </c>
      <c r="C82" s="1005">
        <v>1</v>
      </c>
      <c r="D82" s="713" t="s">
        <v>574</v>
      </c>
      <c r="E82" s="978">
        <f>50000*IPC*crinv</f>
        <v>69920.5</v>
      </c>
      <c r="F82" s="320">
        <f t="shared" si="30"/>
        <v>69920.5</v>
      </c>
      <c r="G82" s="938">
        <f t="shared" si="27"/>
        <v>14052.11</v>
      </c>
      <c r="H82" s="939">
        <f t="shared" si="28"/>
        <v>13284.9</v>
      </c>
      <c r="I82" s="938">
        <f t="shared" si="29"/>
        <v>2669.9</v>
      </c>
      <c r="J82" s="321">
        <f t="shared" si="31"/>
        <v>83205.399999999994</v>
      </c>
      <c r="K82" s="421">
        <f t="shared" si="32"/>
        <v>16722.009999999998</v>
      </c>
    </row>
    <row r="83" spans="1:14">
      <c r="A83" s="936" t="s">
        <v>599</v>
      </c>
      <c r="B83" s="1007" t="s">
        <v>618</v>
      </c>
      <c r="C83" s="1005">
        <v>1</v>
      </c>
      <c r="D83" s="713" t="s">
        <v>574</v>
      </c>
      <c r="E83" s="978">
        <f>10000*IPC*crinv</f>
        <v>13984.1</v>
      </c>
      <c r="F83" s="320">
        <f t="shared" si="30"/>
        <v>13984.1</v>
      </c>
      <c r="G83" s="938">
        <f t="shared" si="27"/>
        <v>2810.42</v>
      </c>
      <c r="H83" s="939">
        <f t="shared" si="28"/>
        <v>2656.98</v>
      </c>
      <c r="I83" s="938">
        <f t="shared" si="29"/>
        <v>533.98</v>
      </c>
      <c r="J83" s="321">
        <f t="shared" si="31"/>
        <v>16641.080000000002</v>
      </c>
      <c r="K83" s="421">
        <f t="shared" si="32"/>
        <v>3344.4</v>
      </c>
    </row>
    <row r="84" spans="1:14">
      <c r="A84" s="936" t="s">
        <v>601</v>
      </c>
      <c r="B84" s="1006" t="s">
        <v>628</v>
      </c>
      <c r="C84" s="1005">
        <v>1</v>
      </c>
      <c r="D84" s="713" t="s">
        <v>574</v>
      </c>
      <c r="E84" s="978">
        <f>500000*IPC*crinv</f>
        <v>699205</v>
      </c>
      <c r="F84" s="320">
        <f t="shared" si="30"/>
        <v>699205</v>
      </c>
      <c r="G84" s="938">
        <f t="shared" si="27"/>
        <v>140521.12</v>
      </c>
      <c r="H84" s="939">
        <f t="shared" si="28"/>
        <v>132848.95000000001</v>
      </c>
      <c r="I84" s="938">
        <f t="shared" si="29"/>
        <v>26699.01</v>
      </c>
      <c r="J84" s="321">
        <f t="shared" si="31"/>
        <v>832053.95</v>
      </c>
      <c r="K84" s="421">
        <f t="shared" si="32"/>
        <v>167220.13</v>
      </c>
    </row>
    <row r="85" spans="1:14" ht="12.75" customHeight="1">
      <c r="A85" s="2003" t="s">
        <v>169</v>
      </c>
      <c r="B85" s="2004"/>
      <c r="C85" s="1013"/>
      <c r="D85" s="1013"/>
      <c r="E85" s="1013"/>
      <c r="F85" s="388">
        <f>SUM(F74:F84)</f>
        <v>9285442.4000000004</v>
      </c>
      <c r="G85" s="1014">
        <f t="shared" ref="G85:K85" si="33">SUM(G74:G84)</f>
        <v>1866120.5</v>
      </c>
      <c r="H85" s="388">
        <f t="shared" si="33"/>
        <v>1764234.07</v>
      </c>
      <c r="I85" s="1014">
        <f t="shared" si="33"/>
        <v>354562.9</v>
      </c>
      <c r="J85" s="379">
        <f t="shared" si="33"/>
        <v>11049676.470000001</v>
      </c>
      <c r="K85" s="431">
        <f t="shared" si="33"/>
        <v>2220683.4</v>
      </c>
    </row>
    <row r="86" spans="1:14" ht="12.75" customHeight="1">
      <c r="A86" s="1996" t="s">
        <v>170</v>
      </c>
      <c r="B86" s="1997"/>
      <c r="C86" s="1997"/>
      <c r="D86" s="1997"/>
      <c r="E86" s="1997"/>
      <c r="F86" s="1997"/>
      <c r="G86" s="1997"/>
      <c r="H86" s="1997"/>
      <c r="I86" s="1997"/>
      <c r="J86" s="1997"/>
      <c r="K86" s="1998"/>
    </row>
    <row r="87" spans="1:14" ht="12.75" customHeight="1">
      <c r="A87" s="616">
        <v>1</v>
      </c>
      <c r="B87" s="1015" t="s">
        <v>630</v>
      </c>
      <c r="C87" s="1016">
        <v>1</v>
      </c>
      <c r="D87" s="1016" t="s">
        <v>574</v>
      </c>
      <c r="E87" s="998">
        <f>830000*IPC*crinv</f>
        <v>1160680.3</v>
      </c>
      <c r="F87" s="943">
        <f>C87*E87</f>
        <v>1160680.3</v>
      </c>
      <c r="G87" s="938">
        <f>ROUND(F87/euro,2)</f>
        <v>233265.06</v>
      </c>
      <c r="H87" s="939">
        <f>ROUND(F87*TVA,2)</f>
        <v>220529.26</v>
      </c>
      <c r="I87" s="938">
        <f>ROUND(H87/euro,2)</f>
        <v>44320.36</v>
      </c>
      <c r="J87" s="321">
        <f t="shared" ref="J87:K88" si="34">F87+H87</f>
        <v>1381209.56</v>
      </c>
      <c r="K87" s="421">
        <f t="shared" si="34"/>
        <v>277585.42</v>
      </c>
      <c r="L87" s="692" t="s">
        <v>631</v>
      </c>
      <c r="N87" s="598">
        <f>155000*euro</f>
        <v>771249</v>
      </c>
    </row>
    <row r="88" spans="1:14" ht="12.75" customHeight="1">
      <c r="A88" s="763">
        <v>2</v>
      </c>
      <c r="B88" s="945" t="s">
        <v>632</v>
      </c>
      <c r="C88" s="717">
        <v>3</v>
      </c>
      <c r="D88" s="713" t="s">
        <v>574</v>
      </c>
      <c r="E88" s="1017">
        <f>50000*IPC*crinv</f>
        <v>69920.5</v>
      </c>
      <c r="F88" s="320">
        <f>C88*E88</f>
        <v>209761.5</v>
      </c>
      <c r="G88" s="938">
        <f>ROUND(F88/euro,2)</f>
        <v>42156.34</v>
      </c>
      <c r="H88" s="939">
        <f>ROUND(F88*TVA,2)</f>
        <v>39854.69</v>
      </c>
      <c r="I88" s="938">
        <f>ROUND(H88/euro,2)</f>
        <v>8009.7</v>
      </c>
      <c r="J88" s="321">
        <f t="shared" si="34"/>
        <v>249616.19</v>
      </c>
      <c r="K88" s="421">
        <f t="shared" si="34"/>
        <v>50166.04</v>
      </c>
      <c r="L88" s="598" t="s">
        <v>633</v>
      </c>
      <c r="N88" s="598">
        <f>7500*euro</f>
        <v>37318.5</v>
      </c>
    </row>
    <row r="89" spans="1:14" ht="12.75" customHeight="1">
      <c r="A89" s="763">
        <v>3</v>
      </c>
      <c r="B89" s="945" t="s">
        <v>634</v>
      </c>
      <c r="C89" s="717">
        <v>1</v>
      </c>
      <c r="D89" s="713" t="s">
        <v>574</v>
      </c>
      <c r="E89" s="1017">
        <f>700000*IPC*crinv</f>
        <v>978887</v>
      </c>
      <c r="F89" s="320">
        <f>C89*E89</f>
        <v>978887</v>
      </c>
      <c r="G89" s="938">
        <f>ROUND(F89/euro,2)</f>
        <v>196729.57</v>
      </c>
      <c r="H89" s="939">
        <f>ROUND(F89*TVA,2)</f>
        <v>185988.53</v>
      </c>
      <c r="I89" s="938">
        <f>ROUND(H89/euro,2)</f>
        <v>37378.620000000003</v>
      </c>
      <c r="J89" s="321">
        <f>F89+H89</f>
        <v>1164875.53</v>
      </c>
      <c r="K89" s="421">
        <f>G89+I89</f>
        <v>234108.19</v>
      </c>
    </row>
    <row r="90" spans="1:14" ht="12.75" customHeight="1">
      <c r="A90" s="763">
        <v>4</v>
      </c>
      <c r="B90" s="945" t="s">
        <v>635</v>
      </c>
      <c r="C90" s="717">
        <v>1</v>
      </c>
      <c r="D90" s="713" t="s">
        <v>574</v>
      </c>
      <c r="E90" s="946">
        <f>1000000*IPC*crinv</f>
        <v>1398410</v>
      </c>
      <c r="F90" s="320">
        <f>C90*E90</f>
        <v>1398410</v>
      </c>
      <c r="G90" s="938">
        <f>ROUND(F90/euro,2)</f>
        <v>281042.24</v>
      </c>
      <c r="H90" s="939">
        <f>ROUND(F90*TVA,2)</f>
        <v>265697.90000000002</v>
      </c>
      <c r="I90" s="938">
        <f>ROUND(H90/euro,2)</f>
        <v>53398.03</v>
      </c>
      <c r="J90" s="321">
        <f>F90+H90</f>
        <v>1664107.9</v>
      </c>
      <c r="K90" s="421">
        <f>G90+I90</f>
        <v>334440.27</v>
      </c>
    </row>
    <row r="91" spans="1:14" ht="12.75" customHeight="1">
      <c r="A91" s="1969" t="s">
        <v>174</v>
      </c>
      <c r="B91" s="1970"/>
      <c r="C91" s="609"/>
      <c r="D91" s="609"/>
      <c r="E91" s="609"/>
      <c r="F91" s="396">
        <f>SUM(F87:F90)</f>
        <v>3747738.8</v>
      </c>
      <c r="G91" s="942">
        <f t="shared" ref="G91:K91" si="35">SUM(G87:G90)</f>
        <v>753193.21</v>
      </c>
      <c r="H91" s="396">
        <f t="shared" si="35"/>
        <v>712070.38</v>
      </c>
      <c r="I91" s="942">
        <f t="shared" si="35"/>
        <v>143106.71</v>
      </c>
      <c r="J91" s="337">
        <f t="shared" si="35"/>
        <v>4459809.18</v>
      </c>
      <c r="K91" s="423">
        <f t="shared" si="35"/>
        <v>896299.92</v>
      </c>
    </row>
    <row r="92" spans="1:14">
      <c r="A92" s="1992" t="s">
        <v>175</v>
      </c>
      <c r="B92" s="1993"/>
      <c r="C92" s="1993"/>
      <c r="D92" s="1993"/>
      <c r="E92" s="1993"/>
      <c r="F92" s="1993"/>
      <c r="G92" s="1993"/>
      <c r="H92" s="1993"/>
      <c r="I92" s="1993"/>
      <c r="J92" s="1993"/>
      <c r="K92" s="1994"/>
    </row>
    <row r="93" spans="1:14">
      <c r="A93" s="948">
        <v>1</v>
      </c>
      <c r="B93" s="949" t="s">
        <v>636</v>
      </c>
      <c r="C93" s="618">
        <v>1</v>
      </c>
      <c r="D93" s="618" t="s">
        <v>574</v>
      </c>
      <c r="E93" s="618">
        <f>10000*IPC*crinv</f>
        <v>13984.1</v>
      </c>
      <c r="F93" s="943">
        <f>C93*E93</f>
        <v>13984.1</v>
      </c>
      <c r="G93" s="938">
        <f>ROUND(F93/euro,2)</f>
        <v>2810.42</v>
      </c>
      <c r="H93" s="947">
        <f>ROUND(F93*TVA,2)</f>
        <v>2656.98</v>
      </c>
      <c r="I93" s="938">
        <f>ROUND(H93/euro,2)</f>
        <v>533.98</v>
      </c>
      <c r="J93" s="972">
        <f>F93+H93</f>
        <v>16641.080000000002</v>
      </c>
      <c r="K93" s="973">
        <f>G93+I93</f>
        <v>3344.4</v>
      </c>
    </row>
    <row r="94" spans="1:14" ht="14.25" customHeight="1">
      <c r="A94" s="1969" t="s">
        <v>181</v>
      </c>
      <c r="B94" s="1995"/>
      <c r="C94" s="950"/>
      <c r="D94" s="950"/>
      <c r="E94" s="950"/>
      <c r="F94" s="396">
        <f>SUM(F93:F93)</f>
        <v>13984.1</v>
      </c>
      <c r="G94" s="942">
        <f t="shared" ref="G94:K94" si="36">SUM(G93:G93)</f>
        <v>2810.42</v>
      </c>
      <c r="H94" s="396">
        <f t="shared" si="36"/>
        <v>2656.98</v>
      </c>
      <c r="I94" s="942">
        <f t="shared" si="36"/>
        <v>533.98</v>
      </c>
      <c r="J94" s="337">
        <f t="shared" si="36"/>
        <v>16641.080000000002</v>
      </c>
      <c r="K94" s="423">
        <f t="shared" si="36"/>
        <v>3344.4</v>
      </c>
    </row>
    <row r="95" spans="1:14" ht="14.25" customHeight="1">
      <c r="A95" s="1996" t="s">
        <v>182</v>
      </c>
      <c r="B95" s="1997"/>
      <c r="C95" s="1997"/>
      <c r="D95" s="1997"/>
      <c r="E95" s="1997"/>
      <c r="F95" s="1997"/>
      <c r="G95" s="1997"/>
      <c r="H95" s="1997"/>
      <c r="I95" s="1997"/>
      <c r="J95" s="1997"/>
      <c r="K95" s="1998"/>
    </row>
    <row r="96" spans="1:14" ht="14.25" customHeight="1">
      <c r="A96" s="622">
        <v>1</v>
      </c>
      <c r="B96" s="654"/>
      <c r="C96" s="654"/>
      <c r="D96" s="654"/>
      <c r="E96" s="654"/>
      <c r="F96" s="655">
        <v>0</v>
      </c>
      <c r="G96" s="655">
        <v>0</v>
      </c>
      <c r="H96" s="656">
        <v>0</v>
      </c>
      <c r="I96" s="657">
        <v>0</v>
      </c>
      <c r="J96" s="657">
        <v>0</v>
      </c>
      <c r="K96" s="703">
        <v>0</v>
      </c>
    </row>
    <row r="97" spans="1:11" ht="14.25" customHeight="1">
      <c r="A97" s="1999" t="s">
        <v>185</v>
      </c>
      <c r="B97" s="2000"/>
      <c r="C97" s="658"/>
      <c r="D97" s="658"/>
      <c r="E97" s="658"/>
      <c r="F97" s="659">
        <v>0</v>
      </c>
      <c r="G97" s="659">
        <v>0</v>
      </c>
      <c r="H97" s="659">
        <v>0</v>
      </c>
      <c r="I97" s="659">
        <v>0</v>
      </c>
      <c r="J97" s="659">
        <v>0</v>
      </c>
      <c r="K97" s="975">
        <v>0</v>
      </c>
    </row>
    <row r="98" spans="1:11" ht="12.75" customHeight="1">
      <c r="A98" s="2001" t="s">
        <v>186</v>
      </c>
      <c r="B98" s="2002"/>
      <c r="C98" s="662"/>
      <c r="D98" s="662"/>
      <c r="E98" s="662"/>
      <c r="F98" s="395">
        <f t="shared" ref="F98:K98" si="37">SUM(F59,F72,F85,F91,F94,F97)</f>
        <v>35355300.825000003</v>
      </c>
      <c r="G98" s="395">
        <f t="shared" si="37"/>
        <v>7105450.5099999998</v>
      </c>
      <c r="H98" s="396">
        <f t="shared" si="37"/>
        <v>6717507.21</v>
      </c>
      <c r="I98" s="615">
        <f t="shared" si="37"/>
        <v>1350035.6</v>
      </c>
      <c r="J98" s="337">
        <f t="shared" si="37"/>
        <v>42072808.034999996</v>
      </c>
      <c r="K98" s="423">
        <f t="shared" si="37"/>
        <v>8455486.1099999994</v>
      </c>
    </row>
    <row r="99" spans="1:11" ht="16.5" customHeight="1">
      <c r="A99" s="1982" t="s">
        <v>212</v>
      </c>
      <c r="B99" s="1983"/>
      <c r="C99" s="664"/>
      <c r="D99" s="664"/>
      <c r="E99" s="664"/>
      <c r="F99" s="397">
        <f>+F98+F21+F27</f>
        <v>46508460.325000003</v>
      </c>
      <c r="G99" s="942">
        <f t="shared" ref="G99:K99" si="38">+G98+G21+G27</f>
        <v>9346931.1699999999</v>
      </c>
      <c r="H99" s="397">
        <f t="shared" si="38"/>
        <v>8836607.5199999996</v>
      </c>
      <c r="I99" s="942">
        <f t="shared" si="38"/>
        <v>1775916.94</v>
      </c>
      <c r="J99" s="337">
        <f t="shared" si="38"/>
        <v>55345067.844999999</v>
      </c>
      <c r="K99" s="423">
        <f t="shared" si="38"/>
        <v>11122848.109999999</v>
      </c>
    </row>
    <row r="100" spans="1:11">
      <c r="A100" s="1984" t="s">
        <v>243</v>
      </c>
      <c r="B100" s="1985"/>
      <c r="C100" s="666"/>
      <c r="D100" s="666"/>
      <c r="E100" s="666"/>
      <c r="F100" s="399">
        <f>F59+F72+F21+F27</f>
        <v>33461295.024999999</v>
      </c>
      <c r="G100" s="942">
        <f t="shared" ref="G100:K100" si="39">G59+G72+G21+G27</f>
        <v>6724807.04</v>
      </c>
      <c r="H100" s="399">
        <f t="shared" si="39"/>
        <v>6357646.0899999999</v>
      </c>
      <c r="I100" s="942">
        <f t="shared" si="39"/>
        <v>1277713.3500000001</v>
      </c>
      <c r="J100" s="337">
        <f t="shared" si="39"/>
        <v>39818941.115000002</v>
      </c>
      <c r="K100" s="423">
        <f t="shared" si="39"/>
        <v>8002520.3899999997</v>
      </c>
    </row>
    <row r="101" spans="1:11" s="904" customFormat="1">
      <c r="B101" s="598"/>
      <c r="C101" s="598"/>
      <c r="D101" s="598"/>
      <c r="E101" s="598"/>
    </row>
    <row r="102" spans="1:11" s="904" customFormat="1">
      <c r="B102" s="598"/>
      <c r="C102" s="598"/>
      <c r="D102" s="598"/>
      <c r="E102" s="598"/>
    </row>
    <row r="103" spans="1:11" s="904" customFormat="1" ht="39" customHeight="1">
      <c r="A103" s="951"/>
      <c r="B103" s="402" t="str">
        <f>'DEVIZ GENERAL'!B168</f>
        <v>In preturi la data de :</v>
      </c>
      <c r="C103" s="1986" t="str">
        <f>'DEVIZ GENERAL'!C168</f>
        <v>inforeuro februarie 2025</v>
      </c>
      <c r="D103" s="1986"/>
      <c r="E103" s="402" t="str">
        <f>'DEVIZ GENERAL'!D168</f>
        <v>1 Euro =</v>
      </c>
      <c r="F103" s="952">
        <f>'DEVIZ GENERAL'!E168</f>
        <v>4.9757999999999996</v>
      </c>
      <c r="G103" s="953"/>
    </row>
    <row r="104" spans="1:11" s="904" customFormat="1">
      <c r="A104" s="954"/>
      <c r="B104" s="406" t="s">
        <v>222</v>
      </c>
      <c r="C104" s="406"/>
      <c r="D104" s="406"/>
      <c r="E104" s="406" t="s">
        <v>9</v>
      </c>
      <c r="F104" s="953"/>
      <c r="G104" s="953"/>
      <c r="H104" s="955" t="s">
        <v>223</v>
      </c>
      <c r="I104" s="955"/>
      <c r="J104" s="955"/>
      <c r="K104" s="955"/>
    </row>
    <row r="105" spans="1:11" s="904" customFormat="1">
      <c r="A105" s="954"/>
      <c r="B105" s="437" t="str">
        <f>data_deviz</f>
        <v>31.01.2025</v>
      </c>
      <c r="C105" s="437"/>
      <c r="D105" s="437"/>
      <c r="E105" s="437"/>
      <c r="F105" s="953"/>
      <c r="G105" s="953"/>
      <c r="H105" s="1987" t="s">
        <v>225</v>
      </c>
      <c r="I105" s="1987"/>
      <c r="J105" s="1987"/>
      <c r="K105" s="1987"/>
    </row>
    <row r="106" spans="1:11" s="904" customFormat="1">
      <c r="B106" s="406" t="s">
        <v>226</v>
      </c>
      <c r="C106" s="406"/>
      <c r="D106" s="406"/>
      <c r="E106" s="406"/>
      <c r="F106" s="956"/>
      <c r="G106" s="956"/>
      <c r="H106" s="957"/>
      <c r="I106" s="957"/>
      <c r="J106" s="957"/>
      <c r="K106" s="955"/>
    </row>
    <row r="107" spans="1:11" s="904" customFormat="1">
      <c r="B107" s="441" t="s">
        <v>227</v>
      </c>
      <c r="C107" s="437"/>
      <c r="D107" s="437"/>
      <c r="E107" s="437"/>
      <c r="H107" s="958" t="s">
        <v>637</v>
      </c>
      <c r="I107" s="958"/>
      <c r="J107" s="958"/>
      <c r="K107" s="976"/>
    </row>
    <row r="108" spans="1:11" s="904" customFormat="1">
      <c r="A108" s="951"/>
      <c r="B108" s="671"/>
      <c r="C108" s="671"/>
      <c r="D108" s="671"/>
      <c r="E108" s="671"/>
      <c r="F108" s="955"/>
      <c r="G108" s="955"/>
      <c r="K108" s="977" t="s">
        <v>229</v>
      </c>
    </row>
    <row r="109" spans="1:11" ht="15.75">
      <c r="A109" s="676"/>
      <c r="B109" s="676"/>
      <c r="C109" s="676"/>
      <c r="D109" s="676"/>
      <c r="E109" s="676"/>
    </row>
    <row r="110" spans="1:11" hidden="1">
      <c r="F110" s="269">
        <f>F99/euro</f>
        <v>9346931.2120664008</v>
      </c>
      <c r="G110" s="269"/>
      <c r="K110" s="269">
        <f>K99/euro</f>
        <v>2235388.9042968</v>
      </c>
    </row>
    <row r="111" spans="1:11">
      <c r="B111" s="673"/>
      <c r="C111" s="673"/>
      <c r="D111" s="673"/>
      <c r="E111" s="673"/>
    </row>
    <row r="112" spans="1:11" ht="12.75" customHeight="1">
      <c r="A112" s="679"/>
      <c r="B112" s="673"/>
      <c r="C112" s="673"/>
      <c r="D112" s="673"/>
      <c r="E112" s="673"/>
    </row>
    <row r="113" spans="1:7">
      <c r="A113" s="679"/>
      <c r="B113" s="680"/>
      <c r="C113" s="680"/>
      <c r="D113" s="680"/>
      <c r="E113" s="680"/>
      <c r="F113" s="680"/>
      <c r="G113" s="680"/>
    </row>
    <row r="114" spans="1:7">
      <c r="A114" s="679"/>
      <c r="B114" s="680"/>
      <c r="C114" s="680"/>
      <c r="D114" s="680"/>
      <c r="E114" s="680"/>
      <c r="F114" s="680"/>
      <c r="G114" s="680"/>
    </row>
    <row r="115" spans="1:7">
      <c r="A115" s="679"/>
      <c r="B115" s="680"/>
      <c r="C115" s="680"/>
      <c r="D115" s="680"/>
      <c r="E115" s="680"/>
      <c r="F115" s="680"/>
      <c r="G115" s="680"/>
    </row>
    <row r="116" spans="1:7" ht="12.75" customHeight="1">
      <c r="A116" s="679"/>
      <c r="B116" s="680"/>
      <c r="C116" s="680"/>
      <c r="D116" s="680"/>
      <c r="E116" s="680"/>
      <c r="F116" s="680"/>
      <c r="G116" s="680"/>
    </row>
    <row r="117" spans="1:7" ht="15" customHeight="1">
      <c r="A117" s="679"/>
      <c r="B117" s="680"/>
      <c r="C117" s="680"/>
      <c r="D117" s="680"/>
      <c r="E117" s="680"/>
      <c r="F117" s="680"/>
      <c r="G117" s="680"/>
    </row>
    <row r="118" spans="1:7">
      <c r="A118" s="680"/>
      <c r="B118" s="680"/>
      <c r="C118" s="680"/>
      <c r="D118" s="680"/>
      <c r="E118" s="680"/>
      <c r="F118" s="680"/>
      <c r="G118" s="680"/>
    </row>
    <row r="119" spans="1:7" ht="15.75">
      <c r="A119" s="686"/>
      <c r="B119" s="686"/>
      <c r="C119" s="686"/>
      <c r="D119" s="686"/>
      <c r="E119" s="686"/>
      <c r="F119" s="686"/>
      <c r="G119" s="686"/>
    </row>
    <row r="120" spans="1:7" ht="15" customHeight="1">
      <c r="A120" s="679"/>
      <c r="B120" s="680"/>
      <c r="C120" s="680"/>
      <c r="D120" s="680"/>
      <c r="E120" s="680"/>
      <c r="F120" s="680"/>
      <c r="G120" s="680"/>
    </row>
  </sheetData>
  <mergeCells count="33">
    <mergeCell ref="B1:K3"/>
    <mergeCell ref="A99:B99"/>
    <mergeCell ref="A100:B100"/>
    <mergeCell ref="C103:D103"/>
    <mergeCell ref="H105:K105"/>
    <mergeCell ref="A8:A9"/>
    <mergeCell ref="B8:B9"/>
    <mergeCell ref="A92:K92"/>
    <mergeCell ref="A94:B94"/>
    <mergeCell ref="A95:K95"/>
    <mergeCell ref="A97:B97"/>
    <mergeCell ref="A98:B98"/>
    <mergeCell ref="A72:B72"/>
    <mergeCell ref="A73:K73"/>
    <mergeCell ref="A85:B85"/>
    <mergeCell ref="A86:K86"/>
    <mergeCell ref="A91:B91"/>
    <mergeCell ref="A29:K29"/>
    <mergeCell ref="B30:K30"/>
    <mergeCell ref="A36:K36"/>
    <mergeCell ref="A59:B59"/>
    <mergeCell ref="A60:K60"/>
    <mergeCell ref="A11:K11"/>
    <mergeCell ref="A21:B21"/>
    <mergeCell ref="A22:K22"/>
    <mergeCell ref="A27:B27"/>
    <mergeCell ref="A28:K28"/>
    <mergeCell ref="A5:K5"/>
    <mergeCell ref="A6:K6"/>
    <mergeCell ref="A7:K7"/>
    <mergeCell ref="F8:G8"/>
    <mergeCell ref="H8:I8"/>
    <mergeCell ref="J8:K8"/>
  </mergeCells>
  <pageMargins left="0.75" right="0.75" top="1" bottom="1" header="0.5" footer="0.5"/>
  <pageSetup paperSize="9" scale="39" orientation="portrait" r:id="rId1"/>
  <headerFooter alignWithMargins="0"/>
  <rowBreaks count="1" manualBreakCount="1">
    <brk id="85" max="10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N121"/>
  <sheetViews>
    <sheetView view="pageBreakPreview" topLeftCell="A79" zoomScale="85" zoomScaleNormal="100" workbookViewId="0">
      <selection activeCell="C40" sqref="C40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4" width="11.42578125" style="598" customWidth="1"/>
    <col min="5" max="5" width="13.42578125" style="598" customWidth="1"/>
    <col min="6" max="7" width="23.85546875" style="598" customWidth="1"/>
    <col min="8" max="10" width="18" style="598" customWidth="1"/>
    <col min="11" max="11" width="19.42578125" style="598" customWidth="1"/>
    <col min="12" max="12" width="11.28515625" style="598" hidden="1" customWidth="1"/>
    <col min="13" max="13" width="12.28515625" style="598" customWidth="1"/>
    <col min="14" max="14" width="17" style="598" hidden="1" customWidth="1"/>
    <col min="15" max="16384" width="11.28515625" style="598"/>
  </cols>
  <sheetData>
    <row r="1" spans="1:11" s="903" customFormat="1" ht="12.75" customHeight="1">
      <c r="B1" s="1980" t="str">
        <f>'DEVIZ GENERAL'!B4</f>
        <v>SISTEM DE MANAGEMENT INTEGRAT AL DEȘEURILOR DIN JUDEȚUL DÂMBOVIȚA</v>
      </c>
      <c r="C1" s="1980"/>
      <c r="D1" s="1980"/>
      <c r="E1" s="1980"/>
      <c r="F1" s="1980"/>
      <c r="G1" s="1980"/>
      <c r="H1" s="1980"/>
      <c r="I1" s="1980"/>
      <c r="J1" s="1980"/>
      <c r="K1" s="1980"/>
    </row>
    <row r="2" spans="1:11" s="903" customFormat="1" ht="12.75" customHeight="1">
      <c r="A2" s="908"/>
      <c r="B2" s="1980"/>
      <c r="C2" s="1980"/>
      <c r="D2" s="1980"/>
      <c r="E2" s="1980"/>
      <c r="F2" s="1980"/>
      <c r="G2" s="1980"/>
      <c r="H2" s="1980"/>
      <c r="I2" s="1980"/>
      <c r="J2" s="1980"/>
      <c r="K2" s="1980"/>
    </row>
    <row r="3" spans="1:11" s="903" customFormat="1">
      <c r="A3" s="909"/>
      <c r="B3" s="1981"/>
      <c r="C3" s="1981"/>
      <c r="D3" s="1981"/>
      <c r="E3" s="1981"/>
      <c r="F3" s="1981"/>
      <c r="G3" s="1981"/>
      <c r="H3" s="1981"/>
      <c r="I3" s="1981"/>
      <c r="J3" s="1981"/>
      <c r="K3" s="1981"/>
    </row>
    <row r="4" spans="1:11" s="903" customFormat="1">
      <c r="A4" s="910"/>
      <c r="B4" s="601"/>
      <c r="C4" s="601"/>
      <c r="D4" s="601"/>
      <c r="E4" s="601"/>
      <c r="F4" s="910"/>
      <c r="G4" s="910"/>
      <c r="H4" s="911"/>
      <c r="I4" s="911"/>
      <c r="J4" s="911"/>
      <c r="K4" s="959"/>
    </row>
    <row r="5" spans="1:11" s="904" customFormat="1" ht="26.25" customHeight="1">
      <c r="A5" s="1954" t="str">
        <f>'D8.compostoare individuale'!A5</f>
        <v>DEVIZ OBIECT</v>
      </c>
      <c r="B5" s="1954"/>
      <c r="C5" s="1954"/>
      <c r="D5" s="1954"/>
      <c r="E5" s="1954"/>
      <c r="F5" s="1954"/>
      <c r="G5" s="1954"/>
      <c r="H5" s="1954"/>
      <c r="I5" s="1954"/>
      <c r="J5" s="1954"/>
      <c r="K5" s="1954"/>
    </row>
    <row r="6" spans="1:11" s="905" customFormat="1" ht="39.75" customHeight="1">
      <c r="A6" s="1905" t="s">
        <v>638</v>
      </c>
      <c r="B6" s="1905"/>
      <c r="C6" s="1905"/>
      <c r="D6" s="1905"/>
      <c r="E6" s="1905"/>
      <c r="F6" s="1905"/>
      <c r="G6" s="1905"/>
      <c r="H6" s="1905"/>
      <c r="I6" s="1905"/>
      <c r="J6" s="1905"/>
      <c r="K6" s="1905"/>
    </row>
    <row r="7" spans="1:11" s="904" customFormat="1">
      <c r="A7" s="1955" t="s">
        <v>240</v>
      </c>
      <c r="B7" s="1955"/>
      <c r="C7" s="1955"/>
      <c r="D7" s="1955"/>
      <c r="E7" s="1955"/>
      <c r="F7" s="1955"/>
      <c r="G7" s="1955"/>
      <c r="H7" s="1955"/>
      <c r="I7" s="1955"/>
      <c r="J7" s="1955"/>
      <c r="K7" s="1955"/>
    </row>
    <row r="8" spans="1:11" ht="31.5" customHeight="1">
      <c r="A8" s="1988" t="s">
        <v>99</v>
      </c>
      <c r="B8" s="1990" t="s">
        <v>100</v>
      </c>
      <c r="C8" s="289" t="s">
        <v>560</v>
      </c>
      <c r="D8" s="289" t="s">
        <v>561</v>
      </c>
      <c r="E8" s="290" t="s">
        <v>562</v>
      </c>
      <c r="F8" s="1956" t="s">
        <v>101</v>
      </c>
      <c r="G8" s="1957"/>
      <c r="H8" s="1956" t="s">
        <v>102</v>
      </c>
      <c r="I8" s="1957"/>
      <c r="J8" s="1956" t="s">
        <v>563</v>
      </c>
      <c r="K8" s="1958"/>
    </row>
    <row r="9" spans="1:11" s="596" customFormat="1" ht="17.25" customHeight="1">
      <c r="A9" s="1989"/>
      <c r="B9" s="1991"/>
      <c r="C9" s="603"/>
      <c r="D9" s="603"/>
      <c r="E9" s="603"/>
      <c r="F9" s="604" t="s">
        <v>546</v>
      </c>
      <c r="G9" s="604" t="s">
        <v>81</v>
      </c>
      <c r="H9" s="604" t="s">
        <v>546</v>
      </c>
      <c r="I9" s="960" t="s">
        <v>81</v>
      </c>
      <c r="J9" s="960" t="s">
        <v>546</v>
      </c>
      <c r="K9" s="812" t="s">
        <v>81</v>
      </c>
    </row>
    <row r="10" spans="1:11">
      <c r="A10" s="605">
        <v>1</v>
      </c>
      <c r="B10" s="606">
        <v>2</v>
      </c>
      <c r="C10" s="606"/>
      <c r="D10" s="606"/>
      <c r="E10" s="606"/>
      <c r="F10" s="606">
        <v>3</v>
      </c>
      <c r="G10" s="606">
        <v>4</v>
      </c>
      <c r="H10" s="606">
        <v>5</v>
      </c>
      <c r="I10" s="607">
        <v>6</v>
      </c>
      <c r="J10" s="607">
        <v>7</v>
      </c>
      <c r="K10" s="689">
        <v>8</v>
      </c>
    </row>
    <row r="11" spans="1:11">
      <c r="A11" s="1959" t="s">
        <v>564</v>
      </c>
      <c r="B11" s="1960"/>
      <c r="C11" s="1960"/>
      <c r="D11" s="1960"/>
      <c r="E11" s="1960"/>
      <c r="F11" s="1960"/>
      <c r="G11" s="1960"/>
      <c r="H11" s="1960"/>
      <c r="I11" s="1960"/>
      <c r="J11" s="1960"/>
      <c r="K11" s="1961"/>
    </row>
    <row r="12" spans="1:11">
      <c r="A12" s="1962" t="s">
        <v>119</v>
      </c>
      <c r="B12" s="1963"/>
      <c r="C12" s="929"/>
      <c r="D12" s="929"/>
      <c r="E12" s="929"/>
      <c r="F12" s="930" t="s">
        <v>9</v>
      </c>
      <c r="G12" s="930" t="s">
        <v>9</v>
      </c>
      <c r="H12" s="930" t="s">
        <v>9</v>
      </c>
      <c r="I12" s="930" t="s">
        <v>9</v>
      </c>
      <c r="J12" s="966" t="s">
        <v>9</v>
      </c>
      <c r="K12" s="967" t="s">
        <v>9</v>
      </c>
    </row>
    <row r="13" spans="1:11">
      <c r="A13" s="2005" t="s">
        <v>575</v>
      </c>
      <c r="B13" s="2006"/>
      <c r="C13" s="2006"/>
      <c r="D13" s="2006"/>
      <c r="E13" s="2006"/>
      <c r="F13" s="2006"/>
      <c r="G13" s="2006"/>
      <c r="H13" s="2006"/>
      <c r="I13" s="2006"/>
      <c r="J13" s="2006"/>
      <c r="K13" s="2007"/>
    </row>
    <row r="14" spans="1:11" ht="12.95" customHeight="1">
      <c r="A14" s="1967" t="s">
        <v>122</v>
      </c>
      <c r="B14" s="1968"/>
      <c r="C14" s="933"/>
      <c r="D14" s="933"/>
      <c r="E14" s="933"/>
      <c r="F14" s="934" t="s">
        <v>9</v>
      </c>
      <c r="G14" s="935" t="s">
        <v>9</v>
      </c>
      <c r="H14" s="934" t="s">
        <v>9</v>
      </c>
      <c r="I14" s="935" t="s">
        <v>9</v>
      </c>
      <c r="J14" s="935" t="s">
        <v>9</v>
      </c>
      <c r="K14" s="970" t="s">
        <v>9</v>
      </c>
    </row>
    <row r="15" spans="1:11">
      <c r="A15" s="1964" t="s">
        <v>160</v>
      </c>
      <c r="B15" s="1965"/>
      <c r="C15" s="1965"/>
      <c r="D15" s="1965"/>
      <c r="E15" s="1965"/>
      <c r="F15" s="1965"/>
      <c r="G15" s="1965"/>
      <c r="H15" s="1965"/>
      <c r="I15" s="1965"/>
      <c r="J15" s="1965"/>
      <c r="K15" s="1966"/>
    </row>
    <row r="16" spans="1:11">
      <c r="A16" s="1971" t="s">
        <v>161</v>
      </c>
      <c r="B16" s="1972"/>
      <c r="C16" s="1972"/>
      <c r="D16" s="1972"/>
      <c r="E16" s="1972"/>
      <c r="F16" s="1972"/>
      <c r="G16" s="1972"/>
      <c r="H16" s="1972"/>
      <c r="I16" s="1972"/>
      <c r="J16" s="1972"/>
      <c r="K16" s="1973"/>
    </row>
    <row r="17" spans="1:11">
      <c r="A17" s="608" t="s">
        <v>162</v>
      </c>
      <c r="B17" s="1974" t="s">
        <v>548</v>
      </c>
      <c r="C17" s="1975"/>
      <c r="D17" s="1975"/>
      <c r="E17" s="1975"/>
      <c r="F17" s="1975"/>
      <c r="G17" s="1975"/>
      <c r="H17" s="1975"/>
      <c r="I17" s="1975"/>
      <c r="J17" s="1975"/>
      <c r="K17" s="1976"/>
    </row>
    <row r="18" spans="1:11" ht="25.5">
      <c r="A18" s="1680" t="s">
        <v>549</v>
      </c>
      <c r="B18" s="1681" t="s">
        <v>639</v>
      </c>
      <c r="C18" s="1674">
        <f>10000+4000</f>
        <v>14000</v>
      </c>
      <c r="D18" s="1674" t="s">
        <v>569</v>
      </c>
      <c r="E18" s="1683">
        <f>50*IPC*crinv</f>
        <v>69.920500000000004</v>
      </c>
      <c r="F18" s="1676">
        <f>ROUND(C18*E18,0)</f>
        <v>978887</v>
      </c>
      <c r="G18" s="1676">
        <f>ROUND(F18/euro,2)</f>
        <v>196729.57</v>
      </c>
      <c r="H18" s="1676">
        <f>ROUND(F18*TVA,2)</f>
        <v>185988.53</v>
      </c>
      <c r="I18" s="1677">
        <f>ROUND(H18/euro,2)</f>
        <v>37378.620000000003</v>
      </c>
      <c r="J18" s="1672">
        <f>F18+H18</f>
        <v>1164875.53</v>
      </c>
      <c r="K18" s="1678">
        <f>G18+I18</f>
        <v>234108.19</v>
      </c>
    </row>
    <row r="19" spans="1:11" ht="25.5">
      <c r="A19" s="1699" t="s">
        <v>551</v>
      </c>
      <c r="B19" s="1681" t="s">
        <v>640</v>
      </c>
      <c r="C19" s="1674">
        <v>1500</v>
      </c>
      <c r="D19" s="1674" t="s">
        <v>569</v>
      </c>
      <c r="E19" s="1683">
        <f>50*IPC*crinv</f>
        <v>69.920500000000004</v>
      </c>
      <c r="F19" s="1676">
        <f t="shared" ref="F19:F20" si="0">ROUND(C19*E19,0)</f>
        <v>104881</v>
      </c>
      <c r="G19" s="1676">
        <f>ROUND(F19/euro,2)</f>
        <v>21078.22</v>
      </c>
      <c r="H19" s="1676">
        <f>ROUND(F19*TVA,2)</f>
        <v>19927.39</v>
      </c>
      <c r="I19" s="1677">
        <f>ROUND(H19/euro,2)</f>
        <v>4004.86</v>
      </c>
      <c r="J19" s="1672">
        <f t="shared" ref="J19:K20" si="1">F19+H19</f>
        <v>124808.39</v>
      </c>
      <c r="K19" s="1678">
        <f t="shared" si="1"/>
        <v>25083.08</v>
      </c>
    </row>
    <row r="20" spans="1:11">
      <c r="A20" s="1699" t="s">
        <v>553</v>
      </c>
      <c r="B20" s="1681" t="s">
        <v>641</v>
      </c>
      <c r="C20" s="1674">
        <v>1500</v>
      </c>
      <c r="D20" s="1674" t="s">
        <v>569</v>
      </c>
      <c r="E20" s="1683">
        <f>50*IPC*crinv</f>
        <v>69.920500000000004</v>
      </c>
      <c r="F20" s="1676">
        <f t="shared" si="0"/>
        <v>104881</v>
      </c>
      <c r="G20" s="1676">
        <f>ROUND(F20/euro,2)</f>
        <v>21078.22</v>
      </c>
      <c r="H20" s="1676">
        <f>ROUND(F20*TVA,2)</f>
        <v>19927.39</v>
      </c>
      <c r="I20" s="1677">
        <f>ROUND(H20/euro,2)</f>
        <v>4004.86</v>
      </c>
      <c r="J20" s="1672">
        <f t="shared" si="1"/>
        <v>124808.39</v>
      </c>
      <c r="K20" s="1678">
        <f t="shared" si="1"/>
        <v>25083.08</v>
      </c>
    </row>
    <row r="21" spans="1:11">
      <c r="A21" s="1977" t="s">
        <v>557</v>
      </c>
      <c r="B21" s="1978"/>
      <c r="C21" s="1978"/>
      <c r="D21" s="1978"/>
      <c r="E21" s="1978"/>
      <c r="F21" s="1978"/>
      <c r="G21" s="1978"/>
      <c r="H21" s="1978"/>
      <c r="I21" s="1978"/>
      <c r="J21" s="1978"/>
      <c r="K21" s="1979"/>
    </row>
    <row r="22" spans="1:11">
      <c r="A22" s="1680" t="s">
        <v>549</v>
      </c>
      <c r="B22" s="1684" t="s">
        <v>642</v>
      </c>
      <c r="C22" s="1674">
        <f>2000+3000</f>
        <v>5000</v>
      </c>
      <c r="D22" s="1674" t="s">
        <v>567</v>
      </c>
      <c r="E22" s="1683">
        <f>2500*IPC*crinv</f>
        <v>3496.0250000000001</v>
      </c>
      <c r="F22" s="1665">
        <f t="shared" ref="F22:F35" si="2">ROUND(C22*E22,0)</f>
        <v>17480125</v>
      </c>
      <c r="G22" s="1686">
        <f t="shared" ref="G22:G35" si="3">ROUND(F22/euro,2)</f>
        <v>3513028.06</v>
      </c>
      <c r="H22" s="1687">
        <f t="shared" ref="H22:H35" si="4">ROUND(F22*TVA,2)</f>
        <v>3321223.75</v>
      </c>
      <c r="I22" s="1686">
        <f t="shared" ref="I22:I35" si="5">ROUND(H22/euro,2)</f>
        <v>667475.32999999996</v>
      </c>
      <c r="J22" s="1672">
        <f t="shared" ref="J22:K35" si="6">F22+H22</f>
        <v>20801348.75</v>
      </c>
      <c r="K22" s="1678">
        <f t="shared" si="6"/>
        <v>4180503.39</v>
      </c>
    </row>
    <row r="23" spans="1:11" ht="25.5">
      <c r="A23" s="1680" t="s">
        <v>551</v>
      </c>
      <c r="B23" s="1684" t="s">
        <v>643</v>
      </c>
      <c r="C23" s="1674">
        <f>2000+3000</f>
        <v>5000</v>
      </c>
      <c r="D23" s="1674" t="s">
        <v>574</v>
      </c>
      <c r="E23" s="1683">
        <f>500*IPC*crinv</f>
        <v>699.20500000000004</v>
      </c>
      <c r="F23" s="1665">
        <f t="shared" si="2"/>
        <v>3496025</v>
      </c>
      <c r="G23" s="1686">
        <f t="shared" si="3"/>
        <v>702605.61</v>
      </c>
      <c r="H23" s="1687">
        <f t="shared" si="4"/>
        <v>664244.75</v>
      </c>
      <c r="I23" s="1686">
        <f t="shared" si="5"/>
        <v>133495.07</v>
      </c>
      <c r="J23" s="1672">
        <f t="shared" si="6"/>
        <v>4160269.75</v>
      </c>
      <c r="K23" s="1678">
        <f t="shared" si="6"/>
        <v>836100.68</v>
      </c>
    </row>
    <row r="24" spans="1:11" ht="25.5">
      <c r="A24" s="1680" t="s">
        <v>553</v>
      </c>
      <c r="B24" s="1684" t="s">
        <v>644</v>
      </c>
      <c r="C24" s="1674">
        <v>1</v>
      </c>
      <c r="D24" s="1674" t="s">
        <v>574</v>
      </c>
      <c r="E24" s="1683">
        <f>190000*IPC*crinv</f>
        <v>265697.90000000002</v>
      </c>
      <c r="F24" s="1665">
        <f t="shared" si="2"/>
        <v>265698</v>
      </c>
      <c r="G24" s="1686">
        <f t="shared" si="3"/>
        <v>53398.05</v>
      </c>
      <c r="H24" s="1687">
        <f t="shared" si="4"/>
        <v>50482.62</v>
      </c>
      <c r="I24" s="1686">
        <f t="shared" si="5"/>
        <v>10145.629999999999</v>
      </c>
      <c r="J24" s="1672">
        <f t="shared" si="6"/>
        <v>316180.62</v>
      </c>
      <c r="K24" s="1678">
        <f t="shared" si="6"/>
        <v>63543.68</v>
      </c>
    </row>
    <row r="25" spans="1:11">
      <c r="A25" s="1680" t="s">
        <v>555</v>
      </c>
      <c r="B25" s="1684" t="s">
        <v>645</v>
      </c>
      <c r="C25" s="1674">
        <v>1</v>
      </c>
      <c r="D25" s="1674" t="s">
        <v>574</v>
      </c>
      <c r="E25" s="1689">
        <f>(60000+70000)*IPC*crinv</f>
        <v>181793.3</v>
      </c>
      <c r="F25" s="1665">
        <f t="shared" si="2"/>
        <v>181793</v>
      </c>
      <c r="G25" s="1686">
        <f t="shared" si="3"/>
        <v>36535.43</v>
      </c>
      <c r="H25" s="1687">
        <f t="shared" si="4"/>
        <v>34540.67</v>
      </c>
      <c r="I25" s="1686">
        <f t="shared" si="5"/>
        <v>6941.73</v>
      </c>
      <c r="J25" s="1672">
        <f t="shared" si="6"/>
        <v>216333.67</v>
      </c>
      <c r="K25" s="1678">
        <f t="shared" si="6"/>
        <v>43477.16</v>
      </c>
    </row>
    <row r="26" spans="1:11">
      <c r="A26" s="1680" t="s">
        <v>572</v>
      </c>
      <c r="B26" s="1684" t="s">
        <v>646</v>
      </c>
      <c r="C26" s="1674">
        <v>1</v>
      </c>
      <c r="D26" s="1674" t="s">
        <v>574</v>
      </c>
      <c r="E26" s="1683">
        <f>70000*IPC*crinv</f>
        <v>97888.7</v>
      </c>
      <c r="F26" s="1665">
        <f t="shared" si="2"/>
        <v>97889</v>
      </c>
      <c r="G26" s="1686">
        <f t="shared" si="3"/>
        <v>19673.02</v>
      </c>
      <c r="H26" s="1687">
        <f t="shared" si="4"/>
        <v>18598.91</v>
      </c>
      <c r="I26" s="1686">
        <f t="shared" si="5"/>
        <v>3737.87</v>
      </c>
      <c r="J26" s="1672">
        <f t="shared" si="6"/>
        <v>116487.91</v>
      </c>
      <c r="K26" s="1678">
        <f t="shared" si="6"/>
        <v>23410.89</v>
      </c>
    </row>
    <row r="27" spans="1:11">
      <c r="A27" s="1680" t="s">
        <v>591</v>
      </c>
      <c r="B27" s="1684" t="s">
        <v>647</v>
      </c>
      <c r="C27" s="1674">
        <v>1</v>
      </c>
      <c r="D27" s="1674" t="s">
        <v>574</v>
      </c>
      <c r="E27" s="1683">
        <f>(500000+1200000)*IPC*crinv</f>
        <v>2377297</v>
      </c>
      <c r="F27" s="1665">
        <f t="shared" si="2"/>
        <v>2377297</v>
      </c>
      <c r="G27" s="1686">
        <f t="shared" si="3"/>
        <v>477771.82</v>
      </c>
      <c r="H27" s="1687">
        <f t="shared" si="4"/>
        <v>451686.43</v>
      </c>
      <c r="I27" s="1686">
        <f t="shared" si="5"/>
        <v>90776.639999999999</v>
      </c>
      <c r="J27" s="1672">
        <f t="shared" si="6"/>
        <v>2828983.43</v>
      </c>
      <c r="K27" s="1678">
        <f t="shared" si="6"/>
        <v>568548.46</v>
      </c>
    </row>
    <row r="28" spans="1:11" ht="25.5">
      <c r="A28" s="1680" t="s">
        <v>593</v>
      </c>
      <c r="B28" s="1684" t="s">
        <v>648</v>
      </c>
      <c r="C28" s="1674">
        <v>1</v>
      </c>
      <c r="D28" s="1674" t="s">
        <v>574</v>
      </c>
      <c r="E28" s="1683">
        <f>60000*IPC*crinv</f>
        <v>83904.6</v>
      </c>
      <c r="F28" s="1665">
        <f t="shared" ref="F28" si="7">ROUND(C28*E28,0)</f>
        <v>83905</v>
      </c>
      <c r="G28" s="1686">
        <f t="shared" ref="G28" si="8">ROUND(F28/euro,2)</f>
        <v>16862.62</v>
      </c>
      <c r="H28" s="1687">
        <f t="shared" ref="H28" si="9">ROUND(F28*TVA,2)</f>
        <v>15941.95</v>
      </c>
      <c r="I28" s="1686">
        <f t="shared" ref="I28" si="10">ROUND(H28/euro,2)</f>
        <v>3203.9</v>
      </c>
      <c r="J28" s="1672">
        <f t="shared" ref="J28" si="11">F28+H28</f>
        <v>99846.95</v>
      </c>
      <c r="K28" s="1678">
        <f t="shared" ref="K28" si="12">G28+I28</f>
        <v>20066.52</v>
      </c>
    </row>
    <row r="29" spans="1:11" ht="25.5">
      <c r="A29" s="1680" t="s">
        <v>595</v>
      </c>
      <c r="B29" s="1684" t="s">
        <v>649</v>
      </c>
      <c r="C29" s="1674">
        <v>1</v>
      </c>
      <c r="D29" s="1674" t="s">
        <v>574</v>
      </c>
      <c r="E29" s="1683">
        <f>(50000+50000)*IPC*crinv</f>
        <v>139841</v>
      </c>
      <c r="F29" s="1665">
        <f t="shared" si="2"/>
        <v>139841</v>
      </c>
      <c r="G29" s="1686">
        <f t="shared" si="3"/>
        <v>28104.22</v>
      </c>
      <c r="H29" s="1687">
        <f t="shared" si="4"/>
        <v>26569.79</v>
      </c>
      <c r="I29" s="1686">
        <f t="shared" si="5"/>
        <v>5339.8</v>
      </c>
      <c r="J29" s="1672">
        <f t="shared" si="6"/>
        <v>166410.79</v>
      </c>
      <c r="K29" s="1678">
        <f t="shared" si="6"/>
        <v>33444.019999999997</v>
      </c>
    </row>
    <row r="30" spans="1:11">
      <c r="A30" s="1680" t="s">
        <v>597</v>
      </c>
      <c r="B30" s="1684" t="s">
        <v>650</v>
      </c>
      <c r="C30" s="1674">
        <v>400</v>
      </c>
      <c r="D30" s="1674" t="s">
        <v>567</v>
      </c>
      <c r="E30" s="1683">
        <f>2500*IPC*crinv</f>
        <v>3496.0250000000001</v>
      </c>
      <c r="F30" s="1665">
        <f t="shared" si="2"/>
        <v>1398410</v>
      </c>
      <c r="G30" s="1686">
        <f t="shared" si="3"/>
        <v>281042.24</v>
      </c>
      <c r="H30" s="1687">
        <f t="shared" si="4"/>
        <v>265697.90000000002</v>
      </c>
      <c r="I30" s="1686">
        <f t="shared" si="5"/>
        <v>53398.03</v>
      </c>
      <c r="J30" s="1672">
        <f t="shared" si="6"/>
        <v>1664107.9</v>
      </c>
      <c r="K30" s="1678">
        <f t="shared" si="6"/>
        <v>334440.27</v>
      </c>
    </row>
    <row r="31" spans="1:11" ht="25.5">
      <c r="A31" s="1680" t="s">
        <v>599</v>
      </c>
      <c r="B31" s="1684" t="s">
        <v>651</v>
      </c>
      <c r="C31" s="1674">
        <v>400</v>
      </c>
      <c r="D31" s="1674" t="s">
        <v>574</v>
      </c>
      <c r="E31" s="1683">
        <f>600*IPC*crinv</f>
        <v>839.04600000000005</v>
      </c>
      <c r="F31" s="1665">
        <f t="shared" si="2"/>
        <v>335618</v>
      </c>
      <c r="G31" s="1686">
        <f t="shared" si="3"/>
        <v>67450.06</v>
      </c>
      <c r="H31" s="1687">
        <f t="shared" si="4"/>
        <v>63767.42</v>
      </c>
      <c r="I31" s="1686">
        <f t="shared" si="5"/>
        <v>12815.51</v>
      </c>
      <c r="J31" s="1672">
        <f t="shared" si="6"/>
        <v>399385.42</v>
      </c>
      <c r="K31" s="1678">
        <f t="shared" si="6"/>
        <v>80265.570000000007</v>
      </c>
    </row>
    <row r="32" spans="1:11">
      <c r="A32" s="1680" t="s">
        <v>601</v>
      </c>
      <c r="B32" s="1684" t="s">
        <v>652</v>
      </c>
      <c r="C32" s="1674">
        <v>1</v>
      </c>
      <c r="D32" s="1674" t="s">
        <v>574</v>
      </c>
      <c r="E32" s="1683">
        <f>10000*IPC*crinv</f>
        <v>13984.1</v>
      </c>
      <c r="F32" s="1665">
        <f t="shared" si="2"/>
        <v>13984</v>
      </c>
      <c r="G32" s="1686">
        <f t="shared" si="3"/>
        <v>2810.4</v>
      </c>
      <c r="H32" s="1687">
        <f t="shared" si="4"/>
        <v>2656.96</v>
      </c>
      <c r="I32" s="1686">
        <f t="shared" si="5"/>
        <v>533.98</v>
      </c>
      <c r="J32" s="1672">
        <f t="shared" si="6"/>
        <v>16640.96</v>
      </c>
      <c r="K32" s="1678">
        <f t="shared" si="6"/>
        <v>3344.38</v>
      </c>
    </row>
    <row r="33" spans="1:11">
      <c r="A33" s="1680" t="s">
        <v>603</v>
      </c>
      <c r="B33" s="1684" t="s">
        <v>653</v>
      </c>
      <c r="C33" s="1674">
        <v>400</v>
      </c>
      <c r="D33" s="1674" t="s">
        <v>567</v>
      </c>
      <c r="E33" s="1683">
        <f>2500*IPC*crinv</f>
        <v>3496.0250000000001</v>
      </c>
      <c r="F33" s="1665">
        <f t="shared" si="2"/>
        <v>1398410</v>
      </c>
      <c r="G33" s="1686">
        <f t="shared" si="3"/>
        <v>281042.24</v>
      </c>
      <c r="H33" s="1687">
        <f t="shared" si="4"/>
        <v>265697.90000000002</v>
      </c>
      <c r="I33" s="1686">
        <f t="shared" si="5"/>
        <v>53398.03</v>
      </c>
      <c r="J33" s="1672">
        <f t="shared" si="6"/>
        <v>1664107.9</v>
      </c>
      <c r="K33" s="1678">
        <f t="shared" si="6"/>
        <v>334440.27</v>
      </c>
    </row>
    <row r="34" spans="1:11" ht="25.5">
      <c r="A34" s="1680" t="s">
        <v>605</v>
      </c>
      <c r="B34" s="1684" t="s">
        <v>654</v>
      </c>
      <c r="C34" s="1674">
        <v>400</v>
      </c>
      <c r="D34" s="1674" t="s">
        <v>574</v>
      </c>
      <c r="E34" s="1683">
        <f>600*IPC*crinv</f>
        <v>839.04600000000005</v>
      </c>
      <c r="F34" s="1665">
        <f t="shared" si="2"/>
        <v>335618</v>
      </c>
      <c r="G34" s="1686">
        <f t="shared" si="3"/>
        <v>67450.06</v>
      </c>
      <c r="H34" s="1687">
        <f t="shared" si="4"/>
        <v>63767.42</v>
      </c>
      <c r="I34" s="1686">
        <f t="shared" si="5"/>
        <v>12815.51</v>
      </c>
      <c r="J34" s="1672">
        <f t="shared" si="6"/>
        <v>399385.42</v>
      </c>
      <c r="K34" s="1678">
        <f t="shared" si="6"/>
        <v>80265.570000000007</v>
      </c>
    </row>
    <row r="35" spans="1:11">
      <c r="A35" s="1680" t="s">
        <v>606</v>
      </c>
      <c r="B35" s="1684" t="s">
        <v>655</v>
      </c>
      <c r="C35" s="1674">
        <v>1</v>
      </c>
      <c r="D35" s="1674" t="s">
        <v>574</v>
      </c>
      <c r="E35" s="1683">
        <f>10000*IPC*crinv</f>
        <v>13984.1</v>
      </c>
      <c r="F35" s="1665">
        <f t="shared" si="2"/>
        <v>13984</v>
      </c>
      <c r="G35" s="1686">
        <f t="shared" si="3"/>
        <v>2810.4</v>
      </c>
      <c r="H35" s="1687">
        <f t="shared" si="4"/>
        <v>2656.96</v>
      </c>
      <c r="I35" s="1686">
        <f t="shared" si="5"/>
        <v>533.98</v>
      </c>
      <c r="J35" s="1672">
        <f t="shared" si="6"/>
        <v>16640.96</v>
      </c>
      <c r="K35" s="1678">
        <f t="shared" si="6"/>
        <v>3344.38</v>
      </c>
    </row>
    <row r="36" spans="1:11">
      <c r="A36" s="1969" t="s">
        <v>163</v>
      </c>
      <c r="B36" s="1970"/>
      <c r="C36" s="609"/>
      <c r="D36" s="609"/>
      <c r="E36" s="609"/>
      <c r="F36" s="336">
        <f>SUM(F18:F35)</f>
        <v>28807246</v>
      </c>
      <c r="G36" s="336">
        <f t="shared" ref="G36:J36" si="13">SUM(G18:G35)</f>
        <v>5789470.2400000002</v>
      </c>
      <c r="H36" s="336">
        <f t="shared" si="13"/>
        <v>5473376.7400000002</v>
      </c>
      <c r="I36" s="336">
        <f t="shared" si="13"/>
        <v>1099999.3500000001</v>
      </c>
      <c r="J36" s="336">
        <f t="shared" si="13"/>
        <v>34280622.740000002</v>
      </c>
      <c r="K36" s="423">
        <f>SUM(K18:L35)</f>
        <v>6889469.5899999999</v>
      </c>
    </row>
    <row r="37" spans="1:11">
      <c r="A37" s="1971" t="s">
        <v>164</v>
      </c>
      <c r="B37" s="1972"/>
      <c r="C37" s="1972"/>
      <c r="D37" s="1972"/>
      <c r="E37" s="1972"/>
      <c r="F37" s="1972"/>
      <c r="G37" s="1972"/>
      <c r="H37" s="1972"/>
      <c r="I37" s="1972"/>
      <c r="J37" s="1972"/>
      <c r="K37" s="1973"/>
    </row>
    <row r="38" spans="1:11">
      <c r="A38" s="936" t="s">
        <v>549</v>
      </c>
      <c r="B38" s="906" t="s">
        <v>656</v>
      </c>
      <c r="C38" s="941">
        <v>1</v>
      </c>
      <c r="D38" s="941" t="s">
        <v>574</v>
      </c>
      <c r="E38" s="982">
        <f t="shared" ref="E38:E44" si="14">SUM(E63*0.15)</f>
        <v>20976.15</v>
      </c>
      <c r="F38" s="321">
        <f t="shared" ref="F38:F60" si="15">ROUND(C38*E38,0)</f>
        <v>20976</v>
      </c>
      <c r="G38" s="938">
        <f t="shared" ref="G38:G60" si="16">ROUND(F38/euro,2)</f>
        <v>4215.6000000000004</v>
      </c>
      <c r="H38" s="939">
        <f t="shared" ref="H38:H60" si="17">ROUND(F38*TVA,2)</f>
        <v>3985.44</v>
      </c>
      <c r="I38" s="938">
        <f t="shared" ref="I38:I60" si="18">ROUND(H38/euro,2)</f>
        <v>800.96</v>
      </c>
      <c r="J38" s="321">
        <f>F38+H38</f>
        <v>24961.439999999999</v>
      </c>
      <c r="K38" s="421">
        <f>G38+I38</f>
        <v>5016.5600000000004</v>
      </c>
    </row>
    <row r="39" spans="1:11">
      <c r="A39" s="936" t="s">
        <v>551</v>
      </c>
      <c r="B39" s="983" t="s">
        <v>657</v>
      </c>
      <c r="C39" s="941">
        <v>1</v>
      </c>
      <c r="D39" s="713" t="s">
        <v>574</v>
      </c>
      <c r="E39" s="982">
        <f t="shared" si="14"/>
        <v>146833.04999999999</v>
      </c>
      <c r="F39" s="321">
        <f t="shared" si="15"/>
        <v>146833</v>
      </c>
      <c r="G39" s="938">
        <f t="shared" si="16"/>
        <v>29509.43</v>
      </c>
      <c r="H39" s="939">
        <f t="shared" si="17"/>
        <v>27898.27</v>
      </c>
      <c r="I39" s="938">
        <f t="shared" si="18"/>
        <v>5606.79</v>
      </c>
      <c r="J39" s="321">
        <f t="shared" ref="J39:J60" si="19">F39+H39</f>
        <v>174731.27</v>
      </c>
      <c r="K39" s="421">
        <f t="shared" ref="K39:K60" si="20">G39+I39</f>
        <v>35116.22</v>
      </c>
    </row>
    <row r="40" spans="1:11">
      <c r="A40" s="936" t="s">
        <v>553</v>
      </c>
      <c r="B40" s="984" t="s">
        <v>658</v>
      </c>
      <c r="C40" s="941">
        <v>1</v>
      </c>
      <c r="D40" s="713" t="s">
        <v>574</v>
      </c>
      <c r="E40" s="982">
        <f t="shared" si="14"/>
        <v>125856.9</v>
      </c>
      <c r="F40" s="321">
        <f t="shared" si="15"/>
        <v>125857</v>
      </c>
      <c r="G40" s="938">
        <f t="shared" si="16"/>
        <v>25293.82</v>
      </c>
      <c r="H40" s="939">
        <f t="shared" si="17"/>
        <v>23912.83</v>
      </c>
      <c r="I40" s="938">
        <f t="shared" si="18"/>
        <v>4805.83</v>
      </c>
      <c r="J40" s="321">
        <f t="shared" si="19"/>
        <v>149769.82999999999</v>
      </c>
      <c r="K40" s="421">
        <f t="shared" si="20"/>
        <v>30099.65</v>
      </c>
    </row>
    <row r="41" spans="1:11">
      <c r="A41" s="936" t="s">
        <v>555</v>
      </c>
      <c r="B41" s="983" t="s">
        <v>659</v>
      </c>
      <c r="C41" s="941">
        <v>6</v>
      </c>
      <c r="D41" s="713" t="s">
        <v>574</v>
      </c>
      <c r="E41" s="982">
        <f t="shared" si="14"/>
        <v>18878.535</v>
      </c>
      <c r="F41" s="321">
        <f t="shared" si="15"/>
        <v>113271</v>
      </c>
      <c r="G41" s="938">
        <f t="shared" si="16"/>
        <v>22764.38</v>
      </c>
      <c r="H41" s="939">
        <f t="shared" si="17"/>
        <v>21521.49</v>
      </c>
      <c r="I41" s="938">
        <f t="shared" si="18"/>
        <v>4325.2299999999996</v>
      </c>
      <c r="J41" s="321">
        <f t="shared" si="19"/>
        <v>134792.49</v>
      </c>
      <c r="K41" s="421">
        <f t="shared" si="20"/>
        <v>27089.61</v>
      </c>
    </row>
    <row r="42" spans="1:11">
      <c r="A42" s="936" t="s">
        <v>572</v>
      </c>
      <c r="B42" s="983" t="s">
        <v>660</v>
      </c>
      <c r="C42" s="941">
        <v>1</v>
      </c>
      <c r="D42" s="713" t="s">
        <v>574</v>
      </c>
      <c r="E42" s="982">
        <f t="shared" si="14"/>
        <v>10488.075000000001</v>
      </c>
      <c r="F42" s="321">
        <f t="shared" si="15"/>
        <v>10488</v>
      </c>
      <c r="G42" s="938">
        <f t="shared" si="16"/>
        <v>2107.8000000000002</v>
      </c>
      <c r="H42" s="939">
        <f t="shared" si="17"/>
        <v>1992.72</v>
      </c>
      <c r="I42" s="938">
        <f t="shared" si="18"/>
        <v>400.48</v>
      </c>
      <c r="J42" s="321">
        <f t="shared" si="19"/>
        <v>12480.72</v>
      </c>
      <c r="K42" s="421">
        <f t="shared" si="20"/>
        <v>2508.2800000000002</v>
      </c>
    </row>
    <row r="43" spans="1:11">
      <c r="A43" s="936" t="s">
        <v>591</v>
      </c>
      <c r="B43" s="984" t="s">
        <v>661</v>
      </c>
      <c r="C43" s="941">
        <v>1</v>
      </c>
      <c r="D43" s="713" t="s">
        <v>574</v>
      </c>
      <c r="E43" s="982">
        <f t="shared" si="14"/>
        <v>125856.9</v>
      </c>
      <c r="F43" s="321">
        <f t="shared" si="15"/>
        <v>125857</v>
      </c>
      <c r="G43" s="938">
        <f t="shared" si="16"/>
        <v>25293.82</v>
      </c>
      <c r="H43" s="939">
        <f t="shared" si="17"/>
        <v>23912.83</v>
      </c>
      <c r="I43" s="938">
        <f t="shared" si="18"/>
        <v>4805.83</v>
      </c>
      <c r="J43" s="321">
        <f t="shared" si="19"/>
        <v>149769.82999999999</v>
      </c>
      <c r="K43" s="421">
        <f t="shared" si="20"/>
        <v>30099.65</v>
      </c>
    </row>
    <row r="44" spans="1:11">
      <c r="A44" s="936" t="s">
        <v>593</v>
      </c>
      <c r="B44" s="983" t="s">
        <v>662</v>
      </c>
      <c r="C44" s="941">
        <v>1</v>
      </c>
      <c r="D44" s="713" t="s">
        <v>574</v>
      </c>
      <c r="E44" s="982">
        <f t="shared" si="14"/>
        <v>146833.04999999999</v>
      </c>
      <c r="F44" s="321">
        <f t="shared" si="15"/>
        <v>146833</v>
      </c>
      <c r="G44" s="938">
        <f t="shared" si="16"/>
        <v>29509.43</v>
      </c>
      <c r="H44" s="939">
        <f t="shared" si="17"/>
        <v>27898.27</v>
      </c>
      <c r="I44" s="938">
        <f t="shared" si="18"/>
        <v>5606.79</v>
      </c>
      <c r="J44" s="321">
        <f t="shared" si="19"/>
        <v>174731.27</v>
      </c>
      <c r="K44" s="421">
        <f t="shared" si="20"/>
        <v>35116.22</v>
      </c>
    </row>
    <row r="45" spans="1:11">
      <c r="A45" s="936" t="s">
        <v>595</v>
      </c>
      <c r="B45" s="906" t="s">
        <v>663</v>
      </c>
      <c r="C45" s="941">
        <v>1</v>
      </c>
      <c r="D45" s="941" t="s">
        <v>574</v>
      </c>
      <c r="E45" s="982">
        <f>75000*IPC*crinv</f>
        <v>104880.75</v>
      </c>
      <c r="F45" s="321">
        <f t="shared" ref="F45:F57" si="21">ROUND(C45*E45,0)</f>
        <v>104881</v>
      </c>
      <c r="G45" s="938">
        <f t="shared" ref="G45:G57" si="22">ROUND(F45/euro,2)</f>
        <v>21078.22</v>
      </c>
      <c r="H45" s="939">
        <f t="shared" ref="H45:H57" si="23">ROUND(F45*TVA,2)</f>
        <v>19927.39</v>
      </c>
      <c r="I45" s="938">
        <f t="shared" ref="I45:I57" si="24">ROUND(H45/euro,2)</f>
        <v>4004.86</v>
      </c>
      <c r="J45" s="321">
        <f t="shared" ref="J45:J57" si="25">F45+H45</f>
        <v>124808.39</v>
      </c>
      <c r="K45" s="421">
        <f t="shared" ref="K45:K57" si="26">G45+I45</f>
        <v>25083.08</v>
      </c>
    </row>
    <row r="46" spans="1:11">
      <c r="A46" s="936" t="s">
        <v>597</v>
      </c>
      <c r="B46" s="984" t="s">
        <v>664</v>
      </c>
      <c r="C46" s="941">
        <v>1</v>
      </c>
      <c r="D46" s="713" t="s">
        <v>574</v>
      </c>
      <c r="E46" s="982">
        <f>150000*IPC*crinv</f>
        <v>209761.5</v>
      </c>
      <c r="F46" s="321">
        <f t="shared" si="21"/>
        <v>209762</v>
      </c>
      <c r="G46" s="938">
        <f t="shared" si="22"/>
        <v>42156.44</v>
      </c>
      <c r="H46" s="939">
        <f t="shared" si="23"/>
        <v>39854.78</v>
      </c>
      <c r="I46" s="938">
        <f t="shared" si="24"/>
        <v>8009.72</v>
      </c>
      <c r="J46" s="321">
        <f t="shared" si="25"/>
        <v>249616.78</v>
      </c>
      <c r="K46" s="421">
        <f t="shared" si="26"/>
        <v>50166.16</v>
      </c>
    </row>
    <row r="47" spans="1:11">
      <c r="A47" s="936" t="s">
        <v>599</v>
      </c>
      <c r="B47" s="984" t="s">
        <v>665</v>
      </c>
      <c r="C47" s="941">
        <v>1</v>
      </c>
      <c r="D47" s="713" t="s">
        <v>574</v>
      </c>
      <c r="E47" s="982">
        <f>105000*IPC*crinv</f>
        <v>146833.04999999999</v>
      </c>
      <c r="F47" s="321">
        <f t="shared" si="21"/>
        <v>146833</v>
      </c>
      <c r="G47" s="938">
        <f t="shared" si="22"/>
        <v>29509.43</v>
      </c>
      <c r="H47" s="939">
        <f t="shared" si="23"/>
        <v>27898.27</v>
      </c>
      <c r="I47" s="938">
        <f t="shared" si="24"/>
        <v>5606.79</v>
      </c>
      <c r="J47" s="321">
        <f t="shared" si="25"/>
        <v>174731.27</v>
      </c>
      <c r="K47" s="421">
        <f t="shared" si="26"/>
        <v>35116.22</v>
      </c>
    </row>
    <row r="48" spans="1:11">
      <c r="A48" s="936" t="s">
        <v>601</v>
      </c>
      <c r="B48" s="983" t="s">
        <v>666</v>
      </c>
      <c r="C48" s="941">
        <v>1</v>
      </c>
      <c r="D48" s="713" t="s">
        <v>574</v>
      </c>
      <c r="E48" s="982">
        <f>135000*IPC*crinv</f>
        <v>188785.35</v>
      </c>
      <c r="F48" s="321">
        <f t="shared" si="21"/>
        <v>188785</v>
      </c>
      <c r="G48" s="938">
        <f t="shared" si="22"/>
        <v>37940.629999999997</v>
      </c>
      <c r="H48" s="939">
        <f t="shared" si="23"/>
        <v>35869.15</v>
      </c>
      <c r="I48" s="938">
        <f t="shared" si="24"/>
        <v>7208.72</v>
      </c>
      <c r="J48" s="321">
        <f t="shared" si="25"/>
        <v>224654.15</v>
      </c>
      <c r="K48" s="421">
        <f t="shared" si="26"/>
        <v>45149.35</v>
      </c>
    </row>
    <row r="49" spans="1:11">
      <c r="A49" s="936" t="s">
        <v>603</v>
      </c>
      <c r="B49" s="983" t="s">
        <v>667</v>
      </c>
      <c r="C49" s="941">
        <v>1</v>
      </c>
      <c r="D49" s="713" t="s">
        <v>574</v>
      </c>
      <c r="E49" s="982">
        <f>142500*IPC*crinv</f>
        <v>199273.42499999999</v>
      </c>
      <c r="F49" s="321">
        <f t="shared" si="21"/>
        <v>199273</v>
      </c>
      <c r="G49" s="938">
        <f t="shared" si="22"/>
        <v>40048.43</v>
      </c>
      <c r="H49" s="939">
        <f t="shared" si="23"/>
        <v>37861.870000000003</v>
      </c>
      <c r="I49" s="938">
        <f t="shared" si="24"/>
        <v>7609.2</v>
      </c>
      <c r="J49" s="321">
        <f t="shared" si="25"/>
        <v>237134.87</v>
      </c>
      <c r="K49" s="421">
        <f t="shared" si="26"/>
        <v>47657.63</v>
      </c>
    </row>
    <row r="50" spans="1:11">
      <c r="A50" s="936" t="s">
        <v>605</v>
      </c>
      <c r="B50" s="983" t="s">
        <v>668</v>
      </c>
      <c r="C50" s="941">
        <v>1</v>
      </c>
      <c r="D50" s="713" t="s">
        <v>574</v>
      </c>
      <c r="E50" s="982">
        <f>90000*IPC*crinv</f>
        <v>125856.9</v>
      </c>
      <c r="F50" s="321">
        <f t="shared" si="21"/>
        <v>125857</v>
      </c>
      <c r="G50" s="938">
        <f t="shared" si="22"/>
        <v>25293.82</v>
      </c>
      <c r="H50" s="939">
        <f t="shared" si="23"/>
        <v>23912.83</v>
      </c>
      <c r="I50" s="938">
        <f t="shared" si="24"/>
        <v>4805.83</v>
      </c>
      <c r="J50" s="321">
        <f t="shared" si="25"/>
        <v>149769.82999999999</v>
      </c>
      <c r="K50" s="421">
        <f t="shared" si="26"/>
        <v>30099.65</v>
      </c>
    </row>
    <row r="51" spans="1:11">
      <c r="A51" s="936" t="s">
        <v>606</v>
      </c>
      <c r="B51" s="983" t="s">
        <v>669</v>
      </c>
      <c r="C51" s="941">
        <v>1</v>
      </c>
      <c r="D51" s="713" t="s">
        <v>574</v>
      </c>
      <c r="E51" s="982">
        <f>60000*IPC*crinv</f>
        <v>83904.6</v>
      </c>
      <c r="F51" s="321">
        <f t="shared" si="21"/>
        <v>83905</v>
      </c>
      <c r="G51" s="938">
        <f t="shared" si="22"/>
        <v>16862.62</v>
      </c>
      <c r="H51" s="939">
        <f t="shared" si="23"/>
        <v>15941.95</v>
      </c>
      <c r="I51" s="938">
        <f t="shared" si="24"/>
        <v>3203.9</v>
      </c>
      <c r="J51" s="321">
        <f t="shared" si="25"/>
        <v>99846.95</v>
      </c>
      <c r="K51" s="421">
        <f t="shared" si="26"/>
        <v>20066.52</v>
      </c>
    </row>
    <row r="52" spans="1:11">
      <c r="A52" s="936" t="s">
        <v>607</v>
      </c>
      <c r="B52" s="983" t="s">
        <v>670</v>
      </c>
      <c r="C52" s="941">
        <v>1</v>
      </c>
      <c r="D52" s="713" t="s">
        <v>574</v>
      </c>
      <c r="E52" s="982">
        <f>30000*IPC*crinv</f>
        <v>41952.3</v>
      </c>
      <c r="F52" s="321">
        <f t="shared" si="21"/>
        <v>41952</v>
      </c>
      <c r="G52" s="938">
        <f t="shared" si="22"/>
        <v>8431.2099999999991</v>
      </c>
      <c r="H52" s="939">
        <f t="shared" si="23"/>
        <v>7970.88</v>
      </c>
      <c r="I52" s="938">
        <f t="shared" si="24"/>
        <v>1601.93</v>
      </c>
      <c r="J52" s="321">
        <f t="shared" si="25"/>
        <v>49922.879999999997</v>
      </c>
      <c r="K52" s="421">
        <f t="shared" si="26"/>
        <v>10033.14</v>
      </c>
    </row>
    <row r="53" spans="1:11">
      <c r="A53" s="936" t="s">
        <v>609</v>
      </c>
      <c r="B53" s="983" t="s">
        <v>671</v>
      </c>
      <c r="C53" s="941">
        <v>1</v>
      </c>
      <c r="D53" s="713" t="s">
        <v>574</v>
      </c>
      <c r="E53" s="982">
        <f>75000*IPC*crinv</f>
        <v>104880.75</v>
      </c>
      <c r="F53" s="321">
        <f t="shared" si="21"/>
        <v>104881</v>
      </c>
      <c r="G53" s="938">
        <f t="shared" si="22"/>
        <v>21078.22</v>
      </c>
      <c r="H53" s="939">
        <f t="shared" si="23"/>
        <v>19927.39</v>
      </c>
      <c r="I53" s="938">
        <f t="shared" si="24"/>
        <v>4004.86</v>
      </c>
      <c r="J53" s="321">
        <f t="shared" si="25"/>
        <v>124808.39</v>
      </c>
      <c r="K53" s="421">
        <f t="shared" si="26"/>
        <v>25083.08</v>
      </c>
    </row>
    <row r="54" spans="1:11">
      <c r="A54" s="936" t="s">
        <v>611</v>
      </c>
      <c r="B54" s="983" t="s">
        <v>672</v>
      </c>
      <c r="C54" s="941">
        <v>1</v>
      </c>
      <c r="D54" s="713" t="s">
        <v>574</v>
      </c>
      <c r="E54" s="982">
        <f>12000*IPC*crinv</f>
        <v>16780.919999999998</v>
      </c>
      <c r="F54" s="321">
        <f t="shared" si="21"/>
        <v>16781</v>
      </c>
      <c r="G54" s="938">
        <f t="shared" si="22"/>
        <v>3372.52</v>
      </c>
      <c r="H54" s="939">
        <f t="shared" si="23"/>
        <v>3188.39</v>
      </c>
      <c r="I54" s="938">
        <f t="shared" si="24"/>
        <v>640.78</v>
      </c>
      <c r="J54" s="321">
        <f t="shared" si="25"/>
        <v>19969.39</v>
      </c>
      <c r="K54" s="421">
        <f t="shared" si="26"/>
        <v>4013.3</v>
      </c>
    </row>
    <row r="55" spans="1:11">
      <c r="A55" s="936" t="s">
        <v>613</v>
      </c>
      <c r="B55" s="983" t="s">
        <v>673</v>
      </c>
      <c r="C55" s="941">
        <v>1</v>
      </c>
      <c r="D55" s="713" t="s">
        <v>574</v>
      </c>
      <c r="E55" s="982">
        <f>27000*IPC*crinv</f>
        <v>37757.07</v>
      </c>
      <c r="F55" s="321">
        <f t="shared" si="21"/>
        <v>37757</v>
      </c>
      <c r="G55" s="938">
        <f t="shared" si="22"/>
        <v>7588.13</v>
      </c>
      <c r="H55" s="939">
        <f t="shared" si="23"/>
        <v>7173.83</v>
      </c>
      <c r="I55" s="938">
        <f t="shared" si="24"/>
        <v>1441.74</v>
      </c>
      <c r="J55" s="321">
        <f t="shared" si="25"/>
        <v>44930.83</v>
      </c>
      <c r="K55" s="421">
        <f t="shared" si="26"/>
        <v>9029.8700000000008</v>
      </c>
    </row>
    <row r="56" spans="1:11">
      <c r="A56" s="936" t="s">
        <v>615</v>
      </c>
      <c r="B56" s="983" t="s">
        <v>674</v>
      </c>
      <c r="C56" s="941">
        <v>1</v>
      </c>
      <c r="D56" s="713" t="s">
        <v>574</v>
      </c>
      <c r="E56" s="982">
        <f>120000*IPC*crinv</f>
        <v>167809.2</v>
      </c>
      <c r="F56" s="321">
        <f t="shared" si="21"/>
        <v>167809</v>
      </c>
      <c r="G56" s="938">
        <f t="shared" si="22"/>
        <v>33725.03</v>
      </c>
      <c r="H56" s="939">
        <f t="shared" si="23"/>
        <v>31883.71</v>
      </c>
      <c r="I56" s="938">
        <f t="shared" si="24"/>
        <v>6407.76</v>
      </c>
      <c r="J56" s="321">
        <f t="shared" si="25"/>
        <v>199692.71</v>
      </c>
      <c r="K56" s="421">
        <f t="shared" si="26"/>
        <v>40132.79</v>
      </c>
    </row>
    <row r="57" spans="1:11">
      <c r="A57" s="936" t="s">
        <v>617</v>
      </c>
      <c r="B57" s="983" t="s">
        <v>675</v>
      </c>
      <c r="C57" s="941">
        <v>1</v>
      </c>
      <c r="D57" s="713" t="s">
        <v>574</v>
      </c>
      <c r="E57" s="982">
        <f>105000*IPC*crinv</f>
        <v>146833.04999999999</v>
      </c>
      <c r="F57" s="321">
        <f t="shared" si="21"/>
        <v>146833</v>
      </c>
      <c r="G57" s="938">
        <f t="shared" si="22"/>
        <v>29509.43</v>
      </c>
      <c r="H57" s="939">
        <f t="shared" si="23"/>
        <v>27898.27</v>
      </c>
      <c r="I57" s="938">
        <f t="shared" si="24"/>
        <v>5606.79</v>
      </c>
      <c r="J57" s="321">
        <f t="shared" si="25"/>
        <v>174731.27</v>
      </c>
      <c r="K57" s="421">
        <f t="shared" si="26"/>
        <v>35116.22</v>
      </c>
    </row>
    <row r="58" spans="1:11">
      <c r="A58" s="936" t="s">
        <v>619</v>
      </c>
      <c r="B58" s="945" t="s">
        <v>676</v>
      </c>
      <c r="C58" s="713">
        <v>1</v>
      </c>
      <c r="D58" s="717" t="s">
        <v>574</v>
      </c>
      <c r="E58" s="982">
        <f>SUM(E83*0.15)</f>
        <v>20976.15</v>
      </c>
      <c r="F58" s="321">
        <f t="shared" si="15"/>
        <v>20976</v>
      </c>
      <c r="G58" s="938">
        <f t="shared" si="16"/>
        <v>4215.6000000000004</v>
      </c>
      <c r="H58" s="939">
        <f t="shared" si="17"/>
        <v>3985.44</v>
      </c>
      <c r="I58" s="938">
        <f t="shared" si="18"/>
        <v>800.96</v>
      </c>
      <c r="J58" s="321">
        <f t="shared" si="19"/>
        <v>24961.439999999999</v>
      </c>
      <c r="K58" s="421">
        <f t="shared" si="20"/>
        <v>5016.5600000000004</v>
      </c>
    </row>
    <row r="59" spans="1:11" ht="38.25">
      <c r="A59" s="936" t="s">
        <v>621</v>
      </c>
      <c r="B59" s="985" t="s">
        <v>677</v>
      </c>
      <c r="C59" s="941">
        <v>1</v>
      </c>
      <c r="D59" s="713" t="s">
        <v>574</v>
      </c>
      <c r="E59" s="982">
        <f>(1200000+375000)*IPC*crinv</f>
        <v>2202495.75</v>
      </c>
      <c r="F59" s="321">
        <f t="shared" si="15"/>
        <v>2202496</v>
      </c>
      <c r="G59" s="938">
        <f t="shared" si="16"/>
        <v>442641.59</v>
      </c>
      <c r="H59" s="939">
        <f t="shared" si="17"/>
        <v>418474.23999999999</v>
      </c>
      <c r="I59" s="938">
        <f t="shared" si="18"/>
        <v>84101.9</v>
      </c>
      <c r="J59" s="321">
        <f t="shared" si="19"/>
        <v>2620970.2400000002</v>
      </c>
      <c r="K59" s="421">
        <f t="shared" si="20"/>
        <v>526743.49</v>
      </c>
    </row>
    <row r="60" spans="1:11">
      <c r="A60" s="936" t="s">
        <v>623</v>
      </c>
      <c r="B60" s="983" t="s">
        <v>678</v>
      </c>
      <c r="C60" s="941">
        <v>1</v>
      </c>
      <c r="D60" s="713" t="s">
        <v>574</v>
      </c>
      <c r="E60" s="982">
        <f>SUM(E85*0.15)+150000</f>
        <v>674403.75</v>
      </c>
      <c r="F60" s="321">
        <f t="shared" si="15"/>
        <v>674404</v>
      </c>
      <c r="G60" s="938">
        <f t="shared" si="16"/>
        <v>135536.79999999999</v>
      </c>
      <c r="H60" s="939">
        <f t="shared" si="17"/>
        <v>128136.76</v>
      </c>
      <c r="I60" s="938">
        <f t="shared" si="18"/>
        <v>25751.99</v>
      </c>
      <c r="J60" s="321">
        <f t="shared" si="19"/>
        <v>802540.76</v>
      </c>
      <c r="K60" s="421">
        <f t="shared" si="20"/>
        <v>161288.79</v>
      </c>
    </row>
    <row r="61" spans="1:11" ht="12" customHeight="1">
      <c r="A61" s="1969" t="s">
        <v>166</v>
      </c>
      <c r="B61" s="1970"/>
      <c r="C61" s="609"/>
      <c r="D61" s="609"/>
      <c r="E61" s="609"/>
      <c r="F61" s="396">
        <f>SUM(F38:F60)</f>
        <v>5163300</v>
      </c>
      <c r="G61" s="942">
        <f t="shared" ref="G61:K61" si="27">SUM(G38:G60)</f>
        <v>1037682.4</v>
      </c>
      <c r="H61" s="396">
        <f t="shared" si="27"/>
        <v>981027</v>
      </c>
      <c r="I61" s="942">
        <f t="shared" si="27"/>
        <v>197159.64</v>
      </c>
      <c r="J61" s="337">
        <f t="shared" si="27"/>
        <v>6144327</v>
      </c>
      <c r="K61" s="423">
        <f t="shared" si="27"/>
        <v>1234842.04</v>
      </c>
    </row>
    <row r="62" spans="1:11">
      <c r="A62" s="1971" t="s">
        <v>167</v>
      </c>
      <c r="B62" s="1972"/>
      <c r="C62" s="1972"/>
      <c r="D62" s="1972"/>
      <c r="E62" s="1972"/>
      <c r="F62" s="1972"/>
      <c r="G62" s="1972"/>
      <c r="H62" s="1972"/>
      <c r="I62" s="1972"/>
      <c r="J62" s="1972"/>
      <c r="K62" s="1973"/>
    </row>
    <row r="63" spans="1:11">
      <c r="A63" s="936" t="s">
        <v>549</v>
      </c>
      <c r="B63" s="906" t="s">
        <v>679</v>
      </c>
      <c r="C63" s="713">
        <v>1</v>
      </c>
      <c r="D63" s="713" t="s">
        <v>574</v>
      </c>
      <c r="E63" s="926">
        <f>100000*IPC*crinv</f>
        <v>139841</v>
      </c>
      <c r="F63" s="943">
        <f t="shared" ref="F63:F85" si="28">ROUND(C63*E63,0)</f>
        <v>139841</v>
      </c>
      <c r="G63" s="938">
        <f t="shared" ref="G63:G85" si="29">ROUND(F63/euro,2)</f>
        <v>28104.22</v>
      </c>
      <c r="H63" s="939">
        <f t="shared" ref="H63:H85" si="30">ROUND(F63*TVA,2)</f>
        <v>26569.79</v>
      </c>
      <c r="I63" s="938">
        <f t="shared" ref="I63:I85" si="31">ROUND(H63/euro,2)</f>
        <v>5339.8</v>
      </c>
      <c r="J63" s="321">
        <f t="shared" ref="J63:J85" si="32">F63+H63</f>
        <v>166410.79</v>
      </c>
      <c r="K63" s="421">
        <f t="shared" ref="K63:K85" si="33">G63+I63</f>
        <v>33444.019999999997</v>
      </c>
    </row>
    <row r="64" spans="1:11">
      <c r="A64" s="936" t="s">
        <v>551</v>
      </c>
      <c r="B64" s="983" t="s">
        <v>680</v>
      </c>
      <c r="C64" s="941">
        <v>1</v>
      </c>
      <c r="D64" s="986" t="s">
        <v>574</v>
      </c>
      <c r="E64" s="987">
        <f>700000*IPC*crinv</f>
        <v>978887</v>
      </c>
      <c r="F64" s="320">
        <f t="shared" si="28"/>
        <v>978887</v>
      </c>
      <c r="G64" s="938">
        <f t="shared" si="29"/>
        <v>196729.57</v>
      </c>
      <c r="H64" s="939">
        <f t="shared" si="30"/>
        <v>185988.53</v>
      </c>
      <c r="I64" s="938">
        <f t="shared" si="31"/>
        <v>37378.620000000003</v>
      </c>
      <c r="J64" s="321">
        <f t="shared" si="32"/>
        <v>1164875.53</v>
      </c>
      <c r="K64" s="421">
        <f t="shared" si="33"/>
        <v>234108.19</v>
      </c>
    </row>
    <row r="65" spans="1:11">
      <c r="A65" s="936" t="s">
        <v>553</v>
      </c>
      <c r="B65" s="984" t="s">
        <v>658</v>
      </c>
      <c r="C65" s="941">
        <v>1</v>
      </c>
      <c r="D65" s="986" t="s">
        <v>574</v>
      </c>
      <c r="E65" s="987">
        <f>600000*IPC*crinv</f>
        <v>839046</v>
      </c>
      <c r="F65" s="320">
        <f t="shared" si="28"/>
        <v>839046</v>
      </c>
      <c r="G65" s="938">
        <f t="shared" si="29"/>
        <v>168625.35</v>
      </c>
      <c r="H65" s="939">
        <f t="shared" si="30"/>
        <v>159418.74</v>
      </c>
      <c r="I65" s="938">
        <f t="shared" si="31"/>
        <v>32038.82</v>
      </c>
      <c r="J65" s="321">
        <f t="shared" si="32"/>
        <v>998464.74</v>
      </c>
      <c r="K65" s="421">
        <f t="shared" si="33"/>
        <v>200664.17</v>
      </c>
    </row>
    <row r="66" spans="1:11">
      <c r="A66" s="936" t="s">
        <v>555</v>
      </c>
      <c r="B66" s="983" t="s">
        <v>659</v>
      </c>
      <c r="C66" s="941">
        <v>6</v>
      </c>
      <c r="D66" s="986" t="s">
        <v>574</v>
      </c>
      <c r="E66" s="982">
        <f>90000*IPC*crinv</f>
        <v>125856.9</v>
      </c>
      <c r="F66" s="320">
        <f t="shared" si="28"/>
        <v>755141</v>
      </c>
      <c r="G66" s="938">
        <f t="shared" si="29"/>
        <v>151762.73000000001</v>
      </c>
      <c r="H66" s="939">
        <f t="shared" si="30"/>
        <v>143476.79</v>
      </c>
      <c r="I66" s="938">
        <f t="shared" si="31"/>
        <v>28834.92</v>
      </c>
      <c r="J66" s="321">
        <f t="shared" si="32"/>
        <v>898617.79</v>
      </c>
      <c r="K66" s="421">
        <f t="shared" si="33"/>
        <v>180597.65</v>
      </c>
    </row>
    <row r="67" spans="1:11">
      <c r="A67" s="936" t="s">
        <v>572</v>
      </c>
      <c r="B67" s="983" t="s">
        <v>660</v>
      </c>
      <c r="C67" s="941">
        <v>1</v>
      </c>
      <c r="D67" s="986" t="s">
        <v>574</v>
      </c>
      <c r="E67" s="987">
        <f>50000*IPC*crinv</f>
        <v>69920.5</v>
      </c>
      <c r="F67" s="320">
        <f t="shared" si="28"/>
        <v>69921</v>
      </c>
      <c r="G67" s="938">
        <f t="shared" si="29"/>
        <v>14052.21</v>
      </c>
      <c r="H67" s="939">
        <f t="shared" si="30"/>
        <v>13284.99</v>
      </c>
      <c r="I67" s="938">
        <f t="shared" si="31"/>
        <v>2669.92</v>
      </c>
      <c r="J67" s="321">
        <f t="shared" si="32"/>
        <v>83205.990000000005</v>
      </c>
      <c r="K67" s="421">
        <f t="shared" si="33"/>
        <v>16722.13</v>
      </c>
    </row>
    <row r="68" spans="1:11">
      <c r="A68" s="936" t="s">
        <v>591</v>
      </c>
      <c r="B68" s="984" t="s">
        <v>661</v>
      </c>
      <c r="C68" s="941">
        <v>1</v>
      </c>
      <c r="D68" s="986" t="s">
        <v>574</v>
      </c>
      <c r="E68" s="982">
        <f>600000*IPC*crinv</f>
        <v>839046</v>
      </c>
      <c r="F68" s="320">
        <f t="shared" si="28"/>
        <v>839046</v>
      </c>
      <c r="G68" s="938">
        <f t="shared" si="29"/>
        <v>168625.35</v>
      </c>
      <c r="H68" s="939">
        <f t="shared" si="30"/>
        <v>159418.74</v>
      </c>
      <c r="I68" s="938">
        <f t="shared" si="31"/>
        <v>32038.82</v>
      </c>
      <c r="J68" s="321">
        <f t="shared" si="32"/>
        <v>998464.74</v>
      </c>
      <c r="K68" s="421">
        <f t="shared" si="33"/>
        <v>200664.17</v>
      </c>
    </row>
    <row r="69" spans="1:11">
      <c r="A69" s="936" t="s">
        <v>593</v>
      </c>
      <c r="B69" s="983" t="s">
        <v>662</v>
      </c>
      <c r="C69" s="941">
        <v>1</v>
      </c>
      <c r="D69" s="986" t="s">
        <v>574</v>
      </c>
      <c r="E69" s="982">
        <f>700000*IPC*crinv</f>
        <v>978887</v>
      </c>
      <c r="F69" s="320">
        <f t="shared" si="28"/>
        <v>978887</v>
      </c>
      <c r="G69" s="938">
        <f t="shared" si="29"/>
        <v>196729.57</v>
      </c>
      <c r="H69" s="939">
        <f t="shared" si="30"/>
        <v>185988.53</v>
      </c>
      <c r="I69" s="938">
        <f t="shared" si="31"/>
        <v>37378.620000000003</v>
      </c>
      <c r="J69" s="321">
        <f t="shared" si="32"/>
        <v>1164875.53</v>
      </c>
      <c r="K69" s="421">
        <f t="shared" si="33"/>
        <v>234108.19</v>
      </c>
    </row>
    <row r="70" spans="1:11">
      <c r="A70" s="936" t="s">
        <v>595</v>
      </c>
      <c r="B70" s="906" t="s">
        <v>663</v>
      </c>
      <c r="C70" s="941">
        <v>1</v>
      </c>
      <c r="D70" s="941" t="s">
        <v>574</v>
      </c>
      <c r="E70" s="982">
        <f>500000*IPC*crinv</f>
        <v>699205</v>
      </c>
      <c r="F70" s="320">
        <f t="shared" ref="F70:F82" si="34">ROUND(C70*E70,0)</f>
        <v>699205</v>
      </c>
      <c r="G70" s="938">
        <f t="shared" ref="G70:G82" si="35">ROUND(F70/euro,2)</f>
        <v>140521.12</v>
      </c>
      <c r="H70" s="939">
        <f t="shared" ref="H70:H82" si="36">ROUND(F70*TVA,2)</f>
        <v>132848.95000000001</v>
      </c>
      <c r="I70" s="938">
        <f t="shared" ref="I70:I82" si="37">ROUND(H70/euro,2)</f>
        <v>26699.01</v>
      </c>
      <c r="J70" s="321">
        <f t="shared" ref="J70:J82" si="38">F70+H70</f>
        <v>832053.95</v>
      </c>
      <c r="K70" s="421">
        <f t="shared" ref="K70:K82" si="39">G70+I70</f>
        <v>167220.13</v>
      </c>
    </row>
    <row r="71" spans="1:11">
      <c r="A71" s="936" t="s">
        <v>597</v>
      </c>
      <c r="B71" s="984" t="s">
        <v>664</v>
      </c>
      <c r="C71" s="941">
        <v>1</v>
      </c>
      <c r="D71" s="713" t="s">
        <v>574</v>
      </c>
      <c r="E71" s="982">
        <f>1000000*IPC*crinv</f>
        <v>1398410</v>
      </c>
      <c r="F71" s="320">
        <f t="shared" si="34"/>
        <v>1398410</v>
      </c>
      <c r="G71" s="938">
        <f t="shared" si="35"/>
        <v>281042.24</v>
      </c>
      <c r="H71" s="939">
        <f t="shared" si="36"/>
        <v>265697.90000000002</v>
      </c>
      <c r="I71" s="938">
        <f t="shared" si="37"/>
        <v>53398.03</v>
      </c>
      <c r="J71" s="321">
        <f t="shared" si="38"/>
        <v>1664107.9</v>
      </c>
      <c r="K71" s="421">
        <f t="shared" si="39"/>
        <v>334440.27</v>
      </c>
    </row>
    <row r="72" spans="1:11">
      <c r="A72" s="936" t="s">
        <v>599</v>
      </c>
      <c r="B72" s="984" t="s">
        <v>665</v>
      </c>
      <c r="C72" s="941">
        <v>1</v>
      </c>
      <c r="D72" s="713" t="s">
        <v>574</v>
      </c>
      <c r="E72" s="982">
        <f>700000*IPC*crinv</f>
        <v>978887</v>
      </c>
      <c r="F72" s="320">
        <f t="shared" si="34"/>
        <v>978887</v>
      </c>
      <c r="G72" s="938">
        <f t="shared" si="35"/>
        <v>196729.57</v>
      </c>
      <c r="H72" s="939">
        <f t="shared" si="36"/>
        <v>185988.53</v>
      </c>
      <c r="I72" s="938">
        <f t="shared" si="37"/>
        <v>37378.620000000003</v>
      </c>
      <c r="J72" s="321">
        <f t="shared" si="38"/>
        <v>1164875.53</v>
      </c>
      <c r="K72" s="421">
        <f t="shared" si="39"/>
        <v>234108.19</v>
      </c>
    </row>
    <row r="73" spans="1:11">
      <c r="A73" s="936" t="s">
        <v>601</v>
      </c>
      <c r="B73" s="983" t="s">
        <v>666</v>
      </c>
      <c r="C73" s="941">
        <v>1</v>
      </c>
      <c r="D73" s="713" t="s">
        <v>574</v>
      </c>
      <c r="E73" s="982">
        <f>900000*IPC*crinv</f>
        <v>1258569</v>
      </c>
      <c r="F73" s="320">
        <f t="shared" si="34"/>
        <v>1258569</v>
      </c>
      <c r="G73" s="938">
        <f t="shared" si="35"/>
        <v>252938.02</v>
      </c>
      <c r="H73" s="939">
        <f t="shared" si="36"/>
        <v>239128.11</v>
      </c>
      <c r="I73" s="938">
        <f t="shared" si="37"/>
        <v>48058.22</v>
      </c>
      <c r="J73" s="321">
        <f t="shared" si="38"/>
        <v>1497697.11</v>
      </c>
      <c r="K73" s="421">
        <f t="shared" si="39"/>
        <v>300996.24</v>
      </c>
    </row>
    <row r="74" spans="1:11">
      <c r="A74" s="936" t="s">
        <v>603</v>
      </c>
      <c r="B74" s="983" t="s">
        <v>667</v>
      </c>
      <c r="C74" s="941">
        <v>1</v>
      </c>
      <c r="D74" s="713" t="s">
        <v>574</v>
      </c>
      <c r="E74" s="982">
        <f>950000*IPC*crinv</f>
        <v>1328489.5</v>
      </c>
      <c r="F74" s="320">
        <f t="shared" si="34"/>
        <v>1328490</v>
      </c>
      <c r="G74" s="938">
        <f t="shared" si="35"/>
        <v>266990.23</v>
      </c>
      <c r="H74" s="939">
        <f t="shared" si="36"/>
        <v>252413.1</v>
      </c>
      <c r="I74" s="938">
        <f t="shared" si="37"/>
        <v>50728.14</v>
      </c>
      <c r="J74" s="321">
        <f t="shared" si="38"/>
        <v>1580903.1</v>
      </c>
      <c r="K74" s="421">
        <f t="shared" si="39"/>
        <v>317718.37</v>
      </c>
    </row>
    <row r="75" spans="1:11">
      <c r="A75" s="936" t="s">
        <v>605</v>
      </c>
      <c r="B75" s="983" t="s">
        <v>668</v>
      </c>
      <c r="C75" s="941">
        <v>1</v>
      </c>
      <c r="D75" s="713" t="s">
        <v>574</v>
      </c>
      <c r="E75" s="982">
        <f>600000*IPC*crinv</f>
        <v>839046</v>
      </c>
      <c r="F75" s="320">
        <f t="shared" si="34"/>
        <v>839046</v>
      </c>
      <c r="G75" s="938">
        <f t="shared" si="35"/>
        <v>168625.35</v>
      </c>
      <c r="H75" s="939">
        <f t="shared" si="36"/>
        <v>159418.74</v>
      </c>
      <c r="I75" s="938">
        <f t="shared" si="37"/>
        <v>32038.82</v>
      </c>
      <c r="J75" s="321">
        <f t="shared" si="38"/>
        <v>998464.74</v>
      </c>
      <c r="K75" s="421">
        <f t="shared" si="39"/>
        <v>200664.17</v>
      </c>
    </row>
    <row r="76" spans="1:11">
      <c r="A76" s="936" t="s">
        <v>606</v>
      </c>
      <c r="B76" s="983" t="s">
        <v>669</v>
      </c>
      <c r="C76" s="941">
        <v>1</v>
      </c>
      <c r="D76" s="713" t="s">
        <v>574</v>
      </c>
      <c r="E76" s="982">
        <f>400000*IPC*crinv</f>
        <v>559364</v>
      </c>
      <c r="F76" s="320">
        <f t="shared" si="34"/>
        <v>559364</v>
      </c>
      <c r="G76" s="938">
        <f t="shared" si="35"/>
        <v>112416.9</v>
      </c>
      <c r="H76" s="939">
        <f t="shared" si="36"/>
        <v>106279.16</v>
      </c>
      <c r="I76" s="938">
        <f t="shared" si="37"/>
        <v>21359.21</v>
      </c>
      <c r="J76" s="321">
        <f t="shared" si="38"/>
        <v>665643.16</v>
      </c>
      <c r="K76" s="421">
        <f t="shared" si="39"/>
        <v>133776.10999999999</v>
      </c>
    </row>
    <row r="77" spans="1:11">
      <c r="A77" s="936" t="s">
        <v>607</v>
      </c>
      <c r="B77" s="983" t="s">
        <v>670</v>
      </c>
      <c r="C77" s="941">
        <v>1</v>
      </c>
      <c r="D77" s="713" t="s">
        <v>574</v>
      </c>
      <c r="E77" s="982">
        <f>200000*IPC*crinv</f>
        <v>279682</v>
      </c>
      <c r="F77" s="320">
        <f t="shared" si="34"/>
        <v>279682</v>
      </c>
      <c r="G77" s="938">
        <f t="shared" si="35"/>
        <v>56208.45</v>
      </c>
      <c r="H77" s="939">
        <f t="shared" si="36"/>
        <v>53139.58</v>
      </c>
      <c r="I77" s="938">
        <f t="shared" si="37"/>
        <v>10679.61</v>
      </c>
      <c r="J77" s="321">
        <f t="shared" si="38"/>
        <v>332821.58</v>
      </c>
      <c r="K77" s="421">
        <f t="shared" si="39"/>
        <v>66888.06</v>
      </c>
    </row>
    <row r="78" spans="1:11">
      <c r="A78" s="936" t="s">
        <v>609</v>
      </c>
      <c r="B78" s="983" t="s">
        <v>671</v>
      </c>
      <c r="C78" s="941">
        <v>1</v>
      </c>
      <c r="D78" s="713" t="s">
        <v>574</v>
      </c>
      <c r="E78" s="982">
        <f>500000*IPC*crinv</f>
        <v>699205</v>
      </c>
      <c r="F78" s="320">
        <f t="shared" si="34"/>
        <v>699205</v>
      </c>
      <c r="G78" s="938">
        <f t="shared" si="35"/>
        <v>140521.12</v>
      </c>
      <c r="H78" s="939">
        <f t="shared" si="36"/>
        <v>132848.95000000001</v>
      </c>
      <c r="I78" s="938">
        <f t="shared" si="37"/>
        <v>26699.01</v>
      </c>
      <c r="J78" s="321">
        <f t="shared" si="38"/>
        <v>832053.95</v>
      </c>
      <c r="K78" s="421">
        <f t="shared" si="39"/>
        <v>167220.13</v>
      </c>
    </row>
    <row r="79" spans="1:11">
      <c r="A79" s="936" t="s">
        <v>611</v>
      </c>
      <c r="B79" s="983" t="s">
        <v>672</v>
      </c>
      <c r="C79" s="941">
        <v>1</v>
      </c>
      <c r="D79" s="713" t="s">
        <v>574</v>
      </c>
      <c r="E79" s="982">
        <f>80000*IPC*crinv</f>
        <v>111872.8</v>
      </c>
      <c r="F79" s="320">
        <f t="shared" si="34"/>
        <v>111873</v>
      </c>
      <c r="G79" s="938">
        <f t="shared" si="35"/>
        <v>22483.42</v>
      </c>
      <c r="H79" s="939">
        <f t="shared" si="36"/>
        <v>21255.87</v>
      </c>
      <c r="I79" s="938">
        <f t="shared" si="37"/>
        <v>4271.8500000000004</v>
      </c>
      <c r="J79" s="321">
        <f t="shared" si="38"/>
        <v>133128.87</v>
      </c>
      <c r="K79" s="421">
        <f t="shared" si="39"/>
        <v>26755.27</v>
      </c>
    </row>
    <row r="80" spans="1:11">
      <c r="A80" s="936" t="s">
        <v>613</v>
      </c>
      <c r="B80" s="983" t="s">
        <v>673</v>
      </c>
      <c r="C80" s="941">
        <v>1</v>
      </c>
      <c r="D80" s="713" t="s">
        <v>574</v>
      </c>
      <c r="E80" s="982">
        <f>180000*IPC*crinv</f>
        <v>251713.8</v>
      </c>
      <c r="F80" s="320">
        <f t="shared" si="34"/>
        <v>251714</v>
      </c>
      <c r="G80" s="938">
        <f t="shared" si="35"/>
        <v>50587.64</v>
      </c>
      <c r="H80" s="939">
        <f t="shared" si="36"/>
        <v>47825.66</v>
      </c>
      <c r="I80" s="938">
        <f t="shared" si="37"/>
        <v>9611.65</v>
      </c>
      <c r="J80" s="321">
        <f t="shared" si="38"/>
        <v>299539.65999999997</v>
      </c>
      <c r="K80" s="421">
        <f t="shared" si="39"/>
        <v>60199.29</v>
      </c>
    </row>
    <row r="81" spans="1:14">
      <c r="A81" s="936" t="s">
        <v>615</v>
      </c>
      <c r="B81" s="983" t="s">
        <v>674</v>
      </c>
      <c r="C81" s="941">
        <v>1</v>
      </c>
      <c r="D81" s="713" t="s">
        <v>574</v>
      </c>
      <c r="E81" s="982">
        <f>800000*IPC*crinv</f>
        <v>1118728</v>
      </c>
      <c r="F81" s="320">
        <f t="shared" si="34"/>
        <v>1118728</v>
      </c>
      <c r="G81" s="938">
        <f t="shared" si="35"/>
        <v>224833.8</v>
      </c>
      <c r="H81" s="939">
        <f t="shared" si="36"/>
        <v>212558.32</v>
      </c>
      <c r="I81" s="938">
        <f t="shared" si="37"/>
        <v>42718.42</v>
      </c>
      <c r="J81" s="321">
        <f t="shared" si="38"/>
        <v>1331286.32</v>
      </c>
      <c r="K81" s="421">
        <f t="shared" si="39"/>
        <v>267552.21999999997</v>
      </c>
    </row>
    <row r="82" spans="1:14">
      <c r="A82" s="936" t="s">
        <v>617</v>
      </c>
      <c r="B82" s="983" t="s">
        <v>675</v>
      </c>
      <c r="C82" s="941">
        <v>1</v>
      </c>
      <c r="D82" s="713" t="s">
        <v>574</v>
      </c>
      <c r="E82" s="982">
        <f>700000*IPC*crinv</f>
        <v>978887</v>
      </c>
      <c r="F82" s="320">
        <f t="shared" si="34"/>
        <v>978887</v>
      </c>
      <c r="G82" s="938">
        <f t="shared" si="35"/>
        <v>196729.57</v>
      </c>
      <c r="H82" s="939">
        <f t="shared" si="36"/>
        <v>185988.53</v>
      </c>
      <c r="I82" s="938">
        <f t="shared" si="37"/>
        <v>37378.620000000003</v>
      </c>
      <c r="J82" s="321">
        <f t="shared" si="38"/>
        <v>1164875.53</v>
      </c>
      <c r="K82" s="421">
        <f t="shared" si="39"/>
        <v>234108.19</v>
      </c>
    </row>
    <row r="83" spans="1:14">
      <c r="A83" s="936" t="s">
        <v>619</v>
      </c>
      <c r="B83" s="945" t="s">
        <v>676</v>
      </c>
      <c r="C83" s="713">
        <v>1</v>
      </c>
      <c r="D83" s="717" t="s">
        <v>574</v>
      </c>
      <c r="E83" s="926">
        <f>100000*IPC*crinv</f>
        <v>139841</v>
      </c>
      <c r="F83" s="320">
        <f t="shared" si="28"/>
        <v>139841</v>
      </c>
      <c r="G83" s="938">
        <f t="shared" si="29"/>
        <v>28104.22</v>
      </c>
      <c r="H83" s="939">
        <f t="shared" si="30"/>
        <v>26569.79</v>
      </c>
      <c r="I83" s="938">
        <f t="shared" si="31"/>
        <v>5339.8</v>
      </c>
      <c r="J83" s="321">
        <f t="shared" si="32"/>
        <v>166410.79</v>
      </c>
      <c r="K83" s="421">
        <f t="shared" si="33"/>
        <v>33444.019999999997</v>
      </c>
    </row>
    <row r="84" spans="1:14" ht="38.25">
      <c r="A84" s="936" t="s">
        <v>621</v>
      </c>
      <c r="B84" s="985" t="s">
        <v>677</v>
      </c>
      <c r="C84" s="941">
        <v>1</v>
      </c>
      <c r="D84" s="713" t="s">
        <v>574</v>
      </c>
      <c r="E84" s="982">
        <f>(2500000+8000000)*IPC*crinv</f>
        <v>14683305</v>
      </c>
      <c r="F84" s="320">
        <f t="shared" si="28"/>
        <v>14683305</v>
      </c>
      <c r="G84" s="938">
        <f t="shared" si="29"/>
        <v>2950943.57</v>
      </c>
      <c r="H84" s="939">
        <f t="shared" si="30"/>
        <v>2789827.95</v>
      </c>
      <c r="I84" s="938">
        <f t="shared" si="31"/>
        <v>560679.28</v>
      </c>
      <c r="J84" s="321">
        <f t="shared" si="32"/>
        <v>17473132.949999999</v>
      </c>
      <c r="K84" s="421">
        <f t="shared" si="33"/>
        <v>3511622.85</v>
      </c>
    </row>
    <row r="85" spans="1:14">
      <c r="A85" s="936" t="s">
        <v>623</v>
      </c>
      <c r="B85" s="983" t="s">
        <v>678</v>
      </c>
      <c r="C85" s="941">
        <v>1</v>
      </c>
      <c r="D85" s="986" t="s">
        <v>574</v>
      </c>
      <c r="E85" s="982">
        <f>(1500000+1000000)*IPC*crinv</f>
        <v>3496025</v>
      </c>
      <c r="F85" s="320">
        <f t="shared" si="28"/>
        <v>3496025</v>
      </c>
      <c r="G85" s="938">
        <f t="shared" si="29"/>
        <v>702605.61</v>
      </c>
      <c r="H85" s="939">
        <f t="shared" si="30"/>
        <v>664244.75</v>
      </c>
      <c r="I85" s="938">
        <f t="shared" si="31"/>
        <v>133495.07</v>
      </c>
      <c r="J85" s="321">
        <f t="shared" si="32"/>
        <v>4160269.75</v>
      </c>
      <c r="K85" s="421">
        <f t="shared" si="33"/>
        <v>836100.68</v>
      </c>
    </row>
    <row r="86" spans="1:14" ht="12.75" customHeight="1">
      <c r="A86" s="1969" t="s">
        <v>169</v>
      </c>
      <c r="B86" s="1970"/>
      <c r="C86" s="609"/>
      <c r="D86" s="609"/>
      <c r="E86" s="609"/>
      <c r="F86" s="396">
        <f t="shared" ref="F86:K86" si="40">SUM(F63:F85)</f>
        <v>33422000</v>
      </c>
      <c r="G86" s="944">
        <f t="shared" si="40"/>
        <v>6716909.8300000001</v>
      </c>
      <c r="H86" s="396">
        <f t="shared" si="40"/>
        <v>6350180</v>
      </c>
      <c r="I86" s="944">
        <f t="shared" si="40"/>
        <v>1276212.8799999999</v>
      </c>
      <c r="J86" s="385">
        <f t="shared" si="40"/>
        <v>39772180</v>
      </c>
      <c r="K86" s="432">
        <f t="shared" si="40"/>
        <v>7993122.71</v>
      </c>
    </row>
    <row r="87" spans="1:14" ht="12.75" customHeight="1">
      <c r="A87" s="2009" t="s">
        <v>170</v>
      </c>
      <c r="B87" s="2010"/>
      <c r="C87" s="2010"/>
      <c r="D87" s="2010"/>
      <c r="E87" s="2010"/>
      <c r="F87" s="2010"/>
      <c r="G87" s="2010"/>
      <c r="H87" s="2010"/>
      <c r="I87" s="2010"/>
      <c r="J87" s="2010"/>
      <c r="K87" s="2011"/>
    </row>
    <row r="88" spans="1:14" ht="12.75" customHeight="1">
      <c r="A88" s="616">
        <v>1</v>
      </c>
      <c r="B88" s="988" t="s">
        <v>681</v>
      </c>
      <c r="C88" s="989">
        <v>3</v>
      </c>
      <c r="D88" s="989" t="s">
        <v>574</v>
      </c>
      <c r="E88" s="990">
        <f>50000*IPC*crinv</f>
        <v>69920.5</v>
      </c>
      <c r="F88" s="991">
        <f>ROUND(C88*E88,0)</f>
        <v>209762</v>
      </c>
      <c r="G88" s="992">
        <f>ROUND(F88/euro,2)</f>
        <v>42156.44</v>
      </c>
      <c r="H88" s="993">
        <f>ROUND(F88*TVA,2)</f>
        <v>39854.78</v>
      </c>
      <c r="I88" s="992">
        <f>ROUND(H88/euro,2)</f>
        <v>8009.72</v>
      </c>
      <c r="J88" s="359">
        <f t="shared" ref="J88:K88" si="41">F88+H88</f>
        <v>249616.78</v>
      </c>
      <c r="K88" s="429">
        <f t="shared" si="41"/>
        <v>50166.16</v>
      </c>
      <c r="L88" s="692" t="s">
        <v>631</v>
      </c>
      <c r="N88" s="598">
        <f>155000*euro</f>
        <v>771249</v>
      </c>
    </row>
    <row r="89" spans="1:14" ht="12.75" customHeight="1">
      <c r="A89" s="763">
        <v>2</v>
      </c>
      <c r="B89" s="994" t="s">
        <v>682</v>
      </c>
      <c r="C89" s="995">
        <v>10</v>
      </c>
      <c r="D89" s="995" t="s">
        <v>574</v>
      </c>
      <c r="E89" s="996">
        <f>50000*IPC*crinv</f>
        <v>69920.5</v>
      </c>
      <c r="F89" s="320">
        <f t="shared" ref="F89:F90" si="42">ROUND(C89*E89,0)</f>
        <v>699205</v>
      </c>
      <c r="G89" s="938">
        <f>ROUND(F89/euro,2)</f>
        <v>140521.12</v>
      </c>
      <c r="H89" s="939">
        <f>ROUND(F89*TVA,2)</f>
        <v>132848.95000000001</v>
      </c>
      <c r="I89" s="938">
        <f>ROUND(H89/euro,2)</f>
        <v>26699.01</v>
      </c>
      <c r="J89" s="321">
        <f t="shared" ref="J89:J91" si="43">F89+H89</f>
        <v>832053.95</v>
      </c>
      <c r="K89" s="421">
        <f t="shared" ref="K89:K91" si="44">G89+I89</f>
        <v>167220.13</v>
      </c>
      <c r="L89" s="692"/>
    </row>
    <row r="90" spans="1:14" ht="12.75" customHeight="1">
      <c r="A90" s="763">
        <v>3</v>
      </c>
      <c r="B90" s="945" t="s">
        <v>683</v>
      </c>
      <c r="C90" s="717">
        <v>1</v>
      </c>
      <c r="D90" s="717" t="s">
        <v>574</v>
      </c>
      <c r="E90" s="926">
        <f>250000*IPC*crinv</f>
        <v>349602.5</v>
      </c>
      <c r="F90" s="320">
        <f t="shared" si="42"/>
        <v>349603</v>
      </c>
      <c r="G90" s="938">
        <f>ROUND(F90/euro,2)</f>
        <v>70260.66</v>
      </c>
      <c r="H90" s="939">
        <f>ROUND(F90*TVA,2)</f>
        <v>66424.570000000007</v>
      </c>
      <c r="I90" s="938">
        <f>ROUND(H90/euro,2)</f>
        <v>13349.53</v>
      </c>
      <c r="J90" s="321">
        <f t="shared" si="43"/>
        <v>416027.57</v>
      </c>
      <c r="K90" s="421">
        <f t="shared" si="44"/>
        <v>83610.19</v>
      </c>
      <c r="L90" s="692"/>
    </row>
    <row r="91" spans="1:14" ht="12.75" customHeight="1">
      <c r="A91" s="718">
        <v>4</v>
      </c>
      <c r="B91" s="980" t="s">
        <v>684</v>
      </c>
      <c r="C91" s="721">
        <v>1</v>
      </c>
      <c r="D91" s="721" t="s">
        <v>574</v>
      </c>
      <c r="E91" s="981">
        <f>1500000*IPC*crinv</f>
        <v>2097615</v>
      </c>
      <c r="F91" s="375">
        <f t="shared" ref="F91" si="45">ROUND(C91*E91,0)</f>
        <v>2097615</v>
      </c>
      <c r="G91" s="376">
        <f>ROUND(F91/euro,2)</f>
        <v>421563.37</v>
      </c>
      <c r="H91" s="997">
        <f>ROUND(F91*TVA,2)</f>
        <v>398546.85</v>
      </c>
      <c r="I91" s="376">
        <f>ROUND(H91/euro,2)</f>
        <v>80097.039999999994</v>
      </c>
      <c r="J91" s="376">
        <f t="shared" si="43"/>
        <v>2496161.85</v>
      </c>
      <c r="K91" s="430">
        <f t="shared" si="44"/>
        <v>501660.41</v>
      </c>
    </row>
    <row r="92" spans="1:14" ht="12.75" customHeight="1">
      <c r="A92" s="1969" t="s">
        <v>174</v>
      </c>
      <c r="B92" s="1970"/>
      <c r="C92" s="609"/>
      <c r="D92" s="609"/>
      <c r="E92" s="609"/>
      <c r="F92" s="396">
        <f t="shared" ref="F92:K92" si="46">SUM(F88:F91)</f>
        <v>3356185</v>
      </c>
      <c r="G92" s="396">
        <f t="shared" si="46"/>
        <v>674501.59</v>
      </c>
      <c r="H92" s="396">
        <f t="shared" si="46"/>
        <v>637675.15</v>
      </c>
      <c r="I92" s="396">
        <f t="shared" si="46"/>
        <v>128155.3</v>
      </c>
      <c r="J92" s="396">
        <f t="shared" si="46"/>
        <v>3993860.15</v>
      </c>
      <c r="K92" s="423">
        <f t="shared" si="46"/>
        <v>802656.89</v>
      </c>
    </row>
    <row r="93" spans="1:14">
      <c r="A93" s="1992" t="s">
        <v>175</v>
      </c>
      <c r="B93" s="1993"/>
      <c r="C93" s="1993"/>
      <c r="D93" s="1993"/>
      <c r="E93" s="1993"/>
      <c r="F93" s="1993"/>
      <c r="G93" s="1993"/>
      <c r="H93" s="1993"/>
      <c r="I93" s="1993"/>
      <c r="J93" s="1993"/>
      <c r="K93" s="1994"/>
    </row>
    <row r="94" spans="1:14">
      <c r="A94" s="948">
        <v>1</v>
      </c>
      <c r="B94" s="949" t="s">
        <v>636</v>
      </c>
      <c r="C94" s="618">
        <v>3</v>
      </c>
      <c r="D94" s="618" t="s">
        <v>574</v>
      </c>
      <c r="E94" s="998">
        <f>10000*IPC*crinv</f>
        <v>13984.1</v>
      </c>
      <c r="F94" s="943">
        <f>ROUND(C94*E94,0)</f>
        <v>41952</v>
      </c>
      <c r="G94" s="938">
        <f>ROUND(F94/euro,2)</f>
        <v>8431.2099999999991</v>
      </c>
      <c r="H94" s="947">
        <f>ROUND(F94*TVA,2)</f>
        <v>7970.88</v>
      </c>
      <c r="I94" s="938">
        <f>ROUND(H94/euro,2)</f>
        <v>1601.93</v>
      </c>
      <c r="J94" s="972">
        <f>F94+H94</f>
        <v>49922.879999999997</v>
      </c>
      <c r="K94" s="973">
        <f>G94+I94</f>
        <v>10033.14</v>
      </c>
    </row>
    <row r="95" spans="1:14" ht="14.25" customHeight="1">
      <c r="A95" s="1969" t="s">
        <v>181</v>
      </c>
      <c r="B95" s="1995"/>
      <c r="C95" s="950"/>
      <c r="D95" s="950"/>
      <c r="E95" s="950"/>
      <c r="F95" s="396">
        <f>SUM(F94:F94)</f>
        <v>41952</v>
      </c>
      <c r="G95" s="942">
        <f t="shared" ref="G95:K95" si="47">SUM(G94:G94)</f>
        <v>8431.2099999999991</v>
      </c>
      <c r="H95" s="396">
        <f t="shared" si="47"/>
        <v>7970.88</v>
      </c>
      <c r="I95" s="942">
        <f t="shared" si="47"/>
        <v>1601.93</v>
      </c>
      <c r="J95" s="337">
        <f t="shared" si="47"/>
        <v>49922.879999999997</v>
      </c>
      <c r="K95" s="423">
        <f t="shared" si="47"/>
        <v>10033.14</v>
      </c>
    </row>
    <row r="96" spans="1:14" ht="14.25" customHeight="1">
      <c r="A96" s="1996" t="s">
        <v>182</v>
      </c>
      <c r="B96" s="1997"/>
      <c r="C96" s="1997"/>
      <c r="D96" s="1997"/>
      <c r="E96" s="1997"/>
      <c r="F96" s="1997"/>
      <c r="G96" s="1997"/>
      <c r="H96" s="1997"/>
      <c r="I96" s="1997"/>
      <c r="J96" s="1997"/>
      <c r="K96" s="1998"/>
    </row>
    <row r="97" spans="1:11" ht="14.25" customHeight="1">
      <c r="A97" s="622">
        <v>1</v>
      </c>
      <c r="B97" s="654"/>
      <c r="C97" s="654"/>
      <c r="D97" s="654"/>
      <c r="E97" s="654"/>
      <c r="F97" s="655">
        <v>0</v>
      </c>
      <c r="G97" s="655">
        <v>0</v>
      </c>
      <c r="H97" s="656">
        <v>0</v>
      </c>
      <c r="I97" s="657">
        <v>0</v>
      </c>
      <c r="J97" s="657">
        <v>0</v>
      </c>
      <c r="K97" s="703">
        <v>0</v>
      </c>
    </row>
    <row r="98" spans="1:11" ht="14.25" customHeight="1">
      <c r="A98" s="1999" t="s">
        <v>185</v>
      </c>
      <c r="B98" s="2000"/>
      <c r="C98" s="658"/>
      <c r="D98" s="658"/>
      <c r="E98" s="658"/>
      <c r="F98" s="999">
        <v>0</v>
      </c>
      <c r="G98" s="999">
        <v>0</v>
      </c>
      <c r="H98" s="999">
        <v>0</v>
      </c>
      <c r="I98" s="999">
        <v>0</v>
      </c>
      <c r="J98" s="999">
        <v>0</v>
      </c>
      <c r="K98" s="1000">
        <v>0</v>
      </c>
    </row>
    <row r="99" spans="1:11" ht="12.75" customHeight="1">
      <c r="A99" s="2001" t="s">
        <v>186</v>
      </c>
      <c r="B99" s="2002"/>
      <c r="C99" s="662"/>
      <c r="D99" s="662"/>
      <c r="E99" s="662"/>
      <c r="F99" s="395">
        <f t="shared" ref="F99:K99" si="48">SUM(F36,F61,F86,F92,F95,F98)</f>
        <v>70790683</v>
      </c>
      <c r="G99" s="395">
        <f t="shared" si="48"/>
        <v>14226995.27</v>
      </c>
      <c r="H99" s="396">
        <f t="shared" si="48"/>
        <v>13450229.77</v>
      </c>
      <c r="I99" s="615">
        <f t="shared" si="48"/>
        <v>2703129.1</v>
      </c>
      <c r="J99" s="337">
        <f t="shared" si="48"/>
        <v>84240912.769999996</v>
      </c>
      <c r="K99" s="423">
        <f t="shared" si="48"/>
        <v>16930124.370000001</v>
      </c>
    </row>
    <row r="100" spans="1:11" ht="16.5" customHeight="1">
      <c r="A100" s="1982" t="s">
        <v>212</v>
      </c>
      <c r="B100" s="1983"/>
      <c r="C100" s="664"/>
      <c r="D100" s="664"/>
      <c r="E100" s="664"/>
      <c r="F100" s="397">
        <f t="shared" ref="F100:K100" si="49">+F99</f>
        <v>70790683</v>
      </c>
      <c r="G100" s="942">
        <f t="shared" si="49"/>
        <v>14226995.27</v>
      </c>
      <c r="H100" s="397">
        <f t="shared" si="49"/>
        <v>13450229.77</v>
      </c>
      <c r="I100" s="942">
        <f t="shared" si="49"/>
        <v>2703129.1</v>
      </c>
      <c r="J100" s="337">
        <f t="shared" si="49"/>
        <v>84240912.769999996</v>
      </c>
      <c r="K100" s="423">
        <f t="shared" si="49"/>
        <v>16930124.370000001</v>
      </c>
    </row>
    <row r="101" spans="1:11">
      <c r="A101" s="1984" t="s">
        <v>243</v>
      </c>
      <c r="B101" s="1985"/>
      <c r="C101" s="666"/>
      <c r="D101" s="666"/>
      <c r="E101" s="666"/>
      <c r="F101" s="399">
        <f t="shared" ref="F101:K101" si="50">F36+F61</f>
        <v>33970546</v>
      </c>
      <c r="G101" s="942">
        <f t="shared" si="50"/>
        <v>6827152.6399999997</v>
      </c>
      <c r="H101" s="399">
        <f t="shared" si="50"/>
        <v>6454403.7400000002</v>
      </c>
      <c r="I101" s="942">
        <f t="shared" si="50"/>
        <v>1297158.99</v>
      </c>
      <c r="J101" s="337">
        <f t="shared" si="50"/>
        <v>40424949.740000002</v>
      </c>
      <c r="K101" s="423">
        <f t="shared" si="50"/>
        <v>8124311.6299999999</v>
      </c>
    </row>
    <row r="102" spans="1:11" s="904" customFormat="1">
      <c r="B102" s="598"/>
      <c r="C102" s="598"/>
      <c r="D102" s="598"/>
      <c r="E102" s="598"/>
    </row>
    <row r="103" spans="1:11" s="904" customFormat="1">
      <c r="B103" s="598"/>
      <c r="C103" s="598"/>
      <c r="D103" s="598"/>
      <c r="E103" s="598"/>
    </row>
    <row r="104" spans="1:11" s="904" customFormat="1" ht="39" customHeight="1">
      <c r="A104" s="951"/>
      <c r="B104" s="402" t="str">
        <f>'DEVIZ GENERAL'!B168</f>
        <v>In preturi la data de :</v>
      </c>
      <c r="C104" s="2008" t="str">
        <f>'DEVIZ GENERAL'!C168</f>
        <v>inforeuro februarie 2025</v>
      </c>
      <c r="D104" s="2008"/>
      <c r="E104" s="402" t="str">
        <f>'DEVIZ GENERAL'!D168</f>
        <v>1 Euro =</v>
      </c>
      <c r="F104" s="952">
        <f>'DEVIZ GENERAL'!E168</f>
        <v>4.9757999999999996</v>
      </c>
      <c r="G104" s="953"/>
    </row>
    <row r="105" spans="1:11" s="904" customFormat="1">
      <c r="A105" s="954"/>
      <c r="B105" s="406" t="s">
        <v>222</v>
      </c>
      <c r="C105" s="406"/>
      <c r="D105" s="406"/>
      <c r="E105" s="406"/>
      <c r="F105" s="953"/>
      <c r="G105" s="953"/>
      <c r="H105" s="955" t="s">
        <v>223</v>
      </c>
      <c r="I105" s="955"/>
      <c r="J105" s="955"/>
      <c r="K105" s="955"/>
    </row>
    <row r="106" spans="1:11" s="904" customFormat="1">
      <c r="A106" s="954"/>
      <c r="B106" s="437" t="str">
        <f>data_deviz</f>
        <v>31.01.2025</v>
      </c>
      <c r="C106" s="437"/>
      <c r="D106" s="437"/>
      <c r="E106" s="437"/>
      <c r="F106" s="953"/>
      <c r="G106" s="953"/>
      <c r="H106" s="1987" t="s">
        <v>225</v>
      </c>
      <c r="I106" s="1987"/>
      <c r="J106" s="1987"/>
      <c r="K106" s="1987"/>
    </row>
    <row r="107" spans="1:11" s="904" customFormat="1">
      <c r="B107" s="406" t="s">
        <v>226</v>
      </c>
      <c r="C107" s="406"/>
      <c r="D107" s="406"/>
      <c r="E107" s="406"/>
      <c r="F107" s="956"/>
      <c r="G107" s="956"/>
      <c r="H107" s="957"/>
      <c r="I107" s="957"/>
      <c r="J107" s="957"/>
      <c r="K107" s="955"/>
    </row>
    <row r="108" spans="1:11" s="904" customFormat="1">
      <c r="B108" s="441" t="s">
        <v>227</v>
      </c>
      <c r="C108" s="437"/>
      <c r="D108" s="437"/>
      <c r="E108" s="437"/>
      <c r="H108" s="958" t="s">
        <v>637</v>
      </c>
      <c r="I108" s="958"/>
      <c r="J108" s="958"/>
      <c r="K108" s="976"/>
    </row>
    <row r="109" spans="1:11" s="904" customFormat="1">
      <c r="A109" s="951"/>
      <c r="B109" s="671"/>
      <c r="C109" s="671"/>
      <c r="D109" s="671"/>
      <c r="E109" s="671"/>
      <c r="F109" s="955"/>
      <c r="G109" s="955"/>
      <c r="K109" s="977" t="s">
        <v>229</v>
      </c>
    </row>
    <row r="110" spans="1:11" ht="15.75">
      <c r="A110" s="676"/>
      <c r="B110" s="676"/>
      <c r="C110" s="676"/>
      <c r="D110" s="676"/>
      <c r="E110" s="676"/>
    </row>
    <row r="111" spans="1:11" hidden="1">
      <c r="F111" s="269">
        <f>F100/euro</f>
        <v>14226995.257044099</v>
      </c>
      <c r="G111" s="269"/>
      <c r="K111" s="269">
        <f>K100/euro</f>
        <v>3402492.9398287698</v>
      </c>
    </row>
    <row r="112" spans="1:11">
      <c r="B112" s="673"/>
      <c r="C112" s="673"/>
      <c r="D112" s="673"/>
      <c r="E112" s="673"/>
    </row>
    <row r="113" spans="1:7" ht="12.75" customHeight="1">
      <c r="A113" s="679"/>
      <c r="B113" s="673"/>
      <c r="C113" s="673"/>
      <c r="D113" s="673"/>
      <c r="E113" s="673"/>
    </row>
    <row r="114" spans="1:7">
      <c r="A114" s="679"/>
      <c r="B114" s="680"/>
      <c r="C114" s="680"/>
      <c r="D114" s="680"/>
      <c r="E114" s="680"/>
      <c r="F114" s="680"/>
      <c r="G114" s="680"/>
    </row>
    <row r="115" spans="1:7">
      <c r="A115" s="679"/>
      <c r="B115" s="680"/>
      <c r="C115" s="680"/>
      <c r="D115" s="680"/>
      <c r="E115" s="680"/>
      <c r="F115" s="680"/>
      <c r="G115" s="680"/>
    </row>
    <row r="116" spans="1:7">
      <c r="A116" s="679"/>
      <c r="B116" s="680"/>
      <c r="C116" s="680"/>
      <c r="D116" s="680"/>
      <c r="E116" s="680"/>
      <c r="F116" s="680"/>
      <c r="G116" s="680"/>
    </row>
    <row r="117" spans="1:7" ht="12.75" customHeight="1">
      <c r="A117" s="679"/>
      <c r="B117" s="680"/>
      <c r="C117" s="680"/>
      <c r="D117" s="680"/>
      <c r="E117" s="680"/>
      <c r="F117" s="680"/>
      <c r="G117" s="680"/>
    </row>
    <row r="118" spans="1:7" ht="15" customHeight="1">
      <c r="A118" s="679"/>
      <c r="B118" s="680"/>
      <c r="C118" s="680"/>
      <c r="D118" s="680"/>
      <c r="E118" s="680"/>
      <c r="F118" s="680"/>
      <c r="G118" s="680"/>
    </row>
    <row r="119" spans="1:7">
      <c r="A119" s="680"/>
      <c r="B119" s="680"/>
      <c r="C119" s="680"/>
      <c r="D119" s="680"/>
      <c r="E119" s="680"/>
      <c r="F119" s="680"/>
      <c r="G119" s="680"/>
    </row>
    <row r="120" spans="1:7" ht="15.75">
      <c r="A120" s="686"/>
      <c r="B120" s="686"/>
      <c r="C120" s="686"/>
      <c r="D120" s="686"/>
      <c r="E120" s="686"/>
      <c r="F120" s="686"/>
      <c r="G120" s="686"/>
    </row>
    <row r="121" spans="1:7" ht="15" customHeight="1">
      <c r="A121" s="679"/>
      <c r="B121" s="680"/>
      <c r="C121" s="680"/>
      <c r="D121" s="680"/>
      <c r="E121" s="680"/>
      <c r="F121" s="680"/>
      <c r="G121" s="680"/>
    </row>
  </sheetData>
  <mergeCells count="33">
    <mergeCell ref="B1:K3"/>
    <mergeCell ref="A100:B100"/>
    <mergeCell ref="A101:B101"/>
    <mergeCell ref="C104:D104"/>
    <mergeCell ref="H106:K106"/>
    <mergeCell ref="A8:A9"/>
    <mergeCell ref="B8:B9"/>
    <mergeCell ref="A93:K93"/>
    <mergeCell ref="A95:B95"/>
    <mergeCell ref="A96:K96"/>
    <mergeCell ref="A98:B98"/>
    <mergeCell ref="A99:B99"/>
    <mergeCell ref="A61:B61"/>
    <mergeCell ref="A62:K62"/>
    <mergeCell ref="A86:B86"/>
    <mergeCell ref="A87:K87"/>
    <mergeCell ref="A92:B92"/>
    <mergeCell ref="A16:K16"/>
    <mergeCell ref="B17:K17"/>
    <mergeCell ref="A21:K21"/>
    <mergeCell ref="A36:B36"/>
    <mergeCell ref="A37:K37"/>
    <mergeCell ref="A11:K11"/>
    <mergeCell ref="A12:B12"/>
    <mergeCell ref="A13:K13"/>
    <mergeCell ref="A14:B14"/>
    <mergeCell ref="A15:K15"/>
    <mergeCell ref="A5:K5"/>
    <mergeCell ref="A6:K6"/>
    <mergeCell ref="A7:K7"/>
    <mergeCell ref="F8:G8"/>
    <mergeCell ref="H8:I8"/>
    <mergeCell ref="J8:K8"/>
  </mergeCells>
  <pageMargins left="0.75" right="0.75" top="1" bottom="1" header="0.5" footer="0.5"/>
  <pageSetup paperSize="9" scale="40" orientation="portrait" r:id="rId1"/>
  <headerFooter alignWithMargins="0"/>
  <rowBreaks count="1" manualBreakCount="1">
    <brk id="86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P69"/>
  <sheetViews>
    <sheetView view="pageBreakPreview" topLeftCell="A30" zoomScale="86" zoomScaleNormal="100" workbookViewId="0">
      <selection activeCell="F19" sqref="A19:K30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4" width="11.42578125" style="598" customWidth="1"/>
    <col min="5" max="5" width="15.28515625" style="598" customWidth="1"/>
    <col min="6" max="6" width="19.42578125" style="598" customWidth="1"/>
    <col min="7" max="7" width="23.85546875" style="598" customWidth="1"/>
    <col min="8" max="10" width="18" style="598" customWidth="1"/>
    <col min="11" max="11" width="20.140625" style="598" customWidth="1"/>
    <col min="12" max="12" width="11.28515625" style="598" hidden="1" customWidth="1"/>
    <col min="13" max="13" width="12.28515625" style="598" customWidth="1"/>
    <col min="14" max="14" width="17" style="598" hidden="1" customWidth="1"/>
    <col min="15" max="16384" width="11.28515625" style="598"/>
  </cols>
  <sheetData>
    <row r="1" spans="1:11" s="903" customFormat="1" ht="12.75" customHeight="1">
      <c r="B1" s="1980" t="str">
        <f>'DEVIZ GENERAL'!B4</f>
        <v>SISTEM DE MANAGEMENT INTEGRAT AL DEȘEURILOR DIN JUDEȚUL DÂMBOVIȚA</v>
      </c>
      <c r="C1" s="1980"/>
      <c r="D1" s="1980"/>
      <c r="E1" s="1980"/>
      <c r="F1" s="1980"/>
      <c r="G1" s="1980"/>
      <c r="H1" s="1980"/>
      <c r="I1" s="1980"/>
      <c r="J1" s="1980"/>
      <c r="K1" s="1980"/>
    </row>
    <row r="2" spans="1:11" s="903" customFormat="1" ht="12.75" customHeight="1">
      <c r="A2" s="908"/>
      <c r="B2" s="1980"/>
      <c r="C2" s="1980"/>
      <c r="D2" s="1980"/>
      <c r="E2" s="1980"/>
      <c r="F2" s="1980"/>
      <c r="G2" s="1980"/>
      <c r="H2" s="1980"/>
      <c r="I2" s="1980"/>
      <c r="J2" s="1980"/>
      <c r="K2" s="1980"/>
    </row>
    <row r="3" spans="1:11" s="903" customFormat="1">
      <c r="A3" s="909"/>
      <c r="B3" s="1981"/>
      <c r="C3" s="1981"/>
      <c r="D3" s="1981"/>
      <c r="E3" s="1981"/>
      <c r="F3" s="1981"/>
      <c r="G3" s="1981"/>
      <c r="H3" s="1981"/>
      <c r="I3" s="1981"/>
      <c r="J3" s="1981"/>
      <c r="K3" s="1981"/>
    </row>
    <row r="4" spans="1:11" s="903" customFormat="1">
      <c r="A4" s="910"/>
      <c r="B4" s="601"/>
      <c r="C4" s="601"/>
      <c r="D4" s="601"/>
      <c r="E4" s="601"/>
      <c r="F4" s="910"/>
      <c r="G4" s="910"/>
      <c r="H4" s="911"/>
      <c r="I4" s="911"/>
      <c r="J4" s="911"/>
      <c r="K4" s="959"/>
    </row>
    <row r="5" spans="1:11" s="904" customFormat="1" ht="26.25" customHeight="1">
      <c r="A5" s="1954" t="str">
        <f>'D8.compostoare individuale'!A5</f>
        <v>DEVIZ OBIECT</v>
      </c>
      <c r="B5" s="1954"/>
      <c r="C5" s="1954"/>
      <c r="D5" s="1954"/>
      <c r="E5" s="1954"/>
      <c r="F5" s="1954"/>
      <c r="G5" s="1954"/>
      <c r="H5" s="1954"/>
      <c r="I5" s="1954"/>
      <c r="J5" s="1954"/>
      <c r="K5" s="1954"/>
    </row>
    <row r="6" spans="1:11" s="905" customFormat="1" ht="39.75" customHeight="1">
      <c r="A6" s="1905" t="s">
        <v>685</v>
      </c>
      <c r="B6" s="1905"/>
      <c r="C6" s="1905"/>
      <c r="D6" s="1905"/>
      <c r="E6" s="1905"/>
      <c r="F6" s="1905"/>
      <c r="G6" s="1905"/>
      <c r="H6" s="1905"/>
      <c r="I6" s="1905"/>
      <c r="J6" s="1905"/>
      <c r="K6" s="1905"/>
    </row>
    <row r="7" spans="1:11" s="904" customFormat="1">
      <c r="A7" s="1955" t="s">
        <v>240</v>
      </c>
      <c r="B7" s="1955"/>
      <c r="C7" s="1955"/>
      <c r="D7" s="1955"/>
      <c r="E7" s="1955"/>
      <c r="F7" s="1955"/>
      <c r="G7" s="1955"/>
      <c r="H7" s="1955"/>
      <c r="I7" s="1955"/>
      <c r="J7" s="1955"/>
      <c r="K7" s="1955"/>
    </row>
    <row r="8" spans="1:11" ht="31.5" customHeight="1">
      <c r="A8" s="1988" t="s">
        <v>99</v>
      </c>
      <c r="B8" s="1990" t="s">
        <v>100</v>
      </c>
      <c r="C8" s="289" t="s">
        <v>560</v>
      </c>
      <c r="D8" s="289" t="s">
        <v>561</v>
      </c>
      <c r="E8" s="290" t="s">
        <v>562</v>
      </c>
      <c r="F8" s="1956" t="s">
        <v>101</v>
      </c>
      <c r="G8" s="1957"/>
      <c r="H8" s="1956" t="s">
        <v>102</v>
      </c>
      <c r="I8" s="1957"/>
      <c r="J8" s="1956" t="s">
        <v>563</v>
      </c>
      <c r="K8" s="1958"/>
    </row>
    <row r="9" spans="1:11" s="596" customFormat="1" ht="17.25" customHeight="1">
      <c r="A9" s="1989"/>
      <c r="B9" s="1991"/>
      <c r="C9" s="603"/>
      <c r="D9" s="603"/>
      <c r="E9" s="603"/>
      <c r="F9" s="604" t="s">
        <v>546</v>
      </c>
      <c r="G9" s="604" t="s">
        <v>81</v>
      </c>
      <c r="H9" s="604" t="s">
        <v>546</v>
      </c>
      <c r="I9" s="960" t="s">
        <v>81</v>
      </c>
      <c r="J9" s="960" t="s">
        <v>546</v>
      </c>
      <c r="K9" s="812" t="s">
        <v>81</v>
      </c>
    </row>
    <row r="10" spans="1:11">
      <c r="A10" s="605">
        <v>1</v>
      </c>
      <c r="B10" s="606">
        <v>2</v>
      </c>
      <c r="C10" s="606"/>
      <c r="D10" s="606"/>
      <c r="E10" s="606"/>
      <c r="F10" s="606">
        <v>3</v>
      </c>
      <c r="G10" s="606">
        <v>4</v>
      </c>
      <c r="H10" s="606">
        <v>5</v>
      </c>
      <c r="I10" s="607">
        <v>6</v>
      </c>
      <c r="J10" s="607">
        <v>7</v>
      </c>
      <c r="K10" s="689">
        <v>8</v>
      </c>
    </row>
    <row r="11" spans="1:11">
      <c r="A11" s="1959" t="s">
        <v>564</v>
      </c>
      <c r="B11" s="1960"/>
      <c r="C11" s="1960"/>
      <c r="D11" s="1960"/>
      <c r="E11" s="1960"/>
      <c r="F11" s="1960"/>
      <c r="G11" s="1960"/>
      <c r="H11" s="1960"/>
      <c r="I11" s="1960"/>
      <c r="J11" s="1960"/>
      <c r="K11" s="1961"/>
    </row>
    <row r="12" spans="1:11">
      <c r="A12" s="1962" t="s">
        <v>119</v>
      </c>
      <c r="B12" s="1963"/>
      <c r="C12" s="929"/>
      <c r="D12" s="929"/>
      <c r="E12" s="929"/>
      <c r="F12" s="930" t="s">
        <v>9</v>
      </c>
      <c r="G12" s="930" t="s">
        <v>9</v>
      </c>
      <c r="H12" s="930" t="s">
        <v>9</v>
      </c>
      <c r="I12" s="930" t="s">
        <v>9</v>
      </c>
      <c r="J12" s="966" t="s">
        <v>9</v>
      </c>
      <c r="K12" s="967" t="s">
        <v>9</v>
      </c>
    </row>
    <row r="13" spans="1:11">
      <c r="A13" s="2005" t="s">
        <v>575</v>
      </c>
      <c r="B13" s="2006"/>
      <c r="C13" s="2006"/>
      <c r="D13" s="2006"/>
      <c r="E13" s="2006"/>
      <c r="F13" s="2006"/>
      <c r="G13" s="2006"/>
      <c r="H13" s="2006"/>
      <c r="I13" s="2006"/>
      <c r="J13" s="2006"/>
      <c r="K13" s="2007"/>
    </row>
    <row r="14" spans="1:11">
      <c r="A14" s="847"/>
      <c r="B14" s="931"/>
      <c r="C14" s="931"/>
      <c r="D14" s="931"/>
      <c r="E14" s="931"/>
      <c r="F14" s="932"/>
      <c r="G14" s="932"/>
      <c r="H14" s="932"/>
      <c r="I14" s="968"/>
      <c r="J14" s="968"/>
      <c r="K14" s="969"/>
    </row>
    <row r="15" spans="1:11" ht="12.95" customHeight="1">
      <c r="A15" s="1967" t="s">
        <v>122</v>
      </c>
      <c r="B15" s="1968"/>
      <c r="C15" s="933"/>
      <c r="D15" s="933"/>
      <c r="E15" s="933"/>
      <c r="F15" s="934" t="s">
        <v>9</v>
      </c>
      <c r="G15" s="935" t="s">
        <v>9</v>
      </c>
      <c r="H15" s="934" t="s">
        <v>9</v>
      </c>
      <c r="I15" s="935" t="s">
        <v>9</v>
      </c>
      <c r="J15" s="935" t="s">
        <v>9</v>
      </c>
      <c r="K15" s="970" t="s">
        <v>9</v>
      </c>
    </row>
    <row r="16" spans="1:11">
      <c r="A16" s="1964" t="s">
        <v>160</v>
      </c>
      <c r="B16" s="1965"/>
      <c r="C16" s="1965"/>
      <c r="D16" s="1965"/>
      <c r="E16" s="1965"/>
      <c r="F16" s="1965"/>
      <c r="G16" s="1965"/>
      <c r="H16" s="1965"/>
      <c r="I16" s="1965"/>
      <c r="J16" s="1965"/>
      <c r="K16" s="1966"/>
    </row>
    <row r="17" spans="1:11">
      <c r="A17" s="1971" t="s">
        <v>161</v>
      </c>
      <c r="B17" s="1972"/>
      <c r="C17" s="1972"/>
      <c r="D17" s="1972"/>
      <c r="E17" s="1972"/>
      <c r="F17" s="1972"/>
      <c r="G17" s="1972"/>
      <c r="H17" s="1972"/>
      <c r="I17" s="1972"/>
      <c r="J17" s="1972"/>
      <c r="K17" s="1973"/>
    </row>
    <row r="18" spans="1:11">
      <c r="A18" s="608" t="s">
        <v>162</v>
      </c>
      <c r="B18" s="1974" t="s">
        <v>548</v>
      </c>
      <c r="C18" s="1975"/>
      <c r="D18" s="1975"/>
      <c r="E18" s="1975"/>
      <c r="F18" s="1975"/>
      <c r="G18" s="1975"/>
      <c r="H18" s="1975"/>
      <c r="I18" s="1975"/>
      <c r="J18" s="1975"/>
      <c r="K18" s="1976"/>
    </row>
    <row r="19" spans="1:11" ht="25.5">
      <c r="A19" s="1680" t="s">
        <v>549</v>
      </c>
      <c r="B19" s="1681" t="s">
        <v>686</v>
      </c>
      <c r="C19" s="1674">
        <v>5000</v>
      </c>
      <c r="D19" s="1674" t="s">
        <v>569</v>
      </c>
      <c r="E19" s="1683">
        <f>50*IPC*crinv</f>
        <v>69.920500000000004</v>
      </c>
      <c r="F19" s="1676">
        <f>ROUND(C19*E19,0)</f>
        <v>349603</v>
      </c>
      <c r="G19" s="1676">
        <f>ROUND(F19/euro,2)</f>
        <v>70260.66</v>
      </c>
      <c r="H19" s="1676">
        <f>ROUND(F19*TVA,2)</f>
        <v>66424.570000000007</v>
      </c>
      <c r="I19" s="1677">
        <f>ROUND(H19/euro,2)</f>
        <v>13349.53</v>
      </c>
      <c r="J19" s="1672">
        <f>F19+H19</f>
        <v>416027.57</v>
      </c>
      <c r="K19" s="1678">
        <f>G19+I19</f>
        <v>83610.19</v>
      </c>
    </row>
    <row r="20" spans="1:11">
      <c r="A20" s="1699" t="s">
        <v>551</v>
      </c>
      <c r="B20" s="1681" t="s">
        <v>687</v>
      </c>
      <c r="C20" s="1674">
        <f>1000*1</f>
        <v>1000</v>
      </c>
      <c r="D20" s="1674" t="s">
        <v>569</v>
      </c>
      <c r="E20" s="1683">
        <f>50*IPC*crinv</f>
        <v>69.920500000000004</v>
      </c>
      <c r="F20" s="1676">
        <f t="shared" ref="F20:F21" si="0">ROUND(C20*E20,0)</f>
        <v>69921</v>
      </c>
      <c r="G20" s="1676">
        <f>ROUND(F20/euro,2)</f>
        <v>14052.21</v>
      </c>
      <c r="H20" s="1676">
        <f>ROUND(F20*TVA,2)</f>
        <v>13284.99</v>
      </c>
      <c r="I20" s="1677">
        <f>ROUND(H20/euro,2)</f>
        <v>2669.92</v>
      </c>
      <c r="J20" s="1672">
        <f t="shared" ref="J20:J21" si="1">F20+H20</f>
        <v>83205.990000000005</v>
      </c>
      <c r="K20" s="1678">
        <f t="shared" ref="K20:K21" si="2">G20+I20</f>
        <v>16722.13</v>
      </c>
    </row>
    <row r="21" spans="1:11" ht="25.5">
      <c r="A21" s="1699" t="s">
        <v>553</v>
      </c>
      <c r="B21" s="1681" t="s">
        <v>688</v>
      </c>
      <c r="C21" s="1674">
        <f>1000*2</f>
        <v>2000</v>
      </c>
      <c r="D21" s="1674" t="s">
        <v>569</v>
      </c>
      <c r="E21" s="1683">
        <f>50*IPC*crinv</f>
        <v>69.920500000000004</v>
      </c>
      <c r="F21" s="1676">
        <f t="shared" si="0"/>
        <v>139841</v>
      </c>
      <c r="G21" s="1676">
        <f>ROUND(F21/euro,2)</f>
        <v>28104.22</v>
      </c>
      <c r="H21" s="1676">
        <f>ROUND(F21*TVA,2)</f>
        <v>26569.79</v>
      </c>
      <c r="I21" s="1677">
        <f>ROUND(H21/euro,2)</f>
        <v>5339.8</v>
      </c>
      <c r="J21" s="1672">
        <f t="shared" si="1"/>
        <v>166410.79</v>
      </c>
      <c r="K21" s="1678">
        <f t="shared" si="2"/>
        <v>33444.019999999997</v>
      </c>
    </row>
    <row r="22" spans="1:11">
      <c r="A22" s="1977" t="s">
        <v>557</v>
      </c>
      <c r="B22" s="1978"/>
      <c r="C22" s="1978"/>
      <c r="D22" s="1978"/>
      <c r="E22" s="1978"/>
      <c r="F22" s="1978"/>
      <c r="G22" s="1978"/>
      <c r="H22" s="1978"/>
      <c r="I22" s="1978"/>
      <c r="J22" s="1978"/>
      <c r="K22" s="1979"/>
    </row>
    <row r="23" spans="1:11">
      <c r="A23" s="1680" t="s">
        <v>549</v>
      </c>
      <c r="B23" s="1684" t="s">
        <v>689</v>
      </c>
      <c r="C23" s="1674">
        <v>1500</v>
      </c>
      <c r="D23" s="1674" t="s">
        <v>567</v>
      </c>
      <c r="E23" s="1683">
        <f>4000*IPC*crinv</f>
        <v>5593.64</v>
      </c>
      <c r="F23" s="1665">
        <f t="shared" ref="F23:F30" si="3">ROUND(C23*E23,0)</f>
        <v>8390460</v>
      </c>
      <c r="G23" s="1686">
        <f t="shared" ref="G23:G30" si="4">ROUND(F23/euro,2)</f>
        <v>1686253.47</v>
      </c>
      <c r="H23" s="1687">
        <f t="shared" ref="H23:H30" si="5">ROUND(F23*TVA,2)</f>
        <v>1594187.4</v>
      </c>
      <c r="I23" s="1686">
        <f t="shared" ref="I23:I30" si="6">ROUND(H23/euro,2)</f>
        <v>320388.15999999997</v>
      </c>
      <c r="J23" s="1672">
        <f t="shared" ref="J23:K23" si="7">F23+H23</f>
        <v>9984647.4000000004</v>
      </c>
      <c r="K23" s="1678">
        <f t="shared" si="7"/>
        <v>2006641.63</v>
      </c>
    </row>
    <row r="24" spans="1:11" ht="25.5">
      <c r="A24" s="1680" t="s">
        <v>551</v>
      </c>
      <c r="B24" s="1684" t="s">
        <v>690</v>
      </c>
      <c r="C24" s="1674">
        <v>1500</v>
      </c>
      <c r="D24" s="1674" t="s">
        <v>574</v>
      </c>
      <c r="E24" s="1683">
        <f>600*IPC*crinv</f>
        <v>839.04600000000005</v>
      </c>
      <c r="F24" s="1665">
        <f t="shared" si="3"/>
        <v>1258569</v>
      </c>
      <c r="G24" s="1686">
        <f t="shared" si="4"/>
        <v>252938.02</v>
      </c>
      <c r="H24" s="1687">
        <f t="shared" si="5"/>
        <v>239128.11</v>
      </c>
      <c r="I24" s="1686">
        <f t="shared" si="6"/>
        <v>48058.22</v>
      </c>
      <c r="J24" s="1672">
        <f t="shared" ref="J24:J30" si="8">F24+H24</f>
        <v>1497697.11</v>
      </c>
      <c r="K24" s="1678">
        <f t="shared" ref="K24:K30" si="9">G24+I24</f>
        <v>300996.24</v>
      </c>
    </row>
    <row r="25" spans="1:11" ht="25.5">
      <c r="A25" s="1680" t="s">
        <v>553</v>
      </c>
      <c r="B25" s="1684" t="s">
        <v>691</v>
      </c>
      <c r="C25" s="1674">
        <v>1</v>
      </c>
      <c r="D25" s="1674" t="s">
        <v>574</v>
      </c>
      <c r="E25" s="1683">
        <f>50000*IPC*crinv</f>
        <v>69920.5</v>
      </c>
      <c r="F25" s="1665">
        <f t="shared" si="3"/>
        <v>69921</v>
      </c>
      <c r="G25" s="1686">
        <f t="shared" si="4"/>
        <v>14052.21</v>
      </c>
      <c r="H25" s="1687">
        <f t="shared" si="5"/>
        <v>13284.99</v>
      </c>
      <c r="I25" s="1686">
        <f t="shared" si="6"/>
        <v>2669.92</v>
      </c>
      <c r="J25" s="1672">
        <f t="shared" si="8"/>
        <v>83205.990000000005</v>
      </c>
      <c r="K25" s="1678">
        <f t="shared" si="9"/>
        <v>16722.13</v>
      </c>
    </row>
    <row r="26" spans="1:11">
      <c r="A26" s="1680" t="s">
        <v>555</v>
      </c>
      <c r="B26" s="1684" t="s">
        <v>692</v>
      </c>
      <c r="C26" s="1674">
        <v>1</v>
      </c>
      <c r="D26" s="1674" t="s">
        <v>574</v>
      </c>
      <c r="E26" s="1689">
        <f>40000*IPC*crinv</f>
        <v>55936.4</v>
      </c>
      <c r="F26" s="1665">
        <f t="shared" si="3"/>
        <v>55936</v>
      </c>
      <c r="G26" s="1686">
        <f t="shared" si="4"/>
        <v>11241.61</v>
      </c>
      <c r="H26" s="1687">
        <f t="shared" si="5"/>
        <v>10627.84</v>
      </c>
      <c r="I26" s="1686">
        <f t="shared" si="6"/>
        <v>2135.91</v>
      </c>
      <c r="J26" s="1672">
        <f t="shared" si="8"/>
        <v>66563.839999999997</v>
      </c>
      <c r="K26" s="1678">
        <f t="shared" si="9"/>
        <v>13377.52</v>
      </c>
    </row>
    <row r="27" spans="1:11">
      <c r="A27" s="1680" t="s">
        <v>572</v>
      </c>
      <c r="B27" s="1684" t="s">
        <v>693</v>
      </c>
      <c r="C27" s="1674">
        <v>1</v>
      </c>
      <c r="D27" s="1674" t="s">
        <v>574</v>
      </c>
      <c r="E27" s="1683">
        <f>25000*IPC*crinv</f>
        <v>34960.25</v>
      </c>
      <c r="F27" s="1665">
        <f t="shared" si="3"/>
        <v>34960</v>
      </c>
      <c r="G27" s="1686">
        <f t="shared" si="4"/>
        <v>7026.01</v>
      </c>
      <c r="H27" s="1687">
        <f t="shared" si="5"/>
        <v>6642.4</v>
      </c>
      <c r="I27" s="1686">
        <f t="shared" si="6"/>
        <v>1334.94</v>
      </c>
      <c r="J27" s="1672">
        <f t="shared" si="8"/>
        <v>41602.400000000001</v>
      </c>
      <c r="K27" s="1678">
        <f t="shared" si="9"/>
        <v>8360.9500000000007</v>
      </c>
    </row>
    <row r="28" spans="1:11">
      <c r="A28" s="1680" t="s">
        <v>591</v>
      </c>
      <c r="B28" s="1684" t="s">
        <v>694</v>
      </c>
      <c r="C28" s="1674">
        <v>1</v>
      </c>
      <c r="D28" s="1674" t="s">
        <v>574</v>
      </c>
      <c r="E28" s="1683">
        <f>600000*IPC*crinv</f>
        <v>839046</v>
      </c>
      <c r="F28" s="1665">
        <f t="shared" si="3"/>
        <v>839046</v>
      </c>
      <c r="G28" s="1686">
        <f t="shared" si="4"/>
        <v>168625.35</v>
      </c>
      <c r="H28" s="1687">
        <f t="shared" si="5"/>
        <v>159418.74</v>
      </c>
      <c r="I28" s="1686">
        <f t="shared" si="6"/>
        <v>32038.82</v>
      </c>
      <c r="J28" s="1672">
        <f t="shared" si="8"/>
        <v>998464.74</v>
      </c>
      <c r="K28" s="1678">
        <f t="shared" si="9"/>
        <v>200664.17</v>
      </c>
    </row>
    <row r="29" spans="1:11" ht="25.5">
      <c r="A29" s="1680" t="s">
        <v>593</v>
      </c>
      <c r="B29" s="1684" t="s">
        <v>695</v>
      </c>
      <c r="C29" s="1674">
        <v>1</v>
      </c>
      <c r="D29" s="1674" t="s">
        <v>574</v>
      </c>
      <c r="E29" s="1683">
        <f>50000*IPC*crinv</f>
        <v>69920.5</v>
      </c>
      <c r="F29" s="1665">
        <f t="shared" si="3"/>
        <v>69921</v>
      </c>
      <c r="G29" s="1686">
        <f t="shared" si="4"/>
        <v>14052.21</v>
      </c>
      <c r="H29" s="1687">
        <f t="shared" si="5"/>
        <v>13284.99</v>
      </c>
      <c r="I29" s="1686">
        <f t="shared" si="6"/>
        <v>2669.92</v>
      </c>
      <c r="J29" s="1672">
        <f t="shared" si="8"/>
        <v>83205.990000000005</v>
      </c>
      <c r="K29" s="1678">
        <f t="shared" si="9"/>
        <v>16722.13</v>
      </c>
    </row>
    <row r="30" spans="1:11" ht="38.25">
      <c r="A30" s="1680" t="s">
        <v>595</v>
      </c>
      <c r="B30" s="1684" t="s">
        <v>696</v>
      </c>
      <c r="C30" s="1674">
        <v>1</v>
      </c>
      <c r="D30" s="1674" t="s">
        <v>574</v>
      </c>
      <c r="E30" s="1683">
        <f>15000000*IPC*crinv</f>
        <v>20976150</v>
      </c>
      <c r="F30" s="1665">
        <f t="shared" si="3"/>
        <v>20976150</v>
      </c>
      <c r="G30" s="1686">
        <f t="shared" si="4"/>
        <v>4215633.67</v>
      </c>
      <c r="H30" s="1687">
        <f t="shared" si="5"/>
        <v>3985468.5</v>
      </c>
      <c r="I30" s="1686">
        <f t="shared" si="6"/>
        <v>800970.4</v>
      </c>
      <c r="J30" s="1672">
        <f t="shared" si="8"/>
        <v>24961618.5</v>
      </c>
      <c r="K30" s="1678">
        <f t="shared" si="9"/>
        <v>5016604.07</v>
      </c>
    </row>
    <row r="31" spans="1:11">
      <c r="A31" s="1969" t="s">
        <v>163</v>
      </c>
      <c r="B31" s="1970"/>
      <c r="C31" s="609"/>
      <c r="D31" s="609"/>
      <c r="E31" s="609"/>
      <c r="F31" s="336">
        <f>SUM(F19:F30)</f>
        <v>32254328</v>
      </c>
      <c r="G31" s="942">
        <f t="shared" ref="G31:K31" si="10">SUM(G19:G30)</f>
        <v>6482239.6399999997</v>
      </c>
      <c r="H31" s="336">
        <f t="shared" si="10"/>
        <v>6128322.3200000003</v>
      </c>
      <c r="I31" s="942">
        <f t="shared" si="10"/>
        <v>1231625.54</v>
      </c>
      <c r="J31" s="337">
        <f t="shared" si="10"/>
        <v>38382650.32</v>
      </c>
      <c r="K31" s="423">
        <f t="shared" si="10"/>
        <v>7713865.1799999997</v>
      </c>
    </row>
    <row r="32" spans="1:11">
      <c r="A32" s="1971" t="s">
        <v>164</v>
      </c>
      <c r="B32" s="1972"/>
      <c r="C32" s="1972"/>
      <c r="D32" s="1972"/>
      <c r="E32" s="1972"/>
      <c r="F32" s="1972"/>
      <c r="G32" s="1972"/>
      <c r="H32" s="1972"/>
      <c r="I32" s="1972"/>
      <c r="J32" s="1972"/>
      <c r="K32" s="1973"/>
    </row>
    <row r="33" spans="1:16" ht="38.25">
      <c r="A33" s="936" t="s">
        <v>549</v>
      </c>
      <c r="B33" s="940" t="s">
        <v>697</v>
      </c>
      <c r="C33" s="941">
        <v>1</v>
      </c>
      <c r="D33" s="941" t="s">
        <v>574</v>
      </c>
      <c r="E33" s="979">
        <f>SUM(E36*0.1)</f>
        <v>12585690</v>
      </c>
      <c r="F33" s="321">
        <f t="shared" ref="F33" si="11">ROUND(C33*E33,0)</f>
        <v>12585690</v>
      </c>
      <c r="G33" s="938">
        <f>ROUND(F33/euro,2)</f>
        <v>2529380.2000000002</v>
      </c>
      <c r="H33" s="939">
        <f>ROUND(F33*TVA,2)</f>
        <v>2391281.1</v>
      </c>
      <c r="I33" s="938">
        <f>ROUND(H33/euro,2)</f>
        <v>480582.24</v>
      </c>
      <c r="J33" s="321">
        <f t="shared" ref="J33:K33" si="12">F33+H33</f>
        <v>14976971.1</v>
      </c>
      <c r="K33" s="421">
        <f t="shared" si="12"/>
        <v>3009962.44</v>
      </c>
    </row>
    <row r="34" spans="1:16">
      <c r="A34" s="1969" t="s">
        <v>166</v>
      </c>
      <c r="B34" s="1970"/>
      <c r="C34" s="609"/>
      <c r="D34" s="609"/>
      <c r="E34" s="609"/>
      <c r="F34" s="396">
        <f>SUM(F33:F33)</f>
        <v>12585690</v>
      </c>
      <c r="G34" s="942">
        <f t="shared" ref="G34:K34" si="13">SUM(G33:G33)</f>
        <v>2529380.2000000002</v>
      </c>
      <c r="H34" s="396">
        <f t="shared" si="13"/>
        <v>2391281.1</v>
      </c>
      <c r="I34" s="942">
        <f t="shared" si="13"/>
        <v>480582.24</v>
      </c>
      <c r="J34" s="337">
        <f t="shared" si="13"/>
        <v>14976971.1</v>
      </c>
      <c r="K34" s="423">
        <f t="shared" si="13"/>
        <v>3009962.44</v>
      </c>
    </row>
    <row r="35" spans="1:16">
      <c r="A35" s="1971" t="s">
        <v>167</v>
      </c>
      <c r="B35" s="1972"/>
      <c r="C35" s="1972"/>
      <c r="D35" s="1972"/>
      <c r="E35" s="1972"/>
      <c r="F35" s="1972"/>
      <c r="G35" s="1972"/>
      <c r="H35" s="1972"/>
      <c r="I35" s="1972"/>
      <c r="J35" s="1972"/>
      <c r="K35" s="1973"/>
    </row>
    <row r="36" spans="1:16" ht="38.25">
      <c r="A36" s="936" t="s">
        <v>549</v>
      </c>
      <c r="B36" s="940" t="s">
        <v>697</v>
      </c>
      <c r="C36" s="941">
        <v>1</v>
      </c>
      <c r="D36" s="941" t="s">
        <v>574</v>
      </c>
      <c r="E36" s="979">
        <f>90000000*IPC*crinv</f>
        <v>125856900</v>
      </c>
      <c r="F36" s="943">
        <f t="shared" ref="F36" si="14">ROUND(C36*E36,0)</f>
        <v>125856900</v>
      </c>
      <c r="G36" s="938">
        <f>ROUND(F36/euro,2)</f>
        <v>25293802</v>
      </c>
      <c r="H36" s="939">
        <f>ROUND(F36*TVA,2)</f>
        <v>23912811</v>
      </c>
      <c r="I36" s="938">
        <f>ROUND(H36/euro,2)</f>
        <v>4805822.38</v>
      </c>
      <c r="J36" s="321">
        <f t="shared" ref="J36:K36" si="15">F36+H36</f>
        <v>149769711</v>
      </c>
      <c r="K36" s="421">
        <f t="shared" si="15"/>
        <v>30099624.379999999</v>
      </c>
      <c r="P36" s="971" t="s">
        <v>9</v>
      </c>
    </row>
    <row r="37" spans="1:16" ht="12.75" customHeight="1">
      <c r="A37" s="1969" t="s">
        <v>169</v>
      </c>
      <c r="B37" s="1970"/>
      <c r="C37" s="609"/>
      <c r="D37" s="609"/>
      <c r="E37" s="609"/>
      <c r="F37" s="396">
        <f>SUM(F36:F36)</f>
        <v>125856900</v>
      </c>
      <c r="G37" s="944">
        <f t="shared" ref="G37:K37" si="16">SUM(G36:G36)</f>
        <v>25293802</v>
      </c>
      <c r="H37" s="396">
        <f t="shared" si="16"/>
        <v>23912811</v>
      </c>
      <c r="I37" s="944">
        <f t="shared" si="16"/>
        <v>4805822.38</v>
      </c>
      <c r="J37" s="385">
        <f t="shared" si="16"/>
        <v>149769711</v>
      </c>
      <c r="K37" s="432">
        <f t="shared" si="16"/>
        <v>30099624.379999999</v>
      </c>
    </row>
    <row r="38" spans="1:16" ht="12.75" customHeight="1">
      <c r="A38" s="1996" t="s">
        <v>170</v>
      </c>
      <c r="B38" s="1997"/>
      <c r="C38" s="1997"/>
      <c r="D38" s="1997"/>
      <c r="E38" s="1997"/>
      <c r="F38" s="2010"/>
      <c r="G38" s="1997"/>
      <c r="H38" s="1997"/>
      <c r="I38" s="1997"/>
      <c r="J38" s="1997"/>
      <c r="K38" s="1998"/>
    </row>
    <row r="39" spans="1:16" ht="12.75" customHeight="1">
      <c r="A39" s="763">
        <v>1</v>
      </c>
      <c r="B39" s="980" t="s">
        <v>635</v>
      </c>
      <c r="C39" s="721">
        <v>1</v>
      </c>
      <c r="D39" s="721" t="s">
        <v>574</v>
      </c>
      <c r="E39" s="981">
        <f>800000*IPC*crinv</f>
        <v>1118728</v>
      </c>
      <c r="F39" s="943">
        <f t="shared" ref="F39" si="17">ROUND(C39*E39,0)</f>
        <v>1118728</v>
      </c>
      <c r="G39" s="938">
        <f>ROUND(F39/euro,2)</f>
        <v>224833.8</v>
      </c>
      <c r="H39" s="939">
        <f>ROUND(F39*TVA,2)</f>
        <v>212558.32</v>
      </c>
      <c r="I39" s="938">
        <f>ROUND(H39/euro,2)</f>
        <v>42718.42</v>
      </c>
      <c r="J39" s="321">
        <f t="shared" ref="J39:K39" si="18">F39+H39</f>
        <v>1331286.32</v>
      </c>
      <c r="K39" s="421">
        <f t="shared" si="18"/>
        <v>267552.21999999997</v>
      </c>
      <c r="L39" s="692"/>
    </row>
    <row r="40" spans="1:16" ht="12.75" customHeight="1">
      <c r="A40" s="1969" t="s">
        <v>174</v>
      </c>
      <c r="B40" s="1970"/>
      <c r="C40" s="609"/>
      <c r="D40" s="609"/>
      <c r="E40" s="609"/>
      <c r="F40" s="396">
        <f>SUM(F39:F39)</f>
        <v>1118728</v>
      </c>
      <c r="G40" s="942">
        <f t="shared" ref="G40:K40" si="19">SUM(G39:G39)</f>
        <v>224833.8</v>
      </c>
      <c r="H40" s="396">
        <f t="shared" si="19"/>
        <v>212558.32</v>
      </c>
      <c r="I40" s="942">
        <f t="shared" si="19"/>
        <v>42718.42</v>
      </c>
      <c r="J40" s="337">
        <f t="shared" si="19"/>
        <v>1331286.32</v>
      </c>
      <c r="K40" s="423">
        <f t="shared" si="19"/>
        <v>267552.21999999997</v>
      </c>
    </row>
    <row r="41" spans="1:16">
      <c r="A41" s="1992" t="s">
        <v>175</v>
      </c>
      <c r="B41" s="1993"/>
      <c r="C41" s="1993"/>
      <c r="D41" s="1993"/>
      <c r="E41" s="1993"/>
      <c r="F41" s="1993"/>
      <c r="G41" s="1993"/>
      <c r="H41" s="1993"/>
      <c r="I41" s="1993"/>
      <c r="J41" s="1993"/>
      <c r="K41" s="1994"/>
    </row>
    <row r="42" spans="1:16">
      <c r="A42" s="948">
        <v>1</v>
      </c>
      <c r="B42" s="949" t="s">
        <v>636</v>
      </c>
      <c r="C42" s="618">
        <v>1</v>
      </c>
      <c r="D42" s="618"/>
      <c r="E42" s="618">
        <f>10000*IPC*crinv</f>
        <v>13984.1</v>
      </c>
      <c r="F42" s="943">
        <f t="shared" ref="F42" si="20">ROUND(C42*E42,0)</f>
        <v>13984</v>
      </c>
      <c r="G42" s="938">
        <f>ROUND(F42/euro,2)</f>
        <v>2810.4</v>
      </c>
      <c r="H42" s="947">
        <f>ROUND(F42*TVA,2)</f>
        <v>2656.96</v>
      </c>
      <c r="I42" s="938">
        <f>ROUND(H42/euro,2)</f>
        <v>533.98</v>
      </c>
      <c r="J42" s="972">
        <f>F42+H42</f>
        <v>16640.96</v>
      </c>
      <c r="K42" s="973">
        <f>G42+I42</f>
        <v>3344.38</v>
      </c>
    </row>
    <row r="43" spans="1:16" ht="14.25" customHeight="1">
      <c r="A43" s="1969" t="s">
        <v>181</v>
      </c>
      <c r="B43" s="1995"/>
      <c r="C43" s="950"/>
      <c r="D43" s="950"/>
      <c r="E43" s="950"/>
      <c r="F43" s="396">
        <f>SUM(F42:F42)</f>
        <v>13984</v>
      </c>
      <c r="G43" s="942">
        <f t="shared" ref="G43:K43" si="21">SUM(G42:G42)</f>
        <v>2810.4</v>
      </c>
      <c r="H43" s="396">
        <f t="shared" si="21"/>
        <v>2656.96</v>
      </c>
      <c r="I43" s="942">
        <f t="shared" si="21"/>
        <v>533.98</v>
      </c>
      <c r="J43" s="337">
        <f t="shared" si="21"/>
        <v>16640.96</v>
      </c>
      <c r="K43" s="423">
        <f t="shared" si="21"/>
        <v>3344.38</v>
      </c>
    </row>
    <row r="44" spans="1:16" ht="14.25" customHeight="1">
      <c r="A44" s="1996" t="s">
        <v>182</v>
      </c>
      <c r="B44" s="1997"/>
      <c r="C44" s="1997"/>
      <c r="D44" s="1997"/>
      <c r="E44" s="1997"/>
      <c r="F44" s="1997"/>
      <c r="G44" s="1997"/>
      <c r="H44" s="1997"/>
      <c r="I44" s="1997"/>
      <c r="J44" s="1997"/>
      <c r="K44" s="1998"/>
    </row>
    <row r="45" spans="1:16" ht="14.25" customHeight="1">
      <c r="A45" s="622">
        <v>1</v>
      </c>
      <c r="B45" s="654"/>
      <c r="C45" s="654"/>
      <c r="D45" s="654"/>
      <c r="E45" s="654"/>
      <c r="F45" s="655">
        <v>0</v>
      </c>
      <c r="G45" s="655">
        <v>0</v>
      </c>
      <c r="H45" s="656">
        <v>0</v>
      </c>
      <c r="I45" s="657">
        <v>0</v>
      </c>
      <c r="J45" s="657">
        <v>0</v>
      </c>
      <c r="K45" s="703">
        <v>0</v>
      </c>
    </row>
    <row r="46" spans="1:16" ht="14.25" customHeight="1">
      <c r="A46" s="1999" t="s">
        <v>185</v>
      </c>
      <c r="B46" s="2000"/>
      <c r="C46" s="658"/>
      <c r="D46" s="658"/>
      <c r="E46" s="658"/>
      <c r="F46" s="659">
        <v>0</v>
      </c>
      <c r="G46" s="659">
        <v>0</v>
      </c>
      <c r="H46" s="659">
        <v>0</v>
      </c>
      <c r="I46" s="659">
        <v>0</v>
      </c>
      <c r="J46" s="659">
        <v>0</v>
      </c>
      <c r="K46" s="975">
        <v>0</v>
      </c>
    </row>
    <row r="47" spans="1:16" ht="12.75" customHeight="1">
      <c r="A47" s="2001" t="s">
        <v>186</v>
      </c>
      <c r="B47" s="2002"/>
      <c r="C47" s="662"/>
      <c r="D47" s="662"/>
      <c r="E47" s="662"/>
      <c r="F47" s="395">
        <f t="shared" ref="F47:K47" si="22">SUM(F31,F34,F37,F40,F43,F46)</f>
        <v>171829630</v>
      </c>
      <c r="G47" s="395">
        <f t="shared" si="22"/>
        <v>34533066.039999999</v>
      </c>
      <c r="H47" s="396">
        <f t="shared" si="22"/>
        <v>32647629.699999999</v>
      </c>
      <c r="I47" s="615">
        <f t="shared" si="22"/>
        <v>6561282.5599999996</v>
      </c>
      <c r="J47" s="337">
        <f t="shared" si="22"/>
        <v>204477259.69999999</v>
      </c>
      <c r="K47" s="423">
        <f t="shared" si="22"/>
        <v>41094348.600000001</v>
      </c>
    </row>
    <row r="48" spans="1:16" ht="16.5" customHeight="1">
      <c r="A48" s="1982" t="s">
        <v>212</v>
      </c>
      <c r="B48" s="1983"/>
      <c r="C48" s="664"/>
      <c r="D48" s="664"/>
      <c r="E48" s="664"/>
      <c r="F48" s="397">
        <f t="shared" ref="F48:K48" si="23">+F47</f>
        <v>171829630</v>
      </c>
      <c r="G48" s="942">
        <f t="shared" si="23"/>
        <v>34533066.039999999</v>
      </c>
      <c r="H48" s="397">
        <f t="shared" si="23"/>
        <v>32647629.699999999</v>
      </c>
      <c r="I48" s="942">
        <f t="shared" si="23"/>
        <v>6561282.5599999996</v>
      </c>
      <c r="J48" s="337">
        <f t="shared" si="23"/>
        <v>204477259.69999999</v>
      </c>
      <c r="K48" s="423">
        <f t="shared" si="23"/>
        <v>41094348.600000001</v>
      </c>
    </row>
    <row r="49" spans="1:11">
      <c r="A49" s="1984" t="s">
        <v>243</v>
      </c>
      <c r="B49" s="1985"/>
      <c r="C49" s="666"/>
      <c r="D49" s="666"/>
      <c r="E49" s="666"/>
      <c r="F49" s="399">
        <f t="shared" ref="F49:K49" si="24">F31+F34</f>
        <v>44840018</v>
      </c>
      <c r="G49" s="942">
        <f t="shared" si="24"/>
        <v>9011619.8399999999</v>
      </c>
      <c r="H49" s="399">
        <f t="shared" si="24"/>
        <v>8519603.4199999999</v>
      </c>
      <c r="I49" s="942">
        <f t="shared" si="24"/>
        <v>1712207.78</v>
      </c>
      <c r="J49" s="337">
        <f t="shared" si="24"/>
        <v>53359621.420000002</v>
      </c>
      <c r="K49" s="423">
        <f t="shared" si="24"/>
        <v>10723827.619999999</v>
      </c>
    </row>
    <row r="50" spans="1:11" s="904" customFormat="1">
      <c r="B50" s="598"/>
      <c r="C50" s="598"/>
      <c r="D50" s="598"/>
      <c r="E50" s="598"/>
    </row>
    <row r="51" spans="1:11" s="904" customFormat="1">
      <c r="B51" s="598"/>
      <c r="C51" s="598"/>
      <c r="D51" s="598"/>
      <c r="E51" s="598"/>
    </row>
    <row r="52" spans="1:11" s="904" customFormat="1" ht="39" customHeight="1">
      <c r="A52" s="951"/>
      <c r="B52" s="402" t="str">
        <f>'DEVIZ GENERAL'!B168</f>
        <v>In preturi la data de :</v>
      </c>
      <c r="C52" s="2008" t="str">
        <f>'DEVIZ GENERAL'!C168</f>
        <v>inforeuro februarie 2025</v>
      </c>
      <c r="D52" s="2008"/>
      <c r="E52" s="402" t="str">
        <f>'DEVIZ GENERAL'!D168</f>
        <v>1 Euro =</v>
      </c>
      <c r="F52" s="952">
        <f>'DEVIZ GENERAL'!E168</f>
        <v>4.9757999999999996</v>
      </c>
      <c r="G52" s="953"/>
    </row>
    <row r="53" spans="1:11" s="904" customFormat="1">
      <c r="A53" s="954"/>
      <c r="B53" s="406" t="s">
        <v>222</v>
      </c>
      <c r="C53" s="406"/>
      <c r="D53" s="406"/>
      <c r="E53" s="406"/>
      <c r="F53" s="953"/>
      <c r="G53" s="953"/>
      <c r="H53" s="955" t="s">
        <v>223</v>
      </c>
      <c r="I53" s="955"/>
      <c r="J53" s="955"/>
      <c r="K53" s="955"/>
    </row>
    <row r="54" spans="1:11" s="904" customFormat="1">
      <c r="A54" s="954"/>
      <c r="B54" s="437" t="str">
        <f>data_deviz</f>
        <v>31.01.2025</v>
      </c>
      <c r="C54" s="437"/>
      <c r="D54" s="437"/>
      <c r="E54" s="437"/>
      <c r="F54" s="953"/>
      <c r="G54" s="953"/>
      <c r="H54" s="1987" t="s">
        <v>225</v>
      </c>
      <c r="I54" s="1987"/>
      <c r="J54" s="1987"/>
      <c r="K54" s="1987"/>
    </row>
    <row r="55" spans="1:11" s="904" customFormat="1">
      <c r="B55" s="406" t="s">
        <v>226</v>
      </c>
      <c r="C55" s="406"/>
      <c r="D55" s="406"/>
      <c r="E55" s="406"/>
      <c r="F55" s="956"/>
      <c r="G55" s="956"/>
      <c r="H55" s="957"/>
      <c r="I55" s="957"/>
      <c r="J55" s="957"/>
      <c r="K55" s="955"/>
    </row>
    <row r="56" spans="1:11" s="904" customFormat="1">
      <c r="B56" s="441" t="s">
        <v>227</v>
      </c>
      <c r="C56" s="437"/>
      <c r="D56" s="437"/>
      <c r="E56" s="437"/>
      <c r="H56" s="958" t="s">
        <v>637</v>
      </c>
      <c r="I56" s="958"/>
      <c r="J56" s="958"/>
      <c r="K56" s="976"/>
    </row>
    <row r="57" spans="1:11" s="904" customFormat="1">
      <c r="A57" s="951"/>
      <c r="B57" s="671"/>
      <c r="C57" s="671"/>
      <c r="D57" s="671"/>
      <c r="E57" s="671"/>
      <c r="F57" s="955"/>
      <c r="G57" s="955"/>
      <c r="K57" s="977" t="s">
        <v>229</v>
      </c>
    </row>
    <row r="58" spans="1:11" ht="15.75">
      <c r="A58" s="676"/>
      <c r="B58" s="676"/>
      <c r="C58" s="676"/>
      <c r="D58" s="676"/>
      <c r="E58" s="676"/>
    </row>
    <row r="59" spans="1:11" hidden="1">
      <c r="F59" s="269">
        <f>F48/euro</f>
        <v>34533066.039631799</v>
      </c>
      <c r="G59" s="269"/>
      <c r="K59" s="269">
        <f>K48/euro</f>
        <v>8258842.5177860903</v>
      </c>
    </row>
    <row r="60" spans="1:11">
      <c r="B60" s="673"/>
      <c r="C60" s="673"/>
      <c r="D60" s="673"/>
      <c r="E60" s="673"/>
    </row>
    <row r="61" spans="1:11" ht="12.75" customHeight="1">
      <c r="A61" s="679"/>
      <c r="B61" s="673"/>
      <c r="C61" s="673"/>
      <c r="D61" s="673"/>
      <c r="E61" s="673"/>
    </row>
    <row r="62" spans="1:11">
      <c r="A62" s="679"/>
      <c r="B62" s="680"/>
      <c r="C62" s="680"/>
      <c r="D62" s="680"/>
      <c r="E62" s="680"/>
      <c r="F62" s="680"/>
      <c r="G62" s="680"/>
    </row>
    <row r="63" spans="1:11">
      <c r="A63" s="679"/>
      <c r="B63" s="680"/>
      <c r="C63" s="680"/>
      <c r="D63" s="680"/>
      <c r="E63" s="680"/>
      <c r="F63" s="680"/>
      <c r="G63" s="680"/>
    </row>
    <row r="64" spans="1:11">
      <c r="A64" s="679"/>
      <c r="B64" s="680"/>
      <c r="C64" s="680"/>
      <c r="D64" s="680"/>
      <c r="E64" s="680"/>
      <c r="F64" s="680"/>
      <c r="G64" s="680"/>
    </row>
    <row r="65" spans="1:7" ht="12.75" customHeight="1">
      <c r="A65" s="679"/>
      <c r="B65" s="680"/>
      <c r="C65" s="680"/>
      <c r="D65" s="680"/>
      <c r="E65" s="680"/>
      <c r="F65" s="680"/>
      <c r="G65" s="680"/>
    </row>
    <row r="66" spans="1:7" ht="15" customHeight="1">
      <c r="A66" s="679"/>
      <c r="B66" s="680"/>
      <c r="C66" s="680"/>
      <c r="D66" s="680"/>
      <c r="E66" s="680"/>
      <c r="F66" s="680"/>
      <c r="G66" s="680"/>
    </row>
    <row r="67" spans="1:7">
      <c r="A67" s="680"/>
      <c r="B67" s="680"/>
      <c r="C67" s="680"/>
      <c r="D67" s="680"/>
      <c r="E67" s="680"/>
      <c r="F67" s="680"/>
      <c r="G67" s="680"/>
    </row>
    <row r="68" spans="1:7" ht="15.75">
      <c r="A68" s="686"/>
      <c r="B68" s="686"/>
      <c r="C68" s="686"/>
      <c r="D68" s="686"/>
      <c r="E68" s="686"/>
      <c r="F68" s="686"/>
      <c r="G68" s="686"/>
    </row>
    <row r="69" spans="1:7" ht="15" customHeight="1">
      <c r="A69" s="679"/>
      <c r="B69" s="680"/>
      <c r="C69" s="680"/>
      <c r="D69" s="680"/>
      <c r="E69" s="680"/>
      <c r="F69" s="680"/>
      <c r="G69" s="680"/>
    </row>
  </sheetData>
  <mergeCells count="33">
    <mergeCell ref="B1:K3"/>
    <mergeCell ref="A48:B48"/>
    <mergeCell ref="A49:B49"/>
    <mergeCell ref="C52:D52"/>
    <mergeCell ref="H54:K54"/>
    <mergeCell ref="A8:A9"/>
    <mergeCell ref="B8:B9"/>
    <mergeCell ref="A41:K41"/>
    <mergeCell ref="A43:B43"/>
    <mergeCell ref="A44:K44"/>
    <mergeCell ref="A46:B46"/>
    <mergeCell ref="A47:B47"/>
    <mergeCell ref="A34:B34"/>
    <mergeCell ref="A35:K35"/>
    <mergeCell ref="A37:B37"/>
    <mergeCell ref="A38:K38"/>
    <mergeCell ref="A40:B40"/>
    <mergeCell ref="A17:K17"/>
    <mergeCell ref="B18:K18"/>
    <mergeCell ref="A22:K22"/>
    <mergeCell ref="A31:B31"/>
    <mergeCell ref="A32:K32"/>
    <mergeCell ref="A11:K11"/>
    <mergeCell ref="A12:B12"/>
    <mergeCell ref="A13:K13"/>
    <mergeCell ref="A15:B15"/>
    <mergeCell ref="A16:K16"/>
    <mergeCell ref="A5:K5"/>
    <mergeCell ref="A6:K6"/>
    <mergeCell ref="A7:K7"/>
    <mergeCell ref="F8:G8"/>
    <mergeCell ref="H8:I8"/>
    <mergeCell ref="J8:K8"/>
  </mergeCells>
  <pageMargins left="0.75" right="0.75" top="1" bottom="1" header="0.5" footer="0.5"/>
  <pageSetup paperSize="9" scale="40" orientation="portrait" r:id="rId1"/>
  <headerFooter alignWithMargins="0"/>
  <rowBreaks count="1" manualBreakCount="1">
    <brk id="37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P77"/>
  <sheetViews>
    <sheetView view="pageBreakPreview" topLeftCell="A21" zoomScale="75" zoomScaleNormal="100" workbookViewId="0">
      <selection activeCell="F24" sqref="A24:K37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4" width="11.42578125" style="598" customWidth="1"/>
    <col min="5" max="5" width="11.140625" style="598" customWidth="1"/>
    <col min="6" max="7" width="23.85546875" style="598" customWidth="1"/>
    <col min="8" max="9" width="18" style="598" customWidth="1"/>
    <col min="10" max="10" width="20.140625" style="598" customWidth="1"/>
    <col min="11" max="11" width="18.140625" style="598" hidden="1" customWidth="1"/>
    <col min="12" max="12" width="0.140625" style="598" hidden="1" customWidth="1"/>
    <col min="13" max="13" width="12.28515625" style="598" customWidth="1"/>
    <col min="14" max="14" width="17" style="598" hidden="1" customWidth="1"/>
    <col min="15" max="16384" width="11.28515625" style="598"/>
  </cols>
  <sheetData>
    <row r="1" spans="1:11" s="903" customFormat="1" ht="12.75" customHeight="1">
      <c r="B1" s="1980" t="str">
        <f>'DEVIZ GENERAL'!B4</f>
        <v>SISTEM DE MANAGEMENT INTEGRAT AL DEȘEURILOR DIN JUDEȚUL DÂMBOVIȚA</v>
      </c>
      <c r="C1" s="1980"/>
      <c r="D1" s="1980"/>
      <c r="E1" s="1980"/>
      <c r="F1" s="1980"/>
      <c r="G1" s="1980"/>
      <c r="H1" s="1980"/>
      <c r="I1" s="1980"/>
      <c r="J1" s="1980"/>
      <c r="K1" s="1980"/>
    </row>
    <row r="2" spans="1:11" s="903" customFormat="1" ht="12.75" customHeight="1">
      <c r="A2" s="908"/>
      <c r="B2" s="1980"/>
      <c r="C2" s="1980"/>
      <c r="D2" s="1980"/>
      <c r="E2" s="1980"/>
      <c r="F2" s="1980"/>
      <c r="G2" s="1980"/>
      <c r="H2" s="1980"/>
      <c r="I2" s="1980"/>
      <c r="J2" s="1980"/>
      <c r="K2" s="1980"/>
    </row>
    <row r="3" spans="1:11" s="903" customFormat="1">
      <c r="A3" s="909"/>
      <c r="B3" s="1981"/>
      <c r="C3" s="1981"/>
      <c r="D3" s="1981"/>
      <c r="E3" s="1981"/>
      <c r="F3" s="1981"/>
      <c r="G3" s="1981"/>
      <c r="H3" s="1981"/>
      <c r="I3" s="1981"/>
      <c r="J3" s="1981"/>
      <c r="K3" s="1981"/>
    </row>
    <row r="4" spans="1:11" s="903" customFormat="1">
      <c r="A4" s="910"/>
      <c r="B4" s="601"/>
      <c r="C4" s="601"/>
      <c r="D4" s="601"/>
      <c r="E4" s="601"/>
      <c r="F4" s="910"/>
      <c r="G4" s="910"/>
      <c r="H4" s="911"/>
      <c r="I4" s="911"/>
      <c r="J4" s="911"/>
      <c r="K4" s="959"/>
    </row>
    <row r="5" spans="1:11" s="904" customFormat="1" ht="26.25" customHeight="1">
      <c r="A5" s="1954" t="str">
        <f>'D8.compostoare individuale'!A5</f>
        <v>DEVIZ OBIECT</v>
      </c>
      <c r="B5" s="1954"/>
      <c r="C5" s="1954"/>
      <c r="D5" s="1954"/>
      <c r="E5" s="1954"/>
      <c r="F5" s="1954"/>
      <c r="G5" s="1954"/>
      <c r="H5" s="1954"/>
      <c r="I5" s="1954"/>
      <c r="J5" s="1954"/>
      <c r="K5" s="1954"/>
    </row>
    <row r="6" spans="1:11" s="905" customFormat="1" ht="39.75" customHeight="1">
      <c r="A6" s="1905" t="s">
        <v>698</v>
      </c>
      <c r="B6" s="1905"/>
      <c r="C6" s="1905"/>
      <c r="D6" s="1905"/>
      <c r="E6" s="1905"/>
      <c r="F6" s="1905"/>
      <c r="G6" s="1905"/>
      <c r="H6" s="1905"/>
      <c r="I6" s="1905"/>
      <c r="J6" s="1905"/>
      <c r="K6" s="1905"/>
    </row>
    <row r="7" spans="1:11" s="904" customFormat="1">
      <c r="A7" s="1955" t="s">
        <v>240</v>
      </c>
      <c r="B7" s="1955"/>
      <c r="C7" s="1955"/>
      <c r="D7" s="1955"/>
      <c r="E7" s="1955"/>
      <c r="F7" s="1955"/>
      <c r="G7" s="1955"/>
      <c r="H7" s="1955"/>
      <c r="I7" s="1955"/>
      <c r="J7" s="1955"/>
      <c r="K7" s="1955"/>
    </row>
    <row r="8" spans="1:11" ht="31.5" customHeight="1">
      <c r="A8" s="1988" t="s">
        <v>99</v>
      </c>
      <c r="B8" s="1990" t="s">
        <v>100</v>
      </c>
      <c r="C8" s="289" t="s">
        <v>560</v>
      </c>
      <c r="D8" s="289" t="s">
        <v>561</v>
      </c>
      <c r="E8" s="290" t="s">
        <v>562</v>
      </c>
      <c r="F8" s="1956" t="s">
        <v>101</v>
      </c>
      <c r="G8" s="1957"/>
      <c r="H8" s="1956" t="s">
        <v>102</v>
      </c>
      <c r="I8" s="1957"/>
      <c r="J8" s="1956" t="s">
        <v>563</v>
      </c>
      <c r="K8" s="1958"/>
    </row>
    <row r="9" spans="1:11" s="596" customFormat="1" ht="17.25" customHeight="1">
      <c r="A9" s="1989"/>
      <c r="B9" s="1991"/>
      <c r="C9" s="603"/>
      <c r="D9" s="603"/>
      <c r="E9" s="603"/>
      <c r="F9" s="604" t="s">
        <v>546</v>
      </c>
      <c r="G9" s="604" t="s">
        <v>81</v>
      </c>
      <c r="H9" s="604" t="s">
        <v>546</v>
      </c>
      <c r="I9" s="960" t="s">
        <v>81</v>
      </c>
      <c r="J9" s="960" t="s">
        <v>546</v>
      </c>
      <c r="K9" s="812" t="s">
        <v>81</v>
      </c>
    </row>
    <row r="10" spans="1:11">
      <c r="A10" s="605">
        <v>1</v>
      </c>
      <c r="B10" s="606">
        <v>2</v>
      </c>
      <c r="C10" s="606"/>
      <c r="D10" s="606"/>
      <c r="E10" s="606"/>
      <c r="F10" s="606">
        <v>3</v>
      </c>
      <c r="G10" s="606">
        <v>4</v>
      </c>
      <c r="H10" s="606">
        <v>5</v>
      </c>
      <c r="I10" s="607">
        <v>6</v>
      </c>
      <c r="J10" s="607">
        <v>7</v>
      </c>
      <c r="K10" s="689">
        <v>8</v>
      </c>
    </row>
    <row r="11" spans="1:11">
      <c r="A11" s="1959" t="s">
        <v>564</v>
      </c>
      <c r="B11" s="1960"/>
      <c r="C11" s="1960"/>
      <c r="D11" s="1960"/>
      <c r="E11" s="1960"/>
      <c r="F11" s="1960"/>
      <c r="G11" s="1960"/>
      <c r="H11" s="1960"/>
      <c r="I11" s="1960"/>
      <c r="J11" s="1960"/>
      <c r="K11" s="1961"/>
    </row>
    <row r="12" spans="1:11" customFormat="1">
      <c r="A12" s="912" t="s">
        <v>110</v>
      </c>
      <c r="B12" s="913" t="s">
        <v>111</v>
      </c>
      <c r="C12" s="914"/>
      <c r="D12" s="914"/>
      <c r="E12" s="914"/>
      <c r="F12" s="914"/>
      <c r="G12" s="915"/>
      <c r="H12" s="915"/>
      <c r="I12" s="915"/>
      <c r="J12" s="961"/>
      <c r="K12" s="962"/>
    </row>
    <row r="13" spans="1:11" customFormat="1">
      <c r="A13" s="916" t="s">
        <v>113</v>
      </c>
      <c r="B13" s="917" t="s">
        <v>114</v>
      </c>
      <c r="C13" s="918"/>
      <c r="D13" s="918"/>
      <c r="E13" s="918"/>
      <c r="F13" s="918"/>
      <c r="G13" s="919"/>
      <c r="H13" s="919"/>
      <c r="I13" s="919"/>
      <c r="J13" s="55"/>
      <c r="K13" s="76"/>
    </row>
    <row r="14" spans="1:11" customFormat="1" ht="25.5">
      <c r="A14" s="920" t="s">
        <v>115</v>
      </c>
      <c r="B14" s="921" t="s">
        <v>565</v>
      </c>
      <c r="C14" s="918"/>
      <c r="D14" s="918"/>
      <c r="E14" s="918"/>
      <c r="F14" s="922">
        <f t="shared" ref="F14:K14" si="0">SUM(F15:F15)</f>
        <v>17900</v>
      </c>
      <c r="G14" s="923">
        <f t="shared" si="0"/>
        <v>3597.41</v>
      </c>
      <c r="H14" s="923">
        <f t="shared" si="0"/>
        <v>3401</v>
      </c>
      <c r="I14" s="923">
        <f t="shared" si="0"/>
        <v>683.51</v>
      </c>
      <c r="J14" s="963">
        <f t="shared" si="0"/>
        <v>21301</v>
      </c>
      <c r="K14" s="964">
        <f t="shared" si="0"/>
        <v>4280.92</v>
      </c>
    </row>
    <row r="15" spans="1:11" s="906" customFormat="1">
      <c r="A15" s="924" t="s">
        <v>549</v>
      </c>
      <c r="B15" s="925" t="s">
        <v>566</v>
      </c>
      <c r="C15" s="713">
        <v>3200</v>
      </c>
      <c r="D15" s="713" t="s">
        <v>567</v>
      </c>
      <c r="E15" s="926">
        <f>4*IPC*crinv</f>
        <v>5.5936399999999997</v>
      </c>
      <c r="F15" s="322">
        <f>ROUND(C15*E15,0)</f>
        <v>17900</v>
      </c>
      <c r="G15" s="322">
        <f>ROUND(F15/euro,2)</f>
        <v>3597.41</v>
      </c>
      <c r="H15" s="322">
        <f>ROUND(F15*TVA,2)</f>
        <v>3401</v>
      </c>
      <c r="I15" s="965">
        <f>ROUND(H15/euro,2)</f>
        <v>683.51</v>
      </c>
      <c r="J15" s="321">
        <f t="shared" ref="J15:K16" si="1">F15+H15</f>
        <v>21301</v>
      </c>
      <c r="K15" s="421">
        <f t="shared" si="1"/>
        <v>4280.92</v>
      </c>
    </row>
    <row r="16" spans="1:11" customFormat="1">
      <c r="A16" s="927" t="s">
        <v>117</v>
      </c>
      <c r="B16" s="928" t="s">
        <v>118</v>
      </c>
      <c r="C16" s="918"/>
      <c r="D16" s="918"/>
      <c r="E16" s="918"/>
      <c r="F16" s="322">
        <f>C16*E16</f>
        <v>0</v>
      </c>
      <c r="G16" s="322">
        <f>F16/euro</f>
        <v>0</v>
      </c>
      <c r="H16" s="322">
        <f>F16*TVA</f>
        <v>0</v>
      </c>
      <c r="I16" s="965">
        <f>H16/euro</f>
        <v>0</v>
      </c>
      <c r="J16" s="321">
        <f t="shared" si="1"/>
        <v>0</v>
      </c>
      <c r="K16" s="421">
        <f t="shared" si="1"/>
        <v>0</v>
      </c>
    </row>
    <row r="17" spans="1:11">
      <c r="A17" s="1962" t="s">
        <v>119</v>
      </c>
      <c r="B17" s="1963"/>
      <c r="C17" s="929"/>
      <c r="D17" s="929"/>
      <c r="E17" s="929"/>
      <c r="F17" s="930" t="s">
        <v>9</v>
      </c>
      <c r="G17" s="930" t="s">
        <v>9</v>
      </c>
      <c r="H17" s="930" t="s">
        <v>9</v>
      </c>
      <c r="I17" s="930" t="s">
        <v>9</v>
      </c>
      <c r="J17" s="966" t="s">
        <v>9</v>
      </c>
      <c r="K17" s="967" t="s">
        <v>9</v>
      </c>
    </row>
    <row r="18" spans="1:11">
      <c r="A18" s="2005" t="s">
        <v>575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>
      <c r="A19" s="847"/>
      <c r="B19" s="931"/>
      <c r="C19" s="931"/>
      <c r="D19" s="931"/>
      <c r="E19" s="931"/>
      <c r="F19" s="932"/>
      <c r="G19" s="932"/>
      <c r="H19" s="932"/>
      <c r="I19" s="968"/>
      <c r="J19" s="968"/>
      <c r="K19" s="969"/>
    </row>
    <row r="20" spans="1:11" ht="12.95" customHeight="1">
      <c r="A20" s="1967" t="s">
        <v>122</v>
      </c>
      <c r="B20" s="1968"/>
      <c r="C20" s="933"/>
      <c r="D20" s="933"/>
      <c r="E20" s="933"/>
      <c r="F20" s="934" t="s">
        <v>9</v>
      </c>
      <c r="G20" s="935" t="s">
        <v>9</v>
      </c>
      <c r="H20" s="934" t="s">
        <v>9</v>
      </c>
      <c r="I20" s="935" t="s">
        <v>9</v>
      </c>
      <c r="J20" s="935" t="s">
        <v>9</v>
      </c>
      <c r="K20" s="970" t="s">
        <v>9</v>
      </c>
    </row>
    <row r="21" spans="1:11">
      <c r="A21" s="1964" t="s">
        <v>160</v>
      </c>
      <c r="B21" s="1965"/>
      <c r="C21" s="1965"/>
      <c r="D21" s="1965"/>
      <c r="E21" s="1965"/>
      <c r="F21" s="1965"/>
      <c r="G21" s="1965"/>
      <c r="H21" s="1965"/>
      <c r="I21" s="1965"/>
      <c r="J21" s="1965"/>
      <c r="K21" s="1966"/>
    </row>
    <row r="22" spans="1:11">
      <c r="A22" s="1971" t="s">
        <v>161</v>
      </c>
      <c r="B22" s="1972"/>
      <c r="C22" s="1972"/>
      <c r="D22" s="1972"/>
      <c r="E22" s="1972"/>
      <c r="F22" s="1972"/>
      <c r="G22" s="1972"/>
      <c r="H22" s="1972"/>
      <c r="I22" s="1972"/>
      <c r="J22" s="1972"/>
      <c r="K22" s="1973"/>
    </row>
    <row r="23" spans="1:11">
      <c r="A23" s="608" t="s">
        <v>162</v>
      </c>
      <c r="B23" s="1974" t="s">
        <v>548</v>
      </c>
      <c r="C23" s="1975"/>
      <c r="D23" s="1975"/>
      <c r="E23" s="1975"/>
      <c r="F23" s="1975"/>
      <c r="G23" s="1975"/>
      <c r="H23" s="1975"/>
      <c r="I23" s="1975"/>
      <c r="J23" s="1975"/>
      <c r="K23" s="1976"/>
    </row>
    <row r="24" spans="1:11">
      <c r="A24" s="1680" t="s">
        <v>549</v>
      </c>
      <c r="B24" s="1681" t="s">
        <v>582</v>
      </c>
      <c r="C24" s="1674">
        <v>4000</v>
      </c>
      <c r="D24" s="1674" t="s">
        <v>569</v>
      </c>
      <c r="E24" s="1683">
        <f>25*IPC*crinv</f>
        <v>34.960250000000002</v>
      </c>
      <c r="F24" s="1676">
        <f>ROUND(C24*E24,0)</f>
        <v>139841</v>
      </c>
      <c r="G24" s="1676">
        <f t="shared" ref="G24:G29" si="2">ROUND(F24/euro,2)</f>
        <v>28104.22</v>
      </c>
      <c r="H24" s="1676">
        <f t="shared" ref="H24:H29" si="3">ROUND(F24*TVA,2)</f>
        <v>26569.79</v>
      </c>
      <c r="I24" s="1677">
        <f t="shared" ref="I24:I29" si="4">ROUND(H24/euro,2)</f>
        <v>5339.8</v>
      </c>
      <c r="J24" s="1672">
        <f>F24+H24</f>
        <v>166410.79</v>
      </c>
      <c r="K24" s="1678">
        <f>G24+I24</f>
        <v>33444.019999999997</v>
      </c>
    </row>
    <row r="25" spans="1:11" ht="25.5">
      <c r="A25" s="1699" t="s">
        <v>551</v>
      </c>
      <c r="B25" s="1681" t="s">
        <v>583</v>
      </c>
      <c r="C25" s="1674">
        <v>34000</v>
      </c>
      <c r="D25" s="1674" t="s">
        <v>569</v>
      </c>
      <c r="E25" s="1683">
        <f>50*IPC*crinv</f>
        <v>69.920500000000004</v>
      </c>
      <c r="F25" s="1676">
        <f>ROUND(C25*E25,0)</f>
        <v>2377297</v>
      </c>
      <c r="G25" s="1676">
        <f t="shared" si="2"/>
        <v>477771.82</v>
      </c>
      <c r="H25" s="1676">
        <f t="shared" si="3"/>
        <v>451686.43</v>
      </c>
      <c r="I25" s="1677">
        <f t="shared" si="4"/>
        <v>90776.639999999999</v>
      </c>
      <c r="J25" s="1672">
        <f>F25+H25</f>
        <v>2828983.43</v>
      </c>
      <c r="K25" s="1678">
        <f>G25+I25</f>
        <v>568548.46</v>
      </c>
    </row>
    <row r="26" spans="1:11" ht="25.5">
      <c r="A26" s="1699" t="s">
        <v>553</v>
      </c>
      <c r="B26" s="1681" t="s">
        <v>699</v>
      </c>
      <c r="C26" s="1674">
        <f>6500+1500</f>
        <v>8000</v>
      </c>
      <c r="D26" s="1674" t="s">
        <v>569</v>
      </c>
      <c r="E26" s="1683">
        <f>70*IPC*crinv</f>
        <v>97.8887</v>
      </c>
      <c r="F26" s="1676">
        <f>ROUND(C26*E26,0)</f>
        <v>783110</v>
      </c>
      <c r="G26" s="1676">
        <f>ROUNDUP(F26/euro,2)</f>
        <v>157383.74</v>
      </c>
      <c r="H26" s="1676">
        <f t="shared" si="3"/>
        <v>148790.9</v>
      </c>
      <c r="I26" s="1677">
        <f t="shared" si="4"/>
        <v>29902.91</v>
      </c>
      <c r="J26" s="1672">
        <f t="shared" ref="J26:K29" si="5">F26+H26</f>
        <v>931900.9</v>
      </c>
      <c r="K26" s="1678">
        <f t="shared" si="5"/>
        <v>187286.65</v>
      </c>
    </row>
    <row r="27" spans="1:11">
      <c r="A27" s="1699" t="s">
        <v>555</v>
      </c>
      <c r="B27" s="1681" t="s">
        <v>700</v>
      </c>
      <c r="C27" s="1674">
        <f>3500+700</f>
        <v>4200</v>
      </c>
      <c r="D27" s="1674" t="s">
        <v>569</v>
      </c>
      <c r="E27" s="1683">
        <f>50*IPC*crinv</f>
        <v>69.920500000000004</v>
      </c>
      <c r="F27" s="1676">
        <f>ROUND(C27*E27,0)</f>
        <v>293666</v>
      </c>
      <c r="G27" s="1676">
        <f t="shared" si="2"/>
        <v>59018.85</v>
      </c>
      <c r="H27" s="1676">
        <f t="shared" si="3"/>
        <v>55796.54</v>
      </c>
      <c r="I27" s="1677">
        <f t="shared" si="4"/>
        <v>11213.58</v>
      </c>
      <c r="J27" s="1672">
        <f t="shared" si="5"/>
        <v>349462.54</v>
      </c>
      <c r="K27" s="1678">
        <f t="shared" si="5"/>
        <v>70232.429999999993</v>
      </c>
    </row>
    <row r="28" spans="1:11" ht="25.5" hidden="1">
      <c r="A28" s="1709" t="s">
        <v>572</v>
      </c>
      <c r="B28" s="1710" t="s">
        <v>701</v>
      </c>
      <c r="C28" s="1711">
        <v>0</v>
      </c>
      <c r="D28" s="1711" t="s">
        <v>569</v>
      </c>
      <c r="E28" s="1711">
        <v>70</v>
      </c>
      <c r="F28" s="1676">
        <f t="shared" ref="F28:F29" si="6">ROUND(C28*E28,0)</f>
        <v>0</v>
      </c>
      <c r="G28" s="1676">
        <f t="shared" si="2"/>
        <v>0</v>
      </c>
      <c r="H28" s="1676">
        <f t="shared" si="3"/>
        <v>0</v>
      </c>
      <c r="I28" s="1677">
        <f t="shared" si="4"/>
        <v>0</v>
      </c>
      <c r="J28" s="1672">
        <f t="shared" si="5"/>
        <v>0</v>
      </c>
      <c r="K28" s="1678">
        <f t="shared" si="5"/>
        <v>0</v>
      </c>
    </row>
    <row r="29" spans="1:11" ht="25.5" hidden="1">
      <c r="A29" s="1709" t="s">
        <v>591</v>
      </c>
      <c r="B29" s="1710" t="s">
        <v>702</v>
      </c>
      <c r="C29" s="1711">
        <v>0</v>
      </c>
      <c r="D29" s="1711" t="s">
        <v>569</v>
      </c>
      <c r="E29" s="1711">
        <v>50</v>
      </c>
      <c r="F29" s="1676">
        <f t="shared" si="6"/>
        <v>0</v>
      </c>
      <c r="G29" s="1676">
        <f t="shared" si="2"/>
        <v>0</v>
      </c>
      <c r="H29" s="1676">
        <f t="shared" si="3"/>
        <v>0</v>
      </c>
      <c r="I29" s="1677">
        <f t="shared" si="4"/>
        <v>0</v>
      </c>
      <c r="J29" s="1672">
        <f t="shared" si="5"/>
        <v>0</v>
      </c>
      <c r="K29" s="1678">
        <f t="shared" si="5"/>
        <v>0</v>
      </c>
    </row>
    <row r="30" spans="1:11">
      <c r="A30" s="1977" t="s">
        <v>557</v>
      </c>
      <c r="B30" s="1978"/>
      <c r="C30" s="1978"/>
      <c r="D30" s="1978"/>
      <c r="E30" s="1978"/>
      <c r="F30" s="1978"/>
      <c r="G30" s="1978"/>
      <c r="H30" s="1978"/>
      <c r="I30" s="1978"/>
      <c r="J30" s="1978"/>
      <c r="K30" s="1979"/>
    </row>
    <row r="31" spans="1:11">
      <c r="A31" s="1680" t="s">
        <v>549</v>
      </c>
      <c r="B31" s="1684" t="s">
        <v>703</v>
      </c>
      <c r="C31" s="1674">
        <f>6500+1500</f>
        <v>8000</v>
      </c>
      <c r="D31" s="1674" t="s">
        <v>567</v>
      </c>
      <c r="E31" s="1683">
        <f>2500*IPC*crinv</f>
        <v>3496.0250000000001</v>
      </c>
      <c r="F31" s="1665">
        <f t="shared" ref="F31:F37" si="7">ROUND(C31*E31,0)</f>
        <v>27968200</v>
      </c>
      <c r="G31" s="1686">
        <f t="shared" ref="G31:G37" si="8">ROUND(F31/euro,2)</f>
        <v>5620844.8899999997</v>
      </c>
      <c r="H31" s="1687">
        <f t="shared" ref="H31:H37" si="9">ROUND(F31*TVA,2)</f>
        <v>5313958</v>
      </c>
      <c r="I31" s="1686">
        <f t="shared" ref="I31:I37" si="10">ROUND(H31/euro,2)</f>
        <v>1067960.53</v>
      </c>
      <c r="J31" s="1672">
        <f t="shared" ref="J31:K37" si="11">F31+H31</f>
        <v>33282158</v>
      </c>
      <c r="K31" s="1678">
        <f t="shared" si="11"/>
        <v>6688805.4199999999</v>
      </c>
    </row>
    <row r="32" spans="1:11" ht="25.5">
      <c r="A32" s="1680" t="s">
        <v>551</v>
      </c>
      <c r="B32" s="1684" t="s">
        <v>704</v>
      </c>
      <c r="C32" s="1674">
        <f>6500+1500</f>
        <v>8000</v>
      </c>
      <c r="D32" s="1674" t="s">
        <v>574</v>
      </c>
      <c r="E32" s="1683">
        <f>300*IPC*crinv</f>
        <v>419.52300000000002</v>
      </c>
      <c r="F32" s="1665">
        <f t="shared" si="7"/>
        <v>3356184</v>
      </c>
      <c r="G32" s="1686">
        <f>ROUNDUP(F32/euro,2)</f>
        <v>674501.39</v>
      </c>
      <c r="H32" s="1687">
        <f t="shared" si="9"/>
        <v>637674.96</v>
      </c>
      <c r="I32" s="1686">
        <f t="shared" si="10"/>
        <v>128155.26</v>
      </c>
      <c r="J32" s="1672">
        <f t="shared" si="11"/>
        <v>3993858.96</v>
      </c>
      <c r="K32" s="1678">
        <f t="shared" si="11"/>
        <v>802656.65</v>
      </c>
    </row>
    <row r="33" spans="1:16">
      <c r="A33" s="1680" t="s">
        <v>553</v>
      </c>
      <c r="B33" s="1684" t="s">
        <v>705</v>
      </c>
      <c r="C33" s="1674">
        <v>1</v>
      </c>
      <c r="D33" s="1674" t="s">
        <v>574</v>
      </c>
      <c r="E33" s="1683">
        <f>(50000+10000)*IPC*crinv</f>
        <v>83904.6</v>
      </c>
      <c r="F33" s="1665">
        <f t="shared" si="7"/>
        <v>83905</v>
      </c>
      <c r="G33" s="1686">
        <f t="shared" si="8"/>
        <v>16862.62</v>
      </c>
      <c r="H33" s="1687">
        <f t="shared" si="9"/>
        <v>15941.95</v>
      </c>
      <c r="I33" s="1686">
        <f t="shared" si="10"/>
        <v>3203.9</v>
      </c>
      <c r="J33" s="1672">
        <f t="shared" si="11"/>
        <v>99846.95</v>
      </c>
      <c r="K33" s="1678">
        <f t="shared" si="11"/>
        <v>20066.52</v>
      </c>
    </row>
    <row r="34" spans="1:16" ht="25.5">
      <c r="A34" s="1680" t="s">
        <v>555</v>
      </c>
      <c r="B34" s="1684" t="s">
        <v>706</v>
      </c>
      <c r="C34" s="1674">
        <v>1</v>
      </c>
      <c r="D34" s="1674" t="s">
        <v>574</v>
      </c>
      <c r="E34" s="1683">
        <f>50000*IPC*crinv</f>
        <v>69920.5</v>
      </c>
      <c r="F34" s="1665">
        <f t="shared" si="7"/>
        <v>69921</v>
      </c>
      <c r="G34" s="1686">
        <f t="shared" si="8"/>
        <v>14052.21</v>
      </c>
      <c r="H34" s="1687">
        <f t="shared" si="9"/>
        <v>13284.99</v>
      </c>
      <c r="I34" s="1686">
        <f t="shared" si="10"/>
        <v>2669.92</v>
      </c>
      <c r="J34" s="1672">
        <f t="shared" si="11"/>
        <v>83205.990000000005</v>
      </c>
      <c r="K34" s="1678">
        <f t="shared" si="11"/>
        <v>16722.13</v>
      </c>
    </row>
    <row r="35" spans="1:16">
      <c r="A35" s="1680" t="s">
        <v>9</v>
      </c>
      <c r="B35" s="1684" t="s">
        <v>9</v>
      </c>
      <c r="C35" s="1712">
        <v>0</v>
      </c>
      <c r="D35" s="1674" t="s">
        <v>9</v>
      </c>
      <c r="E35" s="1712">
        <v>0</v>
      </c>
      <c r="F35" s="1665">
        <f t="shared" si="7"/>
        <v>0</v>
      </c>
      <c r="G35" s="1686">
        <f t="shared" si="8"/>
        <v>0</v>
      </c>
      <c r="H35" s="1687">
        <f t="shared" si="9"/>
        <v>0</v>
      </c>
      <c r="I35" s="1686">
        <f t="shared" si="10"/>
        <v>0</v>
      </c>
      <c r="J35" s="1672">
        <f t="shared" si="11"/>
        <v>0</v>
      </c>
      <c r="K35" s="1678">
        <f t="shared" si="11"/>
        <v>0</v>
      </c>
    </row>
    <row r="36" spans="1:16">
      <c r="A36" s="1680" t="s">
        <v>9</v>
      </c>
      <c r="B36" s="1684" t="s">
        <v>9</v>
      </c>
      <c r="C36" s="1683">
        <v>0</v>
      </c>
      <c r="D36" s="1674" t="s">
        <v>9</v>
      </c>
      <c r="E36" s="1683">
        <v>0</v>
      </c>
      <c r="F36" s="1665">
        <f t="shared" si="7"/>
        <v>0</v>
      </c>
      <c r="G36" s="1686">
        <f t="shared" si="8"/>
        <v>0</v>
      </c>
      <c r="H36" s="1687">
        <f t="shared" si="9"/>
        <v>0</v>
      </c>
      <c r="I36" s="1686">
        <f t="shared" si="10"/>
        <v>0</v>
      </c>
      <c r="J36" s="1672">
        <f t="shared" si="11"/>
        <v>0</v>
      </c>
      <c r="K36" s="1678">
        <f t="shared" si="11"/>
        <v>0</v>
      </c>
    </row>
    <row r="37" spans="1:16">
      <c r="A37" s="1680" t="s">
        <v>9</v>
      </c>
      <c r="B37" s="1684" t="s">
        <v>9</v>
      </c>
      <c r="C37" s="1713">
        <v>0</v>
      </c>
      <c r="D37" s="1674" t="s">
        <v>9</v>
      </c>
      <c r="E37" s="1674">
        <v>0</v>
      </c>
      <c r="F37" s="1665">
        <f t="shared" si="7"/>
        <v>0</v>
      </c>
      <c r="G37" s="1686">
        <f t="shared" si="8"/>
        <v>0</v>
      </c>
      <c r="H37" s="1687">
        <f t="shared" si="9"/>
        <v>0</v>
      </c>
      <c r="I37" s="1686">
        <f t="shared" si="10"/>
        <v>0</v>
      </c>
      <c r="J37" s="1672">
        <f t="shared" si="11"/>
        <v>0</v>
      </c>
      <c r="K37" s="1678">
        <f t="shared" si="11"/>
        <v>0</v>
      </c>
    </row>
    <row r="38" spans="1:16">
      <c r="A38" s="1969" t="s">
        <v>163</v>
      </c>
      <c r="B38" s="1970"/>
      <c r="C38" s="609"/>
      <c r="D38" s="609"/>
      <c r="E38" s="609"/>
      <c r="F38" s="336">
        <f>SUM(F24:F37)</f>
        <v>35072124</v>
      </c>
      <c r="G38" s="336">
        <f t="shared" ref="G38:K38" si="12">SUM(G24:G37)</f>
        <v>7048539.7400000002</v>
      </c>
      <c r="H38" s="336">
        <f t="shared" si="12"/>
        <v>6663703.5599999996</v>
      </c>
      <c r="I38" s="336">
        <f t="shared" si="12"/>
        <v>1339222.54</v>
      </c>
      <c r="J38" s="336">
        <f t="shared" si="12"/>
        <v>41735827.560000002</v>
      </c>
      <c r="K38" s="336">
        <f t="shared" si="12"/>
        <v>8387762.2800000003</v>
      </c>
    </row>
    <row r="39" spans="1:16">
      <c r="A39" s="1971" t="s">
        <v>164</v>
      </c>
      <c r="B39" s="1972"/>
      <c r="C39" s="1972"/>
      <c r="D39" s="1972"/>
      <c r="E39" s="1972"/>
      <c r="F39" s="1972"/>
      <c r="G39" s="1972"/>
      <c r="H39" s="1972"/>
      <c r="I39" s="1972"/>
      <c r="J39" s="1972"/>
      <c r="K39" s="1973"/>
    </row>
    <row r="40" spans="1:16">
      <c r="A40" s="936" t="s">
        <v>549</v>
      </c>
      <c r="B40" s="940"/>
      <c r="C40" s="941"/>
      <c r="D40" s="941"/>
      <c r="E40" s="941"/>
      <c r="F40" s="321">
        <f t="shared" ref="F40" si="13">ROUND(C40*E40,0)</f>
        <v>0</v>
      </c>
      <c r="G40" s="938">
        <f>ROUND(F40/euro,2)</f>
        <v>0</v>
      </c>
      <c r="H40" s="939">
        <f>ROUND(F40*TVA,2)</f>
        <v>0</v>
      </c>
      <c r="I40" s="938">
        <f>ROUND(H40/euro,2)</f>
        <v>0</v>
      </c>
      <c r="J40" s="321">
        <f t="shared" ref="J40:K40" si="14">F40+H40</f>
        <v>0</v>
      </c>
      <c r="K40" s="421">
        <f t="shared" si="14"/>
        <v>0</v>
      </c>
    </row>
    <row r="41" spans="1:16">
      <c r="A41" s="1969" t="s">
        <v>166</v>
      </c>
      <c r="B41" s="1970"/>
      <c r="C41" s="609"/>
      <c r="D41" s="609"/>
      <c r="E41" s="609"/>
      <c r="F41" s="396">
        <f>SUM(F40:F40)</f>
        <v>0</v>
      </c>
      <c r="G41" s="942">
        <f t="shared" ref="G41:K41" si="15">SUM(G40:G40)</f>
        <v>0</v>
      </c>
      <c r="H41" s="396">
        <f t="shared" si="15"/>
        <v>0</v>
      </c>
      <c r="I41" s="942">
        <f t="shared" si="15"/>
        <v>0</v>
      </c>
      <c r="J41" s="337">
        <f t="shared" si="15"/>
        <v>0</v>
      </c>
      <c r="K41" s="423">
        <f t="shared" si="15"/>
        <v>0</v>
      </c>
    </row>
    <row r="42" spans="1:16">
      <c r="A42" s="1971" t="s">
        <v>167</v>
      </c>
      <c r="B42" s="1972"/>
      <c r="C42" s="1972"/>
      <c r="D42" s="1972"/>
      <c r="E42" s="1972"/>
      <c r="F42" s="1972"/>
      <c r="G42" s="1972"/>
      <c r="H42" s="1972"/>
      <c r="I42" s="1972"/>
      <c r="J42" s="1972"/>
      <c r="K42" s="1973"/>
    </row>
    <row r="43" spans="1:16">
      <c r="A43" s="936" t="s">
        <v>549</v>
      </c>
      <c r="B43" s="940"/>
      <c r="C43" s="941"/>
      <c r="D43" s="941"/>
      <c r="E43" s="941"/>
      <c r="F43" s="943">
        <f t="shared" ref="F43" si="16">ROUND(C43*E43,0)</f>
        <v>0</v>
      </c>
      <c r="G43" s="938">
        <f>ROUND(F43/euro,2)</f>
        <v>0</v>
      </c>
      <c r="H43" s="939">
        <f>ROUND(F43*TVA,2)</f>
        <v>0</v>
      </c>
      <c r="I43" s="938">
        <f>ROUND(H43/euro,2)</f>
        <v>0</v>
      </c>
      <c r="J43" s="321">
        <f t="shared" ref="J43:K43" si="17">F43+H43</f>
        <v>0</v>
      </c>
      <c r="K43" s="421">
        <f t="shared" si="17"/>
        <v>0</v>
      </c>
      <c r="P43" s="971" t="s">
        <v>9</v>
      </c>
    </row>
    <row r="44" spans="1:16" ht="12.75" customHeight="1">
      <c r="A44" s="1969" t="s">
        <v>169</v>
      </c>
      <c r="B44" s="1970"/>
      <c r="C44" s="609"/>
      <c r="D44" s="609"/>
      <c r="E44" s="609"/>
      <c r="F44" s="396">
        <f>SUM(F43:F43)</f>
        <v>0</v>
      </c>
      <c r="G44" s="944">
        <f t="shared" ref="G44:K44" si="18">SUM(G43:G43)</f>
        <v>0</v>
      </c>
      <c r="H44" s="396">
        <f t="shared" si="18"/>
        <v>0</v>
      </c>
      <c r="I44" s="944">
        <f t="shared" si="18"/>
        <v>0</v>
      </c>
      <c r="J44" s="385">
        <f t="shared" si="18"/>
        <v>0</v>
      </c>
      <c r="K44" s="432">
        <f t="shared" si="18"/>
        <v>0</v>
      </c>
    </row>
    <row r="45" spans="1:16" ht="12.75" customHeight="1">
      <c r="A45" s="1996" t="s">
        <v>170</v>
      </c>
      <c r="B45" s="1997"/>
      <c r="C45" s="1997"/>
      <c r="D45" s="1997"/>
      <c r="E45" s="1997"/>
      <c r="F45" s="2010"/>
      <c r="G45" s="1997"/>
      <c r="H45" s="1997"/>
      <c r="I45" s="1997"/>
      <c r="J45" s="1997"/>
      <c r="K45" s="1998"/>
    </row>
    <row r="46" spans="1:16" ht="18.95" customHeight="1">
      <c r="A46" s="763">
        <v>1</v>
      </c>
      <c r="B46" s="945" t="s">
        <v>707</v>
      </c>
      <c r="C46" s="717">
        <v>1</v>
      </c>
      <c r="D46" s="717" t="s">
        <v>574</v>
      </c>
      <c r="E46" s="946">
        <f>1900000*IPC*crinv</f>
        <v>2656979</v>
      </c>
      <c r="F46" s="943">
        <f t="shared" ref="F46:F47" si="19">ROUND(C46*E46,0)</f>
        <v>2656979</v>
      </c>
      <c r="G46" s="938">
        <f>ROUND(F46/euro,2)</f>
        <v>533980.26</v>
      </c>
      <c r="H46" s="947">
        <f>ROUND(F46*TVA,2)</f>
        <v>504826.01</v>
      </c>
      <c r="I46" s="938">
        <f>ROUND(H46/euro,2)</f>
        <v>101456.25</v>
      </c>
      <c r="J46" s="972">
        <f t="shared" ref="J46:K47" si="20">F46+H46</f>
        <v>3161805.01</v>
      </c>
      <c r="K46" s="973">
        <f t="shared" si="20"/>
        <v>635436.51</v>
      </c>
      <c r="L46" s="692"/>
    </row>
    <row r="47" spans="1:16" s="907" customFormat="1" ht="17.100000000000001" customHeight="1">
      <c r="A47" s="1700">
        <v>2</v>
      </c>
      <c r="B47" s="1701" t="s">
        <v>708</v>
      </c>
      <c r="C47" s="1702">
        <v>1</v>
      </c>
      <c r="D47" s="1702" t="s">
        <v>574</v>
      </c>
      <c r="E47" s="1703">
        <f>1000000*IPC*crinv</f>
        <v>1398410</v>
      </c>
      <c r="F47" s="1704">
        <f t="shared" si="19"/>
        <v>1398410</v>
      </c>
      <c r="G47" s="1705">
        <f>ROUND(F47/euro,2)</f>
        <v>281042.24</v>
      </c>
      <c r="H47" s="1706">
        <f>ROUND(F47*TVA,2)</f>
        <v>265697.90000000002</v>
      </c>
      <c r="I47" s="1705">
        <f>ROUND(H47/euro,2)</f>
        <v>53398.03</v>
      </c>
      <c r="J47" s="1707">
        <f t="shared" si="20"/>
        <v>1664107.9</v>
      </c>
      <c r="K47" s="1708">
        <f>G47+I47</f>
        <v>334440.27</v>
      </c>
      <c r="L47" s="974"/>
    </row>
    <row r="48" spans="1:16" ht="12.75" customHeight="1">
      <c r="A48" s="1969" t="s">
        <v>174</v>
      </c>
      <c r="B48" s="1970"/>
      <c r="C48" s="609"/>
      <c r="D48" s="609"/>
      <c r="E48" s="609"/>
      <c r="F48" s="396">
        <f>SUM(F46:F47)</f>
        <v>4055389</v>
      </c>
      <c r="G48" s="942">
        <f t="shared" ref="G48:K48" si="21">SUM(G46:G47)</f>
        <v>815022.5</v>
      </c>
      <c r="H48" s="396">
        <f t="shared" si="21"/>
        <v>770523.91</v>
      </c>
      <c r="I48" s="942">
        <f t="shared" si="21"/>
        <v>154854.28</v>
      </c>
      <c r="J48" s="337">
        <f t="shared" si="21"/>
        <v>4825912.91</v>
      </c>
      <c r="K48" s="423">
        <f t="shared" si="21"/>
        <v>969876.78</v>
      </c>
    </row>
    <row r="49" spans="1:11">
      <c r="A49" s="1992" t="s">
        <v>175</v>
      </c>
      <c r="B49" s="1993"/>
      <c r="C49" s="1993"/>
      <c r="D49" s="1993"/>
      <c r="E49" s="1993"/>
      <c r="F49" s="1993"/>
      <c r="G49" s="1993"/>
      <c r="H49" s="1993"/>
      <c r="I49" s="1993"/>
      <c r="J49" s="1993"/>
      <c r="K49" s="1994"/>
    </row>
    <row r="50" spans="1:11">
      <c r="A50" s="948">
        <v>1</v>
      </c>
      <c r="B50" s="949"/>
      <c r="C50" s="618"/>
      <c r="D50" s="618"/>
      <c r="E50" s="618"/>
      <c r="F50" s="943">
        <f t="shared" ref="F50" si="22">ROUND(C50*E50,0)</f>
        <v>0</v>
      </c>
      <c r="G50" s="938">
        <f>ROUND(F50/euro,2)</f>
        <v>0</v>
      </c>
      <c r="H50" s="947">
        <f>ROUND(F50*TVA,2)</f>
        <v>0</v>
      </c>
      <c r="I50" s="938">
        <f>ROUND(H50/euro,2)</f>
        <v>0</v>
      </c>
      <c r="J50" s="972">
        <f>F50+H50</f>
        <v>0</v>
      </c>
      <c r="K50" s="973">
        <f>G50+I50</f>
        <v>0</v>
      </c>
    </row>
    <row r="51" spans="1:11" ht="14.25" customHeight="1">
      <c r="A51" s="1969" t="s">
        <v>181</v>
      </c>
      <c r="B51" s="1995"/>
      <c r="C51" s="950"/>
      <c r="D51" s="950"/>
      <c r="E51" s="950"/>
      <c r="F51" s="396">
        <f>SUM(F50:F50)</f>
        <v>0</v>
      </c>
      <c r="G51" s="942">
        <f t="shared" ref="G51:K51" si="23">SUM(G50:G50)</f>
        <v>0</v>
      </c>
      <c r="H51" s="396">
        <f t="shared" si="23"/>
        <v>0</v>
      </c>
      <c r="I51" s="942">
        <f t="shared" si="23"/>
        <v>0</v>
      </c>
      <c r="J51" s="337">
        <f t="shared" si="23"/>
        <v>0</v>
      </c>
      <c r="K51" s="423">
        <f t="shared" si="23"/>
        <v>0</v>
      </c>
    </row>
    <row r="52" spans="1:11" ht="14.25" customHeight="1">
      <c r="A52" s="1996" t="s">
        <v>182</v>
      </c>
      <c r="B52" s="1997"/>
      <c r="C52" s="1997"/>
      <c r="D52" s="1997"/>
      <c r="E52" s="1997"/>
      <c r="F52" s="1997"/>
      <c r="G52" s="1997"/>
      <c r="H52" s="1997"/>
      <c r="I52" s="1997"/>
      <c r="J52" s="1997"/>
      <c r="K52" s="1998"/>
    </row>
    <row r="53" spans="1:11" ht="14.25" customHeight="1">
      <c r="A53" s="622">
        <v>1</v>
      </c>
      <c r="B53" s="654"/>
      <c r="C53" s="654"/>
      <c r="D53" s="654"/>
      <c r="E53" s="654"/>
      <c r="F53" s="655">
        <v>0</v>
      </c>
      <c r="G53" s="655">
        <v>0</v>
      </c>
      <c r="H53" s="656">
        <v>0</v>
      </c>
      <c r="I53" s="657">
        <v>0</v>
      </c>
      <c r="J53" s="657">
        <v>0</v>
      </c>
      <c r="K53" s="703">
        <v>0</v>
      </c>
    </row>
    <row r="54" spans="1:11" ht="14.25" customHeight="1">
      <c r="A54" s="1999" t="s">
        <v>185</v>
      </c>
      <c r="B54" s="2000"/>
      <c r="C54" s="658"/>
      <c r="D54" s="658"/>
      <c r="E54" s="658"/>
      <c r="F54" s="659">
        <v>0</v>
      </c>
      <c r="G54" s="659">
        <v>0</v>
      </c>
      <c r="H54" s="659">
        <v>0</v>
      </c>
      <c r="I54" s="659">
        <v>0</v>
      </c>
      <c r="J54" s="659">
        <v>0</v>
      </c>
      <c r="K54" s="975">
        <v>0</v>
      </c>
    </row>
    <row r="55" spans="1:11" ht="12.75" customHeight="1">
      <c r="A55" s="2001" t="s">
        <v>186</v>
      </c>
      <c r="B55" s="2002"/>
      <c r="C55" s="662"/>
      <c r="D55" s="662"/>
      <c r="E55" s="662"/>
      <c r="F55" s="395">
        <f>SUM(F38,F41,F44,F48,F51,F54)</f>
        <v>39127513</v>
      </c>
      <c r="G55" s="395">
        <f t="shared" ref="G55:K55" si="24">SUM(G38,G41,G44,G48,G51,G54)</f>
        <v>7863562.2400000002</v>
      </c>
      <c r="H55" s="396">
        <f t="shared" si="24"/>
        <v>7434227.4699999997</v>
      </c>
      <c r="I55" s="615">
        <f t="shared" si="24"/>
        <v>1494076.82</v>
      </c>
      <c r="J55" s="337">
        <f t="shared" si="24"/>
        <v>46561740.469999999</v>
      </c>
      <c r="K55" s="423">
        <f t="shared" si="24"/>
        <v>9357639.0600000005</v>
      </c>
    </row>
    <row r="56" spans="1:11" ht="16.5" customHeight="1">
      <c r="A56" s="1982" t="s">
        <v>212</v>
      </c>
      <c r="B56" s="1983"/>
      <c r="C56" s="664"/>
      <c r="D56" s="664"/>
      <c r="E56" s="664"/>
      <c r="F56" s="397">
        <f t="shared" ref="F56:K56" si="25">+F55</f>
        <v>39127513</v>
      </c>
      <c r="G56" s="942">
        <f t="shared" si="25"/>
        <v>7863562.2400000002</v>
      </c>
      <c r="H56" s="397">
        <f t="shared" si="25"/>
        <v>7434227.4699999997</v>
      </c>
      <c r="I56" s="942">
        <f t="shared" si="25"/>
        <v>1494076.82</v>
      </c>
      <c r="J56" s="337">
        <f t="shared" si="25"/>
        <v>46561740.469999999</v>
      </c>
      <c r="K56" s="423">
        <f t="shared" si="25"/>
        <v>9357639.0600000005</v>
      </c>
    </row>
    <row r="57" spans="1:11">
      <c r="A57" s="1984" t="s">
        <v>243</v>
      </c>
      <c r="B57" s="1985"/>
      <c r="C57" s="666"/>
      <c r="D57" s="666"/>
      <c r="E57" s="666"/>
      <c r="F57" s="399">
        <f t="shared" ref="F57:K57" si="26">F38+F41</f>
        <v>35072124</v>
      </c>
      <c r="G57" s="942">
        <f t="shared" si="26"/>
        <v>7048539.7400000002</v>
      </c>
      <c r="H57" s="399">
        <f t="shared" si="26"/>
        <v>6663703.5599999996</v>
      </c>
      <c r="I57" s="942">
        <f t="shared" si="26"/>
        <v>1339222.54</v>
      </c>
      <c r="J57" s="337">
        <f t="shared" si="26"/>
        <v>41735827.560000002</v>
      </c>
      <c r="K57" s="423">
        <f t="shared" si="26"/>
        <v>8387762.2800000003</v>
      </c>
    </row>
    <row r="58" spans="1:11" s="904" customFormat="1">
      <c r="B58" s="598"/>
      <c r="C58" s="598"/>
      <c r="D58" s="598"/>
      <c r="E58" s="598"/>
    </row>
    <row r="59" spans="1:11" s="904" customFormat="1">
      <c r="B59" s="598"/>
      <c r="C59" s="598"/>
      <c r="D59" s="598"/>
      <c r="E59" s="598"/>
    </row>
    <row r="60" spans="1:11" s="904" customFormat="1" ht="39" customHeight="1">
      <c r="A60" s="951"/>
      <c r="B60" s="402" t="str">
        <f>'DEVIZ GENERAL'!B168</f>
        <v>In preturi la data de :</v>
      </c>
      <c r="C60" s="2008" t="str">
        <f>'DEVIZ GENERAL'!C168</f>
        <v>inforeuro februarie 2025</v>
      </c>
      <c r="D60" s="2008"/>
      <c r="E60" s="402" t="str">
        <f>'DEVIZ GENERAL'!D168</f>
        <v>1 Euro =</v>
      </c>
      <c r="F60" s="952">
        <f>'DEVIZ GENERAL'!E168</f>
        <v>4.9757999999999996</v>
      </c>
      <c r="G60" s="953"/>
    </row>
    <row r="61" spans="1:11" s="904" customFormat="1">
      <c r="A61" s="954"/>
      <c r="B61" s="406" t="s">
        <v>222</v>
      </c>
      <c r="C61" s="406"/>
      <c r="D61" s="406"/>
      <c r="E61" s="406"/>
      <c r="F61" s="953"/>
      <c r="G61" s="953"/>
      <c r="H61" s="955" t="s">
        <v>223</v>
      </c>
      <c r="I61" s="955"/>
      <c r="J61" s="955"/>
      <c r="K61" s="955"/>
    </row>
    <row r="62" spans="1:11" s="904" customFormat="1">
      <c r="A62" s="954"/>
      <c r="B62" s="437" t="str">
        <f>data_deviz</f>
        <v>31.01.2025</v>
      </c>
      <c r="C62" s="437"/>
      <c r="D62" s="437"/>
      <c r="E62" s="437"/>
      <c r="F62" s="953"/>
      <c r="G62" s="953"/>
      <c r="H62" s="1987" t="s">
        <v>225</v>
      </c>
      <c r="I62" s="1987"/>
      <c r="J62" s="1987"/>
      <c r="K62" s="1987"/>
    </row>
    <row r="63" spans="1:11" s="904" customFormat="1">
      <c r="B63" s="406" t="s">
        <v>226</v>
      </c>
      <c r="C63" s="406"/>
      <c r="D63" s="406"/>
      <c r="E63" s="406"/>
      <c r="F63" s="956"/>
      <c r="G63" s="956"/>
      <c r="H63" s="957"/>
      <c r="I63" s="957"/>
      <c r="J63" s="957"/>
      <c r="K63" s="955"/>
    </row>
    <row r="64" spans="1:11" s="904" customFormat="1">
      <c r="B64" s="441" t="s">
        <v>227</v>
      </c>
      <c r="C64" s="437"/>
      <c r="D64" s="437"/>
      <c r="E64" s="437"/>
      <c r="H64" s="958" t="s">
        <v>637</v>
      </c>
      <c r="I64" s="958"/>
      <c r="J64" s="958"/>
      <c r="K64" s="976"/>
    </row>
    <row r="65" spans="1:11" s="904" customFormat="1">
      <c r="A65" s="951"/>
      <c r="B65" s="671"/>
      <c r="C65" s="671"/>
      <c r="D65" s="671"/>
      <c r="E65" s="671"/>
      <c r="F65" s="955"/>
      <c r="G65" s="955"/>
      <c r="K65" s="977" t="s">
        <v>229</v>
      </c>
    </row>
    <row r="66" spans="1:11" ht="15.75">
      <c r="A66" s="676"/>
      <c r="B66" s="676"/>
      <c r="C66" s="676"/>
      <c r="D66" s="676"/>
      <c r="E66" s="676"/>
    </row>
    <row r="67" spans="1:11" hidden="1">
      <c r="F67" s="269">
        <f>F56/euro</f>
        <v>7863562.24124764</v>
      </c>
      <c r="G67" s="269"/>
      <c r="K67" s="269">
        <f>K56/euro</f>
        <v>1880630.0614976501</v>
      </c>
    </row>
    <row r="68" spans="1:11">
      <c r="B68" s="673"/>
      <c r="C68" s="673"/>
      <c r="D68" s="673"/>
      <c r="E68" s="673"/>
    </row>
    <row r="69" spans="1:11" ht="12.75" customHeight="1">
      <c r="A69" s="679"/>
      <c r="B69" s="673"/>
      <c r="C69" s="673"/>
      <c r="D69" s="673"/>
      <c r="E69" s="673"/>
    </row>
    <row r="70" spans="1:11">
      <c r="A70" s="679"/>
      <c r="B70" s="680"/>
      <c r="C70" s="680"/>
      <c r="D70" s="680"/>
      <c r="E70" s="680"/>
      <c r="F70" s="680"/>
      <c r="G70" s="680"/>
    </row>
    <row r="71" spans="1:11">
      <c r="A71" s="679"/>
      <c r="B71" s="680"/>
      <c r="C71" s="680"/>
      <c r="D71" s="680"/>
      <c r="E71" s="680"/>
      <c r="F71" s="680"/>
      <c r="G71" s="680"/>
    </row>
    <row r="72" spans="1:11">
      <c r="A72" s="679"/>
      <c r="B72" s="680"/>
      <c r="C72" s="680"/>
      <c r="D72" s="680"/>
      <c r="E72" s="680"/>
      <c r="F72" s="680"/>
      <c r="G72" s="680"/>
    </row>
    <row r="73" spans="1:11" ht="12.75" customHeight="1">
      <c r="A73" s="679"/>
      <c r="B73" s="680"/>
      <c r="C73" s="680"/>
      <c r="D73" s="680"/>
      <c r="E73" s="680"/>
      <c r="F73" s="680"/>
      <c r="G73" s="680"/>
    </row>
    <row r="74" spans="1:11" ht="15" customHeight="1">
      <c r="A74" s="679"/>
      <c r="B74" s="680"/>
      <c r="C74" s="680"/>
      <c r="D74" s="680"/>
      <c r="E74" s="680"/>
      <c r="F74" s="680"/>
      <c r="G74" s="680"/>
    </row>
    <row r="75" spans="1:11">
      <c r="A75" s="680"/>
      <c r="B75" s="680"/>
      <c r="C75" s="680"/>
      <c r="D75" s="680"/>
      <c r="E75" s="680"/>
      <c r="F75" s="680"/>
      <c r="G75" s="680"/>
    </row>
    <row r="76" spans="1:11" ht="15.75">
      <c r="A76" s="686"/>
      <c r="B76" s="686"/>
      <c r="C76" s="686"/>
      <c r="D76" s="686"/>
      <c r="E76" s="686"/>
      <c r="F76" s="686"/>
      <c r="G76" s="686"/>
    </row>
    <row r="77" spans="1:11" ht="15" customHeight="1">
      <c r="A77" s="679"/>
      <c r="B77" s="680"/>
      <c r="C77" s="680"/>
      <c r="D77" s="680"/>
      <c r="E77" s="680"/>
      <c r="F77" s="680"/>
      <c r="G77" s="680"/>
    </row>
  </sheetData>
  <mergeCells count="33">
    <mergeCell ref="B1:K3"/>
    <mergeCell ref="A56:B56"/>
    <mergeCell ref="A57:B57"/>
    <mergeCell ref="C60:D60"/>
    <mergeCell ref="H62:K62"/>
    <mergeCell ref="A8:A9"/>
    <mergeCell ref="B8:B9"/>
    <mergeCell ref="A49:K49"/>
    <mergeCell ref="A51:B51"/>
    <mergeCell ref="A52:K52"/>
    <mergeCell ref="A54:B54"/>
    <mergeCell ref="A55:B55"/>
    <mergeCell ref="A41:B41"/>
    <mergeCell ref="A42:K42"/>
    <mergeCell ref="A44:B44"/>
    <mergeCell ref="A45:K45"/>
    <mergeCell ref="A48:B48"/>
    <mergeCell ref="A22:K22"/>
    <mergeCell ref="B23:K23"/>
    <mergeCell ref="A30:K30"/>
    <mergeCell ref="A38:B38"/>
    <mergeCell ref="A39:K39"/>
    <mergeCell ref="A11:K11"/>
    <mergeCell ref="A17:B17"/>
    <mergeCell ref="A18:K18"/>
    <mergeCell ref="A20:B20"/>
    <mergeCell ref="A21:K21"/>
    <mergeCell ref="A5:K5"/>
    <mergeCell ref="A6:K6"/>
    <mergeCell ref="A7:K7"/>
    <mergeCell ref="F8:G8"/>
    <mergeCell ref="H8:I8"/>
    <mergeCell ref="J8:K8"/>
  </mergeCells>
  <pageMargins left="0.75" right="0.75" top="1" bottom="1" header="0.5" footer="0.5"/>
  <pageSetup paperSize="9" scale="44" orientation="portrait" r:id="rId1"/>
  <headerFooter alignWithMargins="0"/>
  <rowBreaks count="1" manualBreakCount="1">
    <brk id="4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96"/>
  <sheetViews>
    <sheetView view="pageBreakPreview" topLeftCell="A32" zoomScale="75" zoomScaleNormal="100" workbookViewId="0">
      <selection activeCell="A32" sqref="A32:B32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3" width="14" style="598" customWidth="1"/>
    <col min="4" max="4" width="10.140625" style="598" customWidth="1"/>
    <col min="5" max="6" width="23.85546875" style="598" customWidth="1"/>
    <col min="7" max="9" width="18" style="598" customWidth="1"/>
    <col min="10" max="10" width="14" style="598" customWidth="1"/>
    <col min="11" max="12" width="13" style="598" hidden="1" customWidth="1"/>
    <col min="13" max="13" width="17" style="598" hidden="1" customWidth="1"/>
    <col min="14" max="16384" width="11.28515625" style="598"/>
  </cols>
  <sheetData>
    <row r="1" spans="1:11" s="594" customFormat="1" ht="12.75" customHeight="1">
      <c r="B1" s="2021" t="str">
        <f>'DEVIZ GENERAL'!B4</f>
        <v>SISTEM DE MANAGEMENT INTEGRAT AL DEȘEURILOR DIN JUDEȚUL DÂMBOVIȚA</v>
      </c>
      <c r="C1" s="2021"/>
      <c r="D1" s="2021"/>
      <c r="E1" s="2021"/>
      <c r="F1" s="2021"/>
      <c r="G1" s="2021"/>
      <c r="H1" s="2021"/>
      <c r="I1" s="2021"/>
      <c r="J1" s="2021"/>
    </row>
    <row r="2" spans="1:11" s="594" customFormat="1" ht="12.75" customHeight="1">
      <c r="A2" s="599"/>
      <c r="B2" s="2021"/>
      <c r="C2" s="2021"/>
      <c r="D2" s="2021"/>
      <c r="E2" s="2021"/>
      <c r="F2" s="2021"/>
      <c r="G2" s="2021"/>
      <c r="H2" s="2021"/>
      <c r="I2" s="2021"/>
      <c r="J2" s="2021"/>
    </row>
    <row r="3" spans="1:11" s="594" customFormat="1">
      <c r="A3" s="600"/>
      <c r="B3" s="2022"/>
      <c r="C3" s="2022"/>
      <c r="D3" s="2022"/>
      <c r="E3" s="2022"/>
      <c r="F3" s="2022"/>
      <c r="G3" s="2022"/>
      <c r="H3" s="2022"/>
      <c r="I3" s="2022"/>
      <c r="J3" s="2022"/>
    </row>
    <row r="4" spans="1:11" s="594" customFormat="1">
      <c r="A4" s="601"/>
      <c r="B4" s="601"/>
      <c r="C4" s="601"/>
      <c r="D4" s="601"/>
      <c r="E4" s="601"/>
      <c r="F4" s="601"/>
      <c r="G4" s="602"/>
      <c r="H4" s="602"/>
      <c r="I4" s="602"/>
      <c r="J4" s="688"/>
    </row>
    <row r="5" spans="1:11" ht="26.25" customHeight="1">
      <c r="A5" s="2012" t="str">
        <f>'D8.compostoare individuale'!A5</f>
        <v>DEVIZ OBIECT</v>
      </c>
      <c r="B5" s="2012"/>
      <c r="C5" s="2012"/>
      <c r="D5" s="2012"/>
      <c r="E5" s="2012"/>
      <c r="F5" s="2012"/>
      <c r="G5" s="2012"/>
      <c r="H5" s="2012"/>
      <c r="I5" s="2012"/>
      <c r="J5" s="2012"/>
    </row>
    <row r="6" spans="1:11" s="595" customFormat="1" ht="39.75" customHeight="1">
      <c r="A6" s="2013" t="s">
        <v>709</v>
      </c>
      <c r="B6" s="2013"/>
      <c r="C6" s="2013"/>
      <c r="D6" s="2013"/>
      <c r="E6" s="2013"/>
      <c r="F6" s="2013"/>
      <c r="G6" s="2013"/>
      <c r="H6" s="2013"/>
      <c r="I6" s="2013"/>
      <c r="J6" s="2013"/>
    </row>
    <row r="7" spans="1:11">
      <c r="A7" s="2014" t="s">
        <v>240</v>
      </c>
      <c r="B7" s="2014"/>
      <c r="C7" s="2014"/>
      <c r="D7" s="2014"/>
      <c r="E7" s="2014"/>
      <c r="F7" s="2014"/>
      <c r="G7" s="2014"/>
      <c r="H7" s="2014"/>
      <c r="I7" s="2014"/>
      <c r="J7" s="2014"/>
    </row>
    <row r="8" spans="1:11" ht="31.5" customHeight="1">
      <c r="A8" s="1988" t="s">
        <v>99</v>
      </c>
      <c r="B8" s="1990" t="s">
        <v>710</v>
      </c>
      <c r="C8" s="731" t="s">
        <v>574</v>
      </c>
      <c r="D8" s="731" t="s">
        <v>711</v>
      </c>
      <c r="E8" s="1956" t="s">
        <v>101</v>
      </c>
      <c r="F8" s="1957"/>
      <c r="G8" s="1956" t="s">
        <v>102</v>
      </c>
      <c r="H8" s="1957"/>
      <c r="I8" s="1956" t="s">
        <v>563</v>
      </c>
      <c r="J8" s="1958"/>
    </row>
    <row r="9" spans="1:11" s="596" customFormat="1" ht="17.25" customHeight="1">
      <c r="A9" s="1989"/>
      <c r="B9" s="1991"/>
      <c r="C9" s="603"/>
      <c r="D9" s="603"/>
      <c r="E9" s="604" t="s">
        <v>546</v>
      </c>
      <c r="F9" s="604" t="s">
        <v>81</v>
      </c>
      <c r="G9" s="604" t="s">
        <v>546</v>
      </c>
      <c r="H9" s="604" t="s">
        <v>81</v>
      </c>
      <c r="I9" s="604" t="s">
        <v>546</v>
      </c>
      <c r="J9" s="604" t="s">
        <v>81</v>
      </c>
    </row>
    <row r="10" spans="1:11">
      <c r="A10" s="605">
        <v>1</v>
      </c>
      <c r="B10" s="606">
        <v>2</v>
      </c>
      <c r="C10" s="606"/>
      <c r="D10" s="606"/>
      <c r="E10" s="606">
        <v>3</v>
      </c>
      <c r="F10" s="606">
        <v>4</v>
      </c>
      <c r="G10" s="606">
        <v>5</v>
      </c>
      <c r="H10" s="607">
        <v>6</v>
      </c>
      <c r="I10" s="607">
        <v>7</v>
      </c>
      <c r="J10" s="689">
        <v>8</v>
      </c>
    </row>
    <row r="11" spans="1:11">
      <c r="A11" s="1964" t="s">
        <v>160</v>
      </c>
      <c r="B11" s="1965"/>
      <c r="C11" s="1965"/>
      <c r="D11" s="1965"/>
      <c r="E11" s="1965"/>
      <c r="F11" s="1965"/>
      <c r="G11" s="1965"/>
      <c r="H11" s="1965"/>
      <c r="I11" s="1965"/>
      <c r="J11" s="1966"/>
    </row>
    <row r="12" spans="1:11">
      <c r="A12" s="1971" t="s">
        <v>161</v>
      </c>
      <c r="B12" s="1972"/>
      <c r="C12" s="1972"/>
      <c r="D12" s="1972"/>
      <c r="E12" s="1972"/>
      <c r="F12" s="1972"/>
      <c r="G12" s="1972"/>
      <c r="H12" s="1972"/>
      <c r="I12" s="1972"/>
      <c r="J12" s="1973"/>
    </row>
    <row r="13" spans="1:11">
      <c r="A13" s="608" t="s">
        <v>162</v>
      </c>
      <c r="B13" s="1974" t="s">
        <v>548</v>
      </c>
      <c r="C13" s="1975"/>
      <c r="D13" s="1975"/>
      <c r="E13" s="1975"/>
      <c r="F13" s="1975"/>
      <c r="G13" s="1975"/>
      <c r="H13" s="1975"/>
      <c r="I13" s="1975"/>
      <c r="J13" s="1976"/>
      <c r="K13" s="598">
        <f>352/1.19</f>
        <v>295.79831932773101</v>
      </c>
    </row>
    <row r="14" spans="1:11">
      <c r="A14" s="2018" t="s">
        <v>557</v>
      </c>
      <c r="B14" s="2019"/>
      <c r="C14" s="2019"/>
      <c r="D14" s="2019"/>
      <c r="E14" s="2019"/>
      <c r="F14" s="2019"/>
      <c r="G14" s="2019"/>
      <c r="H14" s="2019"/>
      <c r="I14" s="2019"/>
      <c r="J14" s="2020"/>
    </row>
    <row r="15" spans="1:11">
      <c r="A15" s="1969" t="s">
        <v>163</v>
      </c>
      <c r="B15" s="1970"/>
      <c r="C15" s="609"/>
      <c r="D15" s="609"/>
      <c r="E15" s="610">
        <f>SUM(E14:E14)</f>
        <v>0</v>
      </c>
      <c r="F15" s="610"/>
      <c r="G15" s="610">
        <f>SUM(G14:G14)</f>
        <v>0</v>
      </c>
      <c r="H15" s="611"/>
      <c r="I15" s="611"/>
      <c r="J15" s="690">
        <f>SUM(J14:J14)</f>
        <v>0</v>
      </c>
    </row>
    <row r="16" spans="1:11">
      <c r="A16" s="1971" t="s">
        <v>164</v>
      </c>
      <c r="B16" s="1972"/>
      <c r="C16" s="1972"/>
      <c r="D16" s="1972"/>
      <c r="E16" s="1972"/>
      <c r="F16" s="1972"/>
      <c r="G16" s="1972"/>
      <c r="H16" s="1972"/>
      <c r="I16" s="1972"/>
      <c r="J16" s="1973"/>
    </row>
    <row r="17" spans="1:13" ht="12" customHeight="1">
      <c r="A17" s="1969" t="s">
        <v>166</v>
      </c>
      <c r="B17" s="1970"/>
      <c r="C17" s="609"/>
      <c r="D17" s="612"/>
      <c r="E17" s="613">
        <v>0</v>
      </c>
      <c r="F17" s="613"/>
      <c r="G17" s="613">
        <v>0</v>
      </c>
      <c r="H17" s="614"/>
      <c r="I17" s="614"/>
      <c r="J17" s="691">
        <v>0</v>
      </c>
    </row>
    <row r="18" spans="1:13">
      <c r="A18" s="1971" t="s">
        <v>167</v>
      </c>
      <c r="B18" s="1972"/>
      <c r="C18" s="1972"/>
      <c r="D18" s="1972"/>
      <c r="E18" s="1972"/>
      <c r="F18" s="1972"/>
      <c r="G18" s="1972"/>
      <c r="H18" s="1972"/>
      <c r="I18" s="1972"/>
      <c r="J18" s="1973"/>
      <c r="K18" s="598" t="s">
        <v>9</v>
      </c>
    </row>
    <row r="19" spans="1:13" ht="12.75" customHeight="1">
      <c r="A19" s="1969" t="s">
        <v>169</v>
      </c>
      <c r="B19" s="1970"/>
      <c r="C19" s="609"/>
      <c r="D19" s="612"/>
      <c r="E19" s="613">
        <v>0</v>
      </c>
      <c r="F19" s="613"/>
      <c r="G19" s="613">
        <v>0</v>
      </c>
      <c r="H19" s="614"/>
      <c r="I19" s="614"/>
      <c r="J19" s="691">
        <v>0</v>
      </c>
      <c r="K19" s="692"/>
      <c r="L19" s="692"/>
      <c r="M19" s="692"/>
    </row>
    <row r="20" spans="1:13" ht="12.75" customHeight="1">
      <c r="A20" s="2015" t="s">
        <v>170</v>
      </c>
      <c r="B20" s="2016"/>
      <c r="C20" s="2016"/>
      <c r="D20" s="2016"/>
      <c r="E20" s="2016"/>
      <c r="F20" s="2016"/>
      <c r="G20" s="2016"/>
      <c r="H20" s="2016"/>
      <c r="I20" s="2016"/>
      <c r="J20" s="2017"/>
      <c r="K20" s="692"/>
      <c r="L20" s="692"/>
      <c r="M20" s="692"/>
    </row>
    <row r="21" spans="1:13" ht="12.75" customHeight="1">
      <c r="A21" s="1714">
        <v>1</v>
      </c>
      <c r="B21" s="1715" t="s">
        <v>712</v>
      </c>
      <c r="C21" s="1716">
        <v>0</v>
      </c>
      <c r="D21" s="1716">
        <f>1103500*IPC*crinv</f>
        <v>1543145.4350000001</v>
      </c>
      <c r="E21" s="1717">
        <f>ROUND(D21*C21,0)</f>
        <v>0</v>
      </c>
      <c r="F21" s="1718">
        <f t="shared" ref="F21:F31" si="0">ROUND(E21/euro,2)</f>
        <v>0</v>
      </c>
      <c r="G21" s="1719">
        <f t="shared" ref="G21:G31" si="1">ROUND(E21*TVA,2)</f>
        <v>0</v>
      </c>
      <c r="H21" s="1718">
        <f t="shared" ref="H21:H31" si="2">ROUND(G21/euro,2)</f>
        <v>0</v>
      </c>
      <c r="I21" s="1719">
        <f t="shared" ref="I21:J23" si="3">E21+G21</f>
        <v>0</v>
      </c>
      <c r="J21" s="1720">
        <f t="shared" si="3"/>
        <v>0</v>
      </c>
      <c r="K21" s="692">
        <f>E34/euro</f>
        <v>1971057.9203344199</v>
      </c>
      <c r="L21" s="696">
        <f>D34/euro</f>
        <v>26.126452027814601</v>
      </c>
      <c r="M21" s="697">
        <f>(E34+E35+E36)/euro</f>
        <v>4995743.3980465503</v>
      </c>
    </row>
    <row r="22" spans="1:13" ht="12.75" customHeight="1">
      <c r="A22" s="1721">
        <v>2</v>
      </c>
      <c r="B22" s="1722" t="s">
        <v>713</v>
      </c>
      <c r="C22" s="1723">
        <v>0</v>
      </c>
      <c r="D22" s="1723">
        <f>940000*IPC*crinv</f>
        <v>1314505.3999999999</v>
      </c>
      <c r="E22" s="1724">
        <f>ROUND(D22*C22,0)</f>
        <v>0</v>
      </c>
      <c r="F22" s="1665">
        <f t="shared" si="0"/>
        <v>0</v>
      </c>
      <c r="G22" s="1725">
        <f t="shared" si="1"/>
        <v>0</v>
      </c>
      <c r="H22" s="1665">
        <f t="shared" si="2"/>
        <v>0</v>
      </c>
      <c r="I22" s="1725">
        <f t="shared" si="3"/>
        <v>0</v>
      </c>
      <c r="J22" s="1726">
        <f t="shared" si="3"/>
        <v>0</v>
      </c>
      <c r="K22" s="692">
        <f>E35/euro</f>
        <v>0</v>
      </c>
      <c r="L22" s="696">
        <f>D35/euro</f>
        <v>26.126452027814601</v>
      </c>
      <c r="M22" s="692"/>
    </row>
    <row r="23" spans="1:13" ht="12.75" customHeight="1">
      <c r="A23" s="1721">
        <v>3</v>
      </c>
      <c r="B23" s="1722" t="s">
        <v>714</v>
      </c>
      <c r="C23" s="1723">
        <v>0</v>
      </c>
      <c r="D23" s="1723">
        <v>0</v>
      </c>
      <c r="E23" s="1724">
        <f>ROUND(D23*C23,0)</f>
        <v>0</v>
      </c>
      <c r="F23" s="1665">
        <f t="shared" si="0"/>
        <v>0</v>
      </c>
      <c r="G23" s="1725">
        <f t="shared" si="1"/>
        <v>0</v>
      </c>
      <c r="H23" s="1665">
        <f t="shared" si="2"/>
        <v>0</v>
      </c>
      <c r="I23" s="1725">
        <f t="shared" si="3"/>
        <v>0</v>
      </c>
      <c r="J23" s="1726">
        <f t="shared" si="3"/>
        <v>0</v>
      </c>
      <c r="K23" s="692"/>
      <c r="L23" s="696"/>
      <c r="M23" s="692"/>
    </row>
    <row r="24" spans="1:13" ht="12.75" customHeight="1">
      <c r="A24" s="1721"/>
      <c r="B24" s="1722"/>
      <c r="C24" s="1723"/>
      <c r="D24" s="1723"/>
      <c r="E24" s="1724"/>
      <c r="F24" s="1665">
        <f t="shared" si="0"/>
        <v>0</v>
      </c>
      <c r="G24" s="1725">
        <f t="shared" si="1"/>
        <v>0</v>
      </c>
      <c r="H24" s="1665">
        <f t="shared" si="2"/>
        <v>0</v>
      </c>
      <c r="I24" s="1725"/>
      <c r="J24" s="1726"/>
      <c r="K24" s="692"/>
      <c r="L24" s="696"/>
      <c r="M24" s="692"/>
    </row>
    <row r="25" spans="1:13" ht="12.75" customHeight="1">
      <c r="A25" s="1721">
        <v>4</v>
      </c>
      <c r="B25" s="1722" t="s">
        <v>715</v>
      </c>
      <c r="C25" s="1723">
        <v>0</v>
      </c>
      <c r="D25" s="1723">
        <f>319800*IPC*crinv</f>
        <v>447211.51799999998</v>
      </c>
      <c r="E25" s="1724">
        <f>ROUND(D25*C25,0)</f>
        <v>0</v>
      </c>
      <c r="F25" s="1665">
        <f t="shared" si="0"/>
        <v>0</v>
      </c>
      <c r="G25" s="1725">
        <f t="shared" si="1"/>
        <v>0</v>
      </c>
      <c r="H25" s="1665">
        <f t="shared" si="2"/>
        <v>0</v>
      </c>
      <c r="I25" s="1725">
        <f>E25+G25</f>
        <v>0</v>
      </c>
      <c r="J25" s="1726">
        <f>F25+H25</f>
        <v>0</v>
      </c>
      <c r="K25" s="692"/>
      <c r="L25" s="696"/>
      <c r="M25" s="692"/>
    </row>
    <row r="26" spans="1:13" ht="12.75" customHeight="1">
      <c r="A26" s="1721"/>
      <c r="B26" s="1722"/>
      <c r="C26" s="1723"/>
      <c r="D26" s="1723"/>
      <c r="E26" s="1724"/>
      <c r="F26" s="1665">
        <f t="shared" si="0"/>
        <v>0</v>
      </c>
      <c r="G26" s="1725">
        <f t="shared" si="1"/>
        <v>0</v>
      </c>
      <c r="H26" s="1665">
        <f t="shared" si="2"/>
        <v>0</v>
      </c>
      <c r="I26" s="1725"/>
      <c r="J26" s="1726"/>
      <c r="K26" s="692"/>
      <c r="L26" s="696"/>
      <c r="M26" s="692"/>
    </row>
    <row r="27" spans="1:13" ht="12.75" customHeight="1">
      <c r="A27" s="1721">
        <v>5</v>
      </c>
      <c r="B27" s="1722" t="s">
        <v>716</v>
      </c>
      <c r="C27" s="1723">
        <v>0</v>
      </c>
      <c r="D27" s="1723">
        <f>216480*euro*IPC*crinv</f>
        <v>1506312.97131744</v>
      </c>
      <c r="E27" s="1724">
        <f t="shared" ref="E27:E31" si="4">ROUND(D27*C27,0)</f>
        <v>0</v>
      </c>
      <c r="F27" s="1665">
        <f t="shared" si="0"/>
        <v>0</v>
      </c>
      <c r="G27" s="1725">
        <f t="shared" si="1"/>
        <v>0</v>
      </c>
      <c r="H27" s="1665">
        <f t="shared" si="2"/>
        <v>0</v>
      </c>
      <c r="I27" s="1725">
        <f t="shared" ref="I27:J30" si="5">E27+G27</f>
        <v>0</v>
      </c>
      <c r="J27" s="1726">
        <f t="shared" si="5"/>
        <v>0</v>
      </c>
      <c r="K27" s="692"/>
      <c r="L27" s="696"/>
      <c r="M27" s="692"/>
    </row>
    <row r="28" spans="1:13" ht="12.75" customHeight="1">
      <c r="A28" s="1721">
        <v>6</v>
      </c>
      <c r="B28" s="1722" t="s">
        <v>717</v>
      </c>
      <c r="C28" s="1723">
        <v>0</v>
      </c>
      <c r="D28" s="1723">
        <f>189475*euro*IPC*crinv</f>
        <v>1318406.5513690501</v>
      </c>
      <c r="E28" s="1724">
        <f t="shared" si="4"/>
        <v>0</v>
      </c>
      <c r="F28" s="1665">
        <f t="shared" si="0"/>
        <v>0</v>
      </c>
      <c r="G28" s="1725">
        <f t="shared" si="1"/>
        <v>0</v>
      </c>
      <c r="H28" s="1665">
        <f t="shared" si="2"/>
        <v>0</v>
      </c>
      <c r="I28" s="1725">
        <f t="shared" si="5"/>
        <v>0</v>
      </c>
      <c r="J28" s="1726">
        <f t="shared" si="5"/>
        <v>0</v>
      </c>
      <c r="K28" s="692"/>
      <c r="L28" s="696"/>
      <c r="M28" s="692"/>
    </row>
    <row r="29" spans="1:13" ht="12.75" customHeight="1">
      <c r="A29" s="1721">
        <v>7</v>
      </c>
      <c r="B29" s="1722" t="s">
        <v>718</v>
      </c>
      <c r="C29" s="1723">
        <v>0</v>
      </c>
      <c r="D29" s="1723">
        <f>171100*euro*IPC*crinv</f>
        <v>1190549.4705858</v>
      </c>
      <c r="E29" s="1724">
        <f t="shared" si="4"/>
        <v>0</v>
      </c>
      <c r="F29" s="1665">
        <f t="shared" si="0"/>
        <v>0</v>
      </c>
      <c r="G29" s="1725">
        <f t="shared" si="1"/>
        <v>0</v>
      </c>
      <c r="H29" s="1665">
        <f t="shared" si="2"/>
        <v>0</v>
      </c>
      <c r="I29" s="1725">
        <f t="shared" si="5"/>
        <v>0</v>
      </c>
      <c r="J29" s="1726">
        <f t="shared" si="5"/>
        <v>0</v>
      </c>
      <c r="K29" s="692"/>
      <c r="L29" s="696"/>
      <c r="M29" s="692"/>
    </row>
    <row r="30" spans="1:13" ht="22.7" customHeight="1">
      <c r="A30" s="1721">
        <v>8</v>
      </c>
      <c r="B30" s="1722" t="s">
        <v>719</v>
      </c>
      <c r="C30" s="1723">
        <v>0</v>
      </c>
      <c r="D30" s="1723">
        <f>214500*euro*IPC*crinv</f>
        <v>1492535.718531</v>
      </c>
      <c r="E30" s="1724">
        <f t="shared" si="4"/>
        <v>0</v>
      </c>
      <c r="F30" s="1665">
        <f t="shared" si="0"/>
        <v>0</v>
      </c>
      <c r="G30" s="1725">
        <f t="shared" si="1"/>
        <v>0</v>
      </c>
      <c r="H30" s="1665">
        <f t="shared" si="2"/>
        <v>0</v>
      </c>
      <c r="I30" s="1725">
        <f t="shared" si="5"/>
        <v>0</v>
      </c>
      <c r="J30" s="1726">
        <f t="shared" si="5"/>
        <v>0</v>
      </c>
      <c r="K30" s="692"/>
      <c r="L30" s="696"/>
      <c r="M30" s="692"/>
    </row>
    <row r="31" spans="1:13" ht="22.7" customHeight="1">
      <c r="A31" s="1727">
        <v>9</v>
      </c>
      <c r="B31" s="1728" t="s">
        <v>720</v>
      </c>
      <c r="C31" s="1729">
        <v>0</v>
      </c>
      <c r="D31" s="1729">
        <f>148280*euro*IPC*crinv</f>
        <v>1031763.1531178399</v>
      </c>
      <c r="E31" s="1730">
        <f t="shared" si="4"/>
        <v>0</v>
      </c>
      <c r="F31" s="1704">
        <f t="shared" si="0"/>
        <v>0</v>
      </c>
      <c r="G31" s="1731">
        <f t="shared" si="1"/>
        <v>0</v>
      </c>
      <c r="H31" s="1704">
        <f t="shared" si="2"/>
        <v>0</v>
      </c>
      <c r="I31" s="1731">
        <f t="shared" ref="I31" si="6">E31+G31</f>
        <v>0</v>
      </c>
      <c r="J31" s="1732">
        <f t="shared" ref="J31" si="7">F31+H31</f>
        <v>0</v>
      </c>
      <c r="K31" s="692"/>
      <c r="L31" s="696"/>
      <c r="M31" s="692"/>
    </row>
    <row r="32" spans="1:13" ht="12.75" customHeight="1">
      <c r="A32" s="2024" t="s">
        <v>174</v>
      </c>
      <c r="B32" s="2025"/>
      <c r="C32" s="1733"/>
      <c r="D32" s="1734"/>
      <c r="E32" s="1735">
        <f t="shared" ref="E32:J32" si="8">SUM(E21:E31)</f>
        <v>0</v>
      </c>
      <c r="F32" s="1736">
        <f t="shared" si="8"/>
        <v>0</v>
      </c>
      <c r="G32" s="1737">
        <f t="shared" si="8"/>
        <v>0</v>
      </c>
      <c r="H32" s="1736">
        <f t="shared" si="8"/>
        <v>0</v>
      </c>
      <c r="I32" s="1737">
        <f t="shared" si="8"/>
        <v>0</v>
      </c>
      <c r="J32" s="1738">
        <f t="shared" si="8"/>
        <v>0</v>
      </c>
      <c r="K32" s="692"/>
      <c r="L32" s="696">
        <f>D37/euro</f>
        <v>0</v>
      </c>
      <c r="M32" s="692"/>
    </row>
    <row r="33" spans="1:14" ht="12.75" customHeight="1">
      <c r="A33" s="2026" t="s">
        <v>721</v>
      </c>
      <c r="B33" s="2027"/>
      <c r="C33" s="2027"/>
      <c r="D33" s="2027"/>
      <c r="E33" s="2027"/>
      <c r="F33" s="2027"/>
      <c r="G33" s="2027"/>
      <c r="H33" s="2027"/>
      <c r="I33" s="2027"/>
      <c r="J33" s="2028"/>
      <c r="K33" s="692">
        <f>E40/euro</f>
        <v>211071.38550584801</v>
      </c>
      <c r="L33" s="696">
        <f>D40/euro</f>
        <v>385.87100164797602</v>
      </c>
      <c r="M33" s="697">
        <f>ROUND(SUM(E40:E45)/euro,0)</f>
        <v>319531</v>
      </c>
    </row>
    <row r="34" spans="1:14" ht="12.75" customHeight="1">
      <c r="A34" s="1714">
        <v>1</v>
      </c>
      <c r="B34" s="1717" t="s">
        <v>722</v>
      </c>
      <c r="C34" s="1716">
        <v>75443</v>
      </c>
      <c r="D34" s="1739">
        <v>130</v>
      </c>
      <c r="E34" s="1717">
        <f>ROUND(C34*D34,0)</f>
        <v>9807590</v>
      </c>
      <c r="F34" s="1718">
        <f>ROUND(E34/euro,2)</f>
        <v>1971057.92</v>
      </c>
      <c r="G34" s="1719">
        <f>ROUND(E34*TVA,2)</f>
        <v>1863442.1</v>
      </c>
      <c r="H34" s="1718">
        <f>ROUND(G34/euro,2)</f>
        <v>374501</v>
      </c>
      <c r="I34" s="1719">
        <f t="shared" ref="I34:J36" si="9">E34+G34</f>
        <v>11671032.1</v>
      </c>
      <c r="J34" s="1720">
        <f t="shared" si="9"/>
        <v>2345558.92</v>
      </c>
      <c r="K34" s="692">
        <f>E44/euro</f>
        <v>25839.969452148402</v>
      </c>
      <c r="L34" s="696">
        <f>D44/euro</f>
        <v>339.999598054584</v>
      </c>
      <c r="M34" s="692"/>
    </row>
    <row r="35" spans="1:14" ht="25.7" customHeight="1">
      <c r="A35" s="1721">
        <v>2</v>
      </c>
      <c r="B35" s="1724" t="s">
        <v>723</v>
      </c>
      <c r="C35" s="1723">
        <v>0</v>
      </c>
      <c r="D35" s="1740">
        <v>130</v>
      </c>
      <c r="E35" s="1724">
        <f t="shared" ref="E35:E43" si="10">ROUND(C35*D35,0)</f>
        <v>0</v>
      </c>
      <c r="F35" s="1665">
        <f>ROUND(E35/euro,2)</f>
        <v>0</v>
      </c>
      <c r="G35" s="1725">
        <f>ROUND(E35*TVA,2)</f>
        <v>0</v>
      </c>
      <c r="H35" s="1665">
        <f>ROUND(G35/euro,2)</f>
        <v>0</v>
      </c>
      <c r="I35" s="1725">
        <f t="shared" si="9"/>
        <v>0</v>
      </c>
      <c r="J35" s="1726">
        <f t="shared" si="9"/>
        <v>0</v>
      </c>
      <c r="K35" s="692">
        <f>E45/euro</f>
        <v>82619.902327264004</v>
      </c>
      <c r="L35" s="696">
        <f>D45/euro</f>
        <v>339.999598054584</v>
      </c>
      <c r="M35" s="692"/>
    </row>
    <row r="36" spans="1:14" ht="12.75" customHeight="1">
      <c r="A36" s="1721">
        <v>3</v>
      </c>
      <c r="B36" s="1724" t="s">
        <v>724</v>
      </c>
      <c r="C36" s="1723">
        <v>115771</v>
      </c>
      <c r="D36" s="1741">
        <v>130</v>
      </c>
      <c r="E36" s="1724">
        <f t="shared" si="10"/>
        <v>15050230</v>
      </c>
      <c r="F36" s="1665">
        <f>ROUND(E36/euro,2)</f>
        <v>3024685.48</v>
      </c>
      <c r="G36" s="1725">
        <f>ROUND(E36*TVA,2)</f>
        <v>2859543.7</v>
      </c>
      <c r="H36" s="1665">
        <f>ROUND(G36/euro,2)</f>
        <v>574690.24</v>
      </c>
      <c r="I36" s="1725">
        <f t="shared" si="9"/>
        <v>17909773.699999999</v>
      </c>
      <c r="J36" s="1726">
        <f t="shared" si="9"/>
        <v>3599375.72</v>
      </c>
      <c r="K36" s="692"/>
      <c r="L36" s="697" t="s">
        <v>9</v>
      </c>
      <c r="M36" s="692"/>
    </row>
    <row r="37" spans="1:14">
      <c r="A37" s="1721"/>
      <c r="B37" s="1724"/>
      <c r="C37" s="1723" t="s">
        <v>9</v>
      </c>
      <c r="D37" s="1740"/>
      <c r="E37" s="1724" t="s">
        <v>9</v>
      </c>
      <c r="F37" s="1665" t="s">
        <v>9</v>
      </c>
      <c r="G37" s="1725" t="s">
        <v>9</v>
      </c>
      <c r="H37" s="1725" t="s">
        <v>9</v>
      </c>
      <c r="I37" s="1725"/>
      <c r="J37" s="1726"/>
      <c r="K37" s="692"/>
      <c r="L37" s="692" t="s">
        <v>9</v>
      </c>
      <c r="M37" s="692"/>
    </row>
    <row r="38" spans="1:14" ht="25.5">
      <c r="A38" s="1721">
        <v>4</v>
      </c>
      <c r="B38" s="1724" t="s">
        <v>725</v>
      </c>
      <c r="C38" s="1723">
        <v>170</v>
      </c>
      <c r="D38" s="1740">
        <f>6669.85*IPC*crinv</f>
        <v>9327.1849385000005</v>
      </c>
      <c r="E38" s="1724">
        <f t="shared" si="10"/>
        <v>1585621</v>
      </c>
      <c r="F38" s="1665">
        <f t="shared" ref="F38:F43" si="11">ROUND(E38/euro,2)</f>
        <v>318666.55</v>
      </c>
      <c r="G38" s="1725">
        <f t="shared" ref="G38:G43" si="12">ROUND(E38*TVA,2)</f>
        <v>301267.99</v>
      </c>
      <c r="H38" s="1725">
        <f t="shared" ref="H38:H43" si="13">ROUND(G38/euro,2)</f>
        <v>60546.64</v>
      </c>
      <c r="I38" s="1725">
        <f>E38+G38</f>
        <v>1886888.99</v>
      </c>
      <c r="J38" s="1726">
        <f>F38+H38</f>
        <v>379213.19</v>
      </c>
      <c r="K38" s="692"/>
      <c r="L38" s="692"/>
      <c r="M38" s="692"/>
    </row>
    <row r="39" spans="1:14">
      <c r="A39" s="1721"/>
      <c r="B39" s="1724"/>
      <c r="C39" s="1723"/>
      <c r="D39" s="1740"/>
      <c r="E39" s="1724">
        <f t="shared" si="10"/>
        <v>0</v>
      </c>
      <c r="F39" s="1665">
        <f t="shared" si="11"/>
        <v>0</v>
      </c>
      <c r="G39" s="1725">
        <f t="shared" si="12"/>
        <v>0</v>
      </c>
      <c r="H39" s="1725">
        <f t="shared" si="13"/>
        <v>0</v>
      </c>
      <c r="I39" s="1725"/>
      <c r="J39" s="1726"/>
      <c r="K39" s="692"/>
      <c r="L39" s="692"/>
      <c r="M39" s="692"/>
    </row>
    <row r="40" spans="1:14">
      <c r="A40" s="1721">
        <v>6</v>
      </c>
      <c r="B40" s="1724" t="s">
        <v>726</v>
      </c>
      <c r="C40" s="1723">
        <v>547</v>
      </c>
      <c r="D40" s="1740">
        <f>1373*IPC*crinv</f>
        <v>1920.01693</v>
      </c>
      <c r="E40" s="1724">
        <f t="shared" si="10"/>
        <v>1050249</v>
      </c>
      <c r="F40" s="1665">
        <f t="shared" si="11"/>
        <v>211071.39</v>
      </c>
      <c r="G40" s="1725">
        <f t="shared" si="12"/>
        <v>199547.31</v>
      </c>
      <c r="H40" s="1665">
        <f t="shared" si="13"/>
        <v>40103.56</v>
      </c>
      <c r="I40" s="1725">
        <f t="shared" ref="I40:J45" si="14">E40+G40</f>
        <v>1249796.31</v>
      </c>
      <c r="J40" s="1726">
        <f t="shared" si="14"/>
        <v>251174.95</v>
      </c>
      <c r="K40" s="692"/>
      <c r="L40" s="696" t="e">
        <f>#REF!/euro</f>
        <v>#REF!</v>
      </c>
      <c r="M40" s="697">
        <f>ROUND(SUM(E21:E21)/euro,0)</f>
        <v>0</v>
      </c>
      <c r="N40" s="598" t="s">
        <v>9</v>
      </c>
    </row>
    <row r="41" spans="1:14">
      <c r="A41" s="1721">
        <v>7</v>
      </c>
      <c r="B41" s="1724" t="s">
        <v>727</v>
      </c>
      <c r="C41" s="1723">
        <v>0</v>
      </c>
      <c r="D41" s="1740">
        <f>1373*IPC*crinv</f>
        <v>1920.01693</v>
      </c>
      <c r="E41" s="1724">
        <f t="shared" si="10"/>
        <v>0</v>
      </c>
      <c r="F41" s="1665">
        <f t="shared" si="11"/>
        <v>0</v>
      </c>
      <c r="G41" s="1725">
        <f t="shared" si="12"/>
        <v>0</v>
      </c>
      <c r="H41" s="1665">
        <f t="shared" si="13"/>
        <v>0</v>
      </c>
      <c r="I41" s="1725">
        <f t="shared" si="14"/>
        <v>0</v>
      </c>
      <c r="J41" s="1726">
        <f t="shared" si="14"/>
        <v>0</v>
      </c>
      <c r="K41" s="692"/>
      <c r="L41" s="896"/>
      <c r="M41" s="692"/>
      <c r="N41" s="598" t="s">
        <v>9</v>
      </c>
    </row>
    <row r="42" spans="1:14">
      <c r="A42" s="1721">
        <v>8</v>
      </c>
      <c r="B42" s="1724" t="s">
        <v>728</v>
      </c>
      <c r="C42" s="1723">
        <v>0</v>
      </c>
      <c r="D42" s="1740">
        <f>3700*IPC*crinv</f>
        <v>5174.1170000000002</v>
      </c>
      <c r="E42" s="1724">
        <f t="shared" si="10"/>
        <v>0</v>
      </c>
      <c r="F42" s="1665">
        <f t="shared" si="11"/>
        <v>0</v>
      </c>
      <c r="G42" s="1725">
        <f t="shared" si="12"/>
        <v>0</v>
      </c>
      <c r="H42" s="1665">
        <f t="shared" si="13"/>
        <v>0</v>
      </c>
      <c r="I42" s="1725">
        <f t="shared" ref="I42" si="15">E42+G42</f>
        <v>0</v>
      </c>
      <c r="J42" s="1726">
        <f t="shared" ref="J42" si="16">F42+H42</f>
        <v>0</v>
      </c>
      <c r="K42" s="692"/>
      <c r="L42" s="896"/>
      <c r="M42" s="692"/>
    </row>
    <row r="43" spans="1:14">
      <c r="A43" s="1721">
        <v>9</v>
      </c>
      <c r="B43" s="1724" t="s">
        <v>729</v>
      </c>
      <c r="C43" s="1723">
        <v>0</v>
      </c>
      <c r="D43" s="1740">
        <f>715*euro*IPC*crinv</f>
        <v>4975.1190617700004</v>
      </c>
      <c r="E43" s="1724">
        <f t="shared" si="10"/>
        <v>0</v>
      </c>
      <c r="F43" s="1665">
        <f t="shared" si="11"/>
        <v>0</v>
      </c>
      <c r="G43" s="1725">
        <f t="shared" si="12"/>
        <v>0</v>
      </c>
      <c r="H43" s="1665">
        <f t="shared" si="13"/>
        <v>0</v>
      </c>
      <c r="I43" s="1725">
        <f t="shared" si="14"/>
        <v>0</v>
      </c>
      <c r="J43" s="1726">
        <f t="shared" si="14"/>
        <v>0</v>
      </c>
      <c r="K43" s="692" t="s">
        <v>9</v>
      </c>
      <c r="L43" s="696">
        <f>D21/euro</f>
        <v>310130.116765143</v>
      </c>
      <c r="M43" s="692"/>
      <c r="N43" s="598" t="s">
        <v>9</v>
      </c>
    </row>
    <row r="44" spans="1:14" hidden="1">
      <c r="A44" s="725">
        <v>7</v>
      </c>
      <c r="B44" s="726" t="s">
        <v>730</v>
      </c>
      <c r="C44" s="727">
        <v>76</v>
      </c>
      <c r="D44" s="881">
        <f>ROUNDDOWN(340*euro,2)</f>
        <v>1691.77</v>
      </c>
      <c r="E44" s="726">
        <f t="shared" ref="E44:E45" si="17">C44*D44</f>
        <v>128574.52</v>
      </c>
      <c r="F44" s="878">
        <f t="shared" ref="F44:F45" si="18">E44/euro</f>
        <v>25839.969452148402</v>
      </c>
      <c r="G44" s="880">
        <f t="shared" ref="G44:G45" si="19">E44*TVA</f>
        <v>24429.158800000001</v>
      </c>
      <c r="H44" s="878">
        <f t="shared" ref="H44:H45" si="20">G44/euro</f>
        <v>4909.5941959082002</v>
      </c>
      <c r="I44" s="880">
        <f t="shared" si="14"/>
        <v>153003.67879999999</v>
      </c>
      <c r="J44" s="894">
        <f t="shared" si="14"/>
        <v>30749.563648056599</v>
      </c>
      <c r="K44" s="692"/>
      <c r="L44" s="696">
        <f>D22/euro</f>
        <v>264179.70979540999</v>
      </c>
      <c r="M44" s="692"/>
    </row>
    <row r="45" spans="1:14" hidden="1">
      <c r="A45" s="882">
        <v>8</v>
      </c>
      <c r="B45" s="883" t="s">
        <v>731</v>
      </c>
      <c r="C45" s="884">
        <v>243</v>
      </c>
      <c r="D45" s="885">
        <f>D44</f>
        <v>1691.77</v>
      </c>
      <c r="E45" s="886">
        <f t="shared" si="17"/>
        <v>411100.11</v>
      </c>
      <c r="F45" s="879">
        <f t="shared" si="18"/>
        <v>82619.902327264004</v>
      </c>
      <c r="G45" s="887">
        <f t="shared" si="19"/>
        <v>78109.020900000003</v>
      </c>
      <c r="H45" s="879">
        <f t="shared" si="20"/>
        <v>15697.7814421802</v>
      </c>
      <c r="I45" s="887">
        <f t="shared" si="14"/>
        <v>489209.13089999999</v>
      </c>
      <c r="J45" s="895">
        <f t="shared" si="14"/>
        <v>98317.683769444106</v>
      </c>
      <c r="K45" s="701" t="e">
        <f>#REF!+#REF!</f>
        <v>#REF!</v>
      </c>
      <c r="L45" s="692">
        <f>217700*2</f>
        <v>435400</v>
      </c>
      <c r="M45" s="692"/>
    </row>
    <row r="46" spans="1:14" ht="14.25" customHeight="1">
      <c r="A46" s="2029" t="s">
        <v>732</v>
      </c>
      <c r="B46" s="2030"/>
      <c r="C46" s="633"/>
      <c r="D46" s="633"/>
      <c r="E46" s="634">
        <f t="shared" ref="E46:J46" si="21">SUM(E34:E43)</f>
        <v>27493690</v>
      </c>
      <c r="F46" s="635">
        <f t="shared" si="21"/>
        <v>5525481.3399999999</v>
      </c>
      <c r="G46" s="636">
        <f t="shared" si="21"/>
        <v>5223801.0999999996</v>
      </c>
      <c r="H46" s="635">
        <f t="shared" si="21"/>
        <v>1049841.44</v>
      </c>
      <c r="I46" s="636">
        <f t="shared" si="21"/>
        <v>32717491.100000001</v>
      </c>
      <c r="J46" s="698">
        <f t="shared" si="21"/>
        <v>6575322.7800000003</v>
      </c>
      <c r="K46" s="697">
        <f>J32/euro</f>
        <v>0</v>
      </c>
      <c r="L46" s="692">
        <f>197000*2</f>
        <v>394000</v>
      </c>
      <c r="M46" s="692"/>
    </row>
    <row r="47" spans="1:14" ht="14.25" customHeight="1">
      <c r="A47" s="2031" t="s">
        <v>182</v>
      </c>
      <c r="B47" s="2032"/>
      <c r="C47" s="2032"/>
      <c r="D47" s="2032"/>
      <c r="E47" s="2032"/>
      <c r="F47" s="2032"/>
      <c r="G47" s="2032"/>
      <c r="H47" s="2032"/>
      <c r="I47" s="2032"/>
      <c r="J47" s="2033"/>
      <c r="K47" s="692" t="e">
        <f>K45/euro</f>
        <v>#REF!</v>
      </c>
      <c r="L47" s="692"/>
      <c r="M47" s="692"/>
    </row>
    <row r="48" spans="1:14" ht="14.25" customHeight="1">
      <c r="A48" s="622">
        <v>1</v>
      </c>
      <c r="B48" s="888" t="s">
        <v>184</v>
      </c>
      <c r="C48" s="654">
        <v>0</v>
      </c>
      <c r="D48" s="654">
        <v>925560</v>
      </c>
      <c r="E48" s="655">
        <f>D48*C48</f>
        <v>0</v>
      </c>
      <c r="F48" s="889">
        <f t="shared" ref="F48" si="22">ROUND(E48/euro,2)</f>
        <v>0</v>
      </c>
      <c r="G48" s="890">
        <f t="shared" ref="G48" si="23">ROUND(E48*TVA,2)</f>
        <v>0</v>
      </c>
      <c r="H48" s="891">
        <f t="shared" ref="H48" si="24">ROUND(G48/euro,2)</f>
        <v>0</v>
      </c>
      <c r="I48" s="891">
        <f t="shared" ref="I48" si="25">E48+G48</f>
        <v>0</v>
      </c>
      <c r="J48" s="897">
        <f t="shared" ref="J48" si="26">F48+H48</f>
        <v>0</v>
      </c>
      <c r="K48" s="692"/>
      <c r="L48" s="692">
        <f>D22/euro</f>
        <v>264179.70979540999</v>
      </c>
      <c r="M48" s="692"/>
    </row>
    <row r="49" spans="1:13" ht="14.25" customHeight="1">
      <c r="A49" s="1999" t="s">
        <v>185</v>
      </c>
      <c r="B49" s="2000"/>
      <c r="C49" s="658"/>
      <c r="D49" s="658"/>
      <c r="E49" s="659">
        <f t="shared" ref="E49:J49" si="27">E48</f>
        <v>0</v>
      </c>
      <c r="F49" s="659">
        <f t="shared" si="27"/>
        <v>0</v>
      </c>
      <c r="G49" s="892">
        <f t="shared" si="27"/>
        <v>0</v>
      </c>
      <c r="H49" s="893">
        <f t="shared" si="27"/>
        <v>0</v>
      </c>
      <c r="I49" s="893">
        <f t="shared" si="27"/>
        <v>0</v>
      </c>
      <c r="J49" s="898">
        <f t="shared" si="27"/>
        <v>0</v>
      </c>
      <c r="K49" s="692"/>
      <c r="L49" s="692"/>
      <c r="M49" s="692"/>
    </row>
    <row r="50" spans="1:13" ht="12.75" customHeight="1">
      <c r="A50" s="2001" t="s">
        <v>186</v>
      </c>
      <c r="B50" s="2002"/>
      <c r="C50" s="662"/>
      <c r="D50" s="662"/>
      <c r="E50" s="395">
        <f>SUM(E15,E17,E19,E46,E32,E49)</f>
        <v>27493690</v>
      </c>
      <c r="F50" s="635">
        <f>E50/euro</f>
        <v>5525481.3296354404</v>
      </c>
      <c r="G50" s="396">
        <f>SUM(G15,G17,G19,G46,G32,G49)</f>
        <v>5223801.0999999996</v>
      </c>
      <c r="H50" s="396">
        <f>SUM(H15,H17,H19,H46,H32,H49)</f>
        <v>1049841.44</v>
      </c>
      <c r="I50" s="636">
        <f>E50+G50</f>
        <v>32717491.100000001</v>
      </c>
      <c r="J50" s="698">
        <f>F50+H50</f>
        <v>6575322.7696354399</v>
      </c>
      <c r="K50" s="692"/>
      <c r="L50" s="697">
        <f>E50/euro</f>
        <v>5525481.3296354404</v>
      </c>
      <c r="M50" s="692"/>
    </row>
    <row r="51" spans="1:13" ht="16.5" customHeight="1">
      <c r="A51" s="1982" t="s">
        <v>212</v>
      </c>
      <c r="B51" s="1983"/>
      <c r="C51" s="664"/>
      <c r="D51" s="664"/>
      <c r="E51" s="397">
        <f t="shared" ref="E51:J51" si="28">E50</f>
        <v>27493690</v>
      </c>
      <c r="F51" s="665">
        <f t="shared" si="28"/>
        <v>5525481.3296354404</v>
      </c>
      <c r="G51" s="397">
        <f t="shared" si="28"/>
        <v>5223801.0999999996</v>
      </c>
      <c r="H51" s="665">
        <f t="shared" si="28"/>
        <v>1049841.44</v>
      </c>
      <c r="I51" s="705">
        <f t="shared" si="28"/>
        <v>32717491.100000001</v>
      </c>
      <c r="J51" s="706">
        <f t="shared" si="28"/>
        <v>6575322.7696354399</v>
      </c>
      <c r="K51" s="692"/>
      <c r="L51" s="692"/>
      <c r="M51" s="692"/>
    </row>
    <row r="52" spans="1:13">
      <c r="A52" s="1984" t="s">
        <v>243</v>
      </c>
      <c r="B52" s="1985"/>
      <c r="C52" s="666"/>
      <c r="D52" s="666"/>
      <c r="E52" s="667">
        <v>0</v>
      </c>
      <c r="F52" s="667">
        <v>0</v>
      </c>
      <c r="G52" s="667">
        <v>0</v>
      </c>
      <c r="H52" s="667">
        <v>0</v>
      </c>
      <c r="I52" s="667">
        <v>0</v>
      </c>
      <c r="J52" s="667">
        <v>0</v>
      </c>
      <c r="K52" s="692"/>
      <c r="L52" s="692"/>
      <c r="M52" s="692"/>
    </row>
    <row r="53" spans="1:13">
      <c r="A53" s="598"/>
      <c r="K53" s="692"/>
      <c r="L53" s="692"/>
      <c r="M53" s="692"/>
    </row>
    <row r="54" spans="1:13">
      <c r="A54" s="598"/>
      <c r="B54" s="596" t="s">
        <v>9</v>
      </c>
      <c r="C54" s="596"/>
      <c r="D54" s="596"/>
      <c r="E54" s="598" t="s">
        <v>9</v>
      </c>
      <c r="K54" s="692"/>
      <c r="L54" s="692"/>
      <c r="M54" s="692"/>
    </row>
    <row r="55" spans="1:13">
      <c r="A55" s="598"/>
    </row>
    <row r="56" spans="1:13" ht="25.5">
      <c r="A56" s="669"/>
      <c r="B56" s="402" t="str">
        <f>'DEVIZ GENERAL'!B168</f>
        <v>In preturi la data de :</v>
      </c>
      <c r="C56" s="670" t="str">
        <f>'DEVIZ GENERAL'!C168</f>
        <v>inforeuro februarie 2025</v>
      </c>
      <c r="D56" s="402" t="str">
        <f>'DEVIZ GENERAL'!D168</f>
        <v>1 Euro =</v>
      </c>
      <c r="E56" s="403">
        <f>'DEVIZ GENERAL'!E168</f>
        <v>4.9757999999999996</v>
      </c>
      <c r="F56" s="404"/>
      <c r="L56" s="57" t="s">
        <v>9</v>
      </c>
    </row>
    <row r="57" spans="1:13">
      <c r="A57" s="671"/>
      <c r="B57" s="406" t="s">
        <v>222</v>
      </c>
      <c r="C57" s="406"/>
      <c r="D57" s="406"/>
      <c r="E57" s="404"/>
      <c r="F57" s="404"/>
      <c r="G57" s="672" t="s">
        <v>223</v>
      </c>
      <c r="H57" s="672"/>
      <c r="I57" s="672"/>
      <c r="J57" s="672"/>
    </row>
    <row r="58" spans="1:13">
      <c r="A58" s="671"/>
      <c r="B58" s="437" t="str">
        <f>data_deviz</f>
        <v>31.01.2025</v>
      </c>
      <c r="C58" s="437"/>
      <c r="D58" s="437"/>
      <c r="E58" s="404"/>
      <c r="F58" s="404"/>
      <c r="G58" s="2023" t="s">
        <v>733</v>
      </c>
      <c r="H58" s="2023"/>
      <c r="I58" s="2023"/>
      <c r="J58" s="2023"/>
    </row>
    <row r="59" spans="1:13">
      <c r="A59" s="598"/>
      <c r="B59" s="406" t="s">
        <v>226</v>
      </c>
      <c r="C59" s="406"/>
      <c r="D59" s="406"/>
      <c r="E59" s="674"/>
      <c r="F59" s="674"/>
      <c r="G59" s="675"/>
      <c r="H59" s="675"/>
      <c r="I59" s="675"/>
      <c r="J59" s="672"/>
    </row>
    <row r="60" spans="1:13">
      <c r="A60" s="598"/>
      <c r="B60" s="441" t="s">
        <v>227</v>
      </c>
      <c r="C60" s="437"/>
      <c r="D60" s="437"/>
      <c r="G60" s="596" t="s">
        <v>637</v>
      </c>
      <c r="H60" s="596"/>
      <c r="I60" s="596"/>
      <c r="J60" s="707"/>
    </row>
    <row r="61" spans="1:13">
      <c r="A61" s="669"/>
      <c r="B61" s="671"/>
      <c r="C61" s="671"/>
      <c r="D61" s="671"/>
      <c r="E61" s="672"/>
      <c r="F61" s="672"/>
      <c r="J61" s="708" t="s">
        <v>229</v>
      </c>
    </row>
    <row r="62" spans="1:13" ht="15.75">
      <c r="A62" s="676"/>
      <c r="B62" s="676"/>
      <c r="C62" s="676"/>
      <c r="D62" s="676"/>
    </row>
    <row r="63" spans="1:13">
      <c r="B63" s="598" t="s">
        <v>9</v>
      </c>
    </row>
    <row r="64" spans="1:13" hidden="1">
      <c r="B64" s="678" t="s">
        <v>734</v>
      </c>
      <c r="C64" s="673"/>
      <c r="D64" s="673"/>
    </row>
    <row r="65" spans="1:11" hidden="1">
      <c r="A65" s="679"/>
      <c r="B65" s="680" t="s">
        <v>735</v>
      </c>
      <c r="C65" s="681" t="s">
        <v>736</v>
      </c>
      <c r="D65" s="681" t="s">
        <v>737</v>
      </c>
      <c r="E65" s="681" t="s">
        <v>738</v>
      </c>
      <c r="F65" s="681"/>
      <c r="G65" s="682" t="s">
        <v>739</v>
      </c>
      <c r="H65" s="682"/>
      <c r="I65" s="682"/>
      <c r="J65" s="682" t="s">
        <v>740</v>
      </c>
      <c r="K65" s="682" t="s">
        <v>231</v>
      </c>
    </row>
    <row r="66" spans="1:11" hidden="1">
      <c r="A66" s="679"/>
      <c r="B66" s="680" t="s">
        <v>741</v>
      </c>
      <c r="C66" s="683">
        <f>12472-588</f>
        <v>11884</v>
      </c>
      <c r="D66" s="683">
        <v>0</v>
      </c>
      <c r="E66" s="684">
        <v>1002</v>
      </c>
      <c r="F66" s="684"/>
      <c r="G66" s="685">
        <v>0</v>
      </c>
      <c r="H66" s="685"/>
      <c r="I66" s="685"/>
      <c r="J66" s="685">
        <f>C66*$D$40+D66*$D$41+E66*$D$44+G66*$D$45</f>
        <v>24512634.73612</v>
      </c>
      <c r="K66" s="685">
        <f>J66/euro</f>
        <v>4926370.58083524</v>
      </c>
    </row>
    <row r="67" spans="1:11" ht="12.75" hidden="1" customHeight="1">
      <c r="A67" s="679"/>
      <c r="B67" s="680" t="s">
        <v>742</v>
      </c>
      <c r="C67" s="681">
        <v>3265</v>
      </c>
      <c r="D67" s="683">
        <v>0</v>
      </c>
      <c r="E67" s="684">
        <v>0</v>
      </c>
      <c r="F67" s="684"/>
      <c r="G67" s="685">
        <v>43</v>
      </c>
      <c r="H67" s="685"/>
      <c r="I67" s="685"/>
      <c r="J67" s="685">
        <f>C67*$D$40+D67*$D$41+E67*$D$44+G67*$D$45</f>
        <v>6341601.3864500001</v>
      </c>
      <c r="K67" s="685">
        <f>J67/euro</f>
        <v>1274488.8030969901</v>
      </c>
    </row>
    <row r="68" spans="1:11" ht="15" hidden="1" customHeight="1">
      <c r="A68" s="679"/>
      <c r="B68" s="680" t="s">
        <v>743</v>
      </c>
      <c r="C68" s="681">
        <v>0</v>
      </c>
      <c r="D68" s="683">
        <v>66661</v>
      </c>
      <c r="E68" s="684">
        <v>0</v>
      </c>
      <c r="F68" s="684"/>
      <c r="G68" s="685">
        <f>243+80</f>
        <v>323</v>
      </c>
      <c r="H68" s="685"/>
      <c r="I68" s="685"/>
      <c r="J68" s="685">
        <f>C68*$D$40+D68*$D$41+E68*$D$44+G68*$D$45</f>
        <v>128536690.28072999</v>
      </c>
      <c r="K68" s="685">
        <f>J68/euro</f>
        <v>25832366.711027399</v>
      </c>
    </row>
    <row r="69" spans="1:11" hidden="1">
      <c r="A69" s="680"/>
      <c r="B69" s="680" t="s">
        <v>257</v>
      </c>
      <c r="C69" s="683">
        <f t="shared" ref="C69:K69" si="29">SUM(C66:C68)</f>
        <v>15149</v>
      </c>
      <c r="D69" s="683">
        <f t="shared" si="29"/>
        <v>66661</v>
      </c>
      <c r="E69" s="683">
        <f t="shared" si="29"/>
        <v>1002</v>
      </c>
      <c r="F69" s="683"/>
      <c r="G69" s="683">
        <f t="shared" si="29"/>
        <v>366</v>
      </c>
      <c r="H69" s="683"/>
      <c r="I69" s="683"/>
      <c r="J69" s="684">
        <f t="shared" si="29"/>
        <v>159390926.40329999</v>
      </c>
      <c r="K69" s="684">
        <f t="shared" si="29"/>
        <v>32033226.094959602</v>
      </c>
    </row>
    <row r="70" spans="1:11" ht="15.75" hidden="1">
      <c r="A70" s="686"/>
      <c r="B70" s="686"/>
      <c r="C70" s="687"/>
      <c r="D70" s="687"/>
      <c r="E70" s="687"/>
      <c r="F70" s="687"/>
      <c r="G70" s="682"/>
      <c r="H70" s="682"/>
      <c r="I70" s="682"/>
      <c r="J70" s="682"/>
      <c r="K70" s="682"/>
    </row>
    <row r="71" spans="1:11" ht="15" hidden="1" customHeight="1">
      <c r="A71" s="679"/>
      <c r="B71" s="680" t="s">
        <v>744</v>
      </c>
      <c r="C71" s="680" t="s">
        <v>745</v>
      </c>
      <c r="D71" s="680" t="s">
        <v>746</v>
      </c>
      <c r="E71" s="680" t="s">
        <v>747</v>
      </c>
      <c r="F71" s="680"/>
      <c r="G71" s="598" t="s">
        <v>231</v>
      </c>
    </row>
    <row r="72" spans="1:11" hidden="1">
      <c r="B72" s="680" t="s">
        <v>741</v>
      </c>
      <c r="C72" s="598">
        <v>7</v>
      </c>
      <c r="E72" s="57" t="e">
        <f>7*#REF!</f>
        <v>#REF!</v>
      </c>
      <c r="F72" s="57"/>
      <c r="G72" s="57" t="e">
        <f>E72/euro</f>
        <v>#REF!</v>
      </c>
      <c r="H72" s="57"/>
      <c r="I72" s="57"/>
    </row>
    <row r="73" spans="1:11" hidden="1">
      <c r="B73" s="680" t="s">
        <v>742</v>
      </c>
      <c r="C73" s="598">
        <v>1</v>
      </c>
      <c r="D73" s="598">
        <v>3</v>
      </c>
      <c r="E73" s="57" t="e">
        <f>4*#REF!</f>
        <v>#REF!</v>
      </c>
      <c r="F73" s="57"/>
      <c r="G73" s="57" t="e">
        <f>E73/euro</f>
        <v>#REF!</v>
      </c>
      <c r="H73" s="57"/>
      <c r="I73" s="57"/>
    </row>
    <row r="74" spans="1:11" hidden="1">
      <c r="B74" s="680" t="s">
        <v>743</v>
      </c>
      <c r="C74" s="598">
        <v>3</v>
      </c>
      <c r="D74" s="598">
        <v>5</v>
      </c>
      <c r="E74" s="57" t="e">
        <f>8*#REF!</f>
        <v>#REF!</v>
      </c>
      <c r="F74" s="57"/>
      <c r="G74" s="57" t="e">
        <f>E74/euro</f>
        <v>#REF!</v>
      </c>
      <c r="H74" s="57"/>
      <c r="I74" s="57"/>
    </row>
    <row r="75" spans="1:11" hidden="1">
      <c r="B75" s="680" t="s">
        <v>257</v>
      </c>
      <c r="C75" s="598">
        <f>SUM(C72:C74)</f>
        <v>11</v>
      </c>
      <c r="D75" s="598">
        <f>SUM(D72:D74)</f>
        <v>8</v>
      </c>
      <c r="E75" s="57" t="e">
        <f>SUM(E72:E74)</f>
        <v>#REF!</v>
      </c>
      <c r="F75" s="57"/>
      <c r="G75" s="57" t="e">
        <f>SUM(G72:G74)</f>
        <v>#REF!</v>
      </c>
      <c r="H75" s="57"/>
      <c r="I75" s="57"/>
    </row>
    <row r="76" spans="1:11" hidden="1"/>
    <row r="77" spans="1:11" hidden="1"/>
    <row r="78" spans="1:11">
      <c r="B78" s="598" t="s">
        <v>9</v>
      </c>
      <c r="C78" s="899" t="s">
        <v>9</v>
      </c>
    </row>
    <row r="80" spans="1:11">
      <c r="B80" s="598" t="s">
        <v>748</v>
      </c>
      <c r="F80" s="598" t="s">
        <v>749</v>
      </c>
      <c r="G80" s="682" t="s">
        <v>750</v>
      </c>
      <c r="H80" s="682" t="s">
        <v>751</v>
      </c>
    </row>
    <row r="81" spans="2:9" ht="14.25">
      <c r="B81" s="598" t="s">
        <v>752</v>
      </c>
      <c r="C81" s="832">
        <f>F35+F36+F41+F42+F43</f>
        <v>3024685.48</v>
      </c>
      <c r="F81" s="598" t="s">
        <v>753</v>
      </c>
      <c r="G81" s="668">
        <v>12555565</v>
      </c>
      <c r="H81" s="598">
        <v>2023</v>
      </c>
      <c r="I81" s="832" t="s">
        <v>9</v>
      </c>
    </row>
    <row r="82" spans="2:9" ht="14.25">
      <c r="B82" s="598" t="s">
        <v>754</v>
      </c>
      <c r="C82" s="832">
        <f>F25+F27+F28+F29+F30+F31</f>
        <v>0</v>
      </c>
      <c r="F82" s="598" t="s">
        <v>755</v>
      </c>
      <c r="G82" s="668">
        <v>49879620</v>
      </c>
      <c r="H82" s="598">
        <v>2024</v>
      </c>
      <c r="I82" s="832" t="s">
        <v>9</v>
      </c>
    </row>
    <row r="83" spans="2:9" ht="14.25">
      <c r="B83" s="598" t="s">
        <v>24</v>
      </c>
      <c r="C83" s="832">
        <f>C81+C82</f>
        <v>3024685.48</v>
      </c>
      <c r="F83" s="598" t="s">
        <v>756</v>
      </c>
      <c r="G83" s="668">
        <v>1550556</v>
      </c>
      <c r="H83" s="598">
        <v>2024</v>
      </c>
      <c r="I83" s="832" t="s">
        <v>9</v>
      </c>
    </row>
    <row r="84" spans="2:9">
      <c r="B84" s="598" t="s">
        <v>757</v>
      </c>
      <c r="C84" s="900">
        <f>C83/F51</f>
        <v>0.54740669627772798</v>
      </c>
    </row>
    <row r="87" spans="2:9">
      <c r="B87" s="598" t="s">
        <v>758</v>
      </c>
      <c r="C87" s="901">
        <f>30372058.99</f>
        <v>30372058.989999998</v>
      </c>
      <c r="D87" s="598" t="s">
        <v>759</v>
      </c>
    </row>
    <row r="88" spans="2:9">
      <c r="B88" s="598" t="s">
        <v>760</v>
      </c>
      <c r="C88" s="677">
        <f>'D8.compostoare individuale'!E33</f>
        <v>17812739.16</v>
      </c>
    </row>
    <row r="89" spans="2:9">
      <c r="B89" s="598" t="s">
        <v>761</v>
      </c>
      <c r="C89" s="832">
        <f>E48</f>
        <v>0</v>
      </c>
    </row>
    <row r="90" spans="2:9">
      <c r="B90" s="598" t="s">
        <v>762</v>
      </c>
      <c r="C90" s="902">
        <f>C87-C88-C89</f>
        <v>12559319.83</v>
      </c>
      <c r="D90" s="598" t="s">
        <v>8</v>
      </c>
    </row>
    <row r="91" spans="2:9">
      <c r="C91" s="677">
        <f>C90-C93</f>
        <v>12559319.83</v>
      </c>
      <c r="E91" s="677">
        <f>C91/2</f>
        <v>6279659.915</v>
      </c>
    </row>
    <row r="92" spans="2:9">
      <c r="B92" s="598" t="s">
        <v>763</v>
      </c>
    </row>
    <row r="93" spans="2:9">
      <c r="C93" s="832">
        <f>E21+E22+E25</f>
        <v>0</v>
      </c>
    </row>
    <row r="94" spans="2:9">
      <c r="C94" s="832">
        <f>E21</f>
        <v>0</v>
      </c>
    </row>
    <row r="95" spans="2:9">
      <c r="C95" s="832">
        <f>E22</f>
        <v>0</v>
      </c>
    </row>
    <row r="96" spans="2:9">
      <c r="C96" s="832">
        <f>E25</f>
        <v>0</v>
      </c>
    </row>
  </sheetData>
  <mergeCells count="28">
    <mergeCell ref="B1:J3"/>
    <mergeCell ref="A50:B50"/>
    <mergeCell ref="A51:B51"/>
    <mergeCell ref="A52:B52"/>
    <mergeCell ref="G58:J58"/>
    <mergeCell ref="A8:A9"/>
    <mergeCell ref="B8:B9"/>
    <mergeCell ref="A32:B32"/>
    <mergeCell ref="A33:J33"/>
    <mergeCell ref="A46:B46"/>
    <mergeCell ref="A47:J47"/>
    <mergeCell ref="A49:B49"/>
    <mergeCell ref="A16:J16"/>
    <mergeCell ref="A17:B17"/>
    <mergeCell ref="A18:J18"/>
    <mergeCell ref="A19:B19"/>
    <mergeCell ref="A20:J20"/>
    <mergeCell ref="A11:J11"/>
    <mergeCell ref="A12:J12"/>
    <mergeCell ref="B13:J13"/>
    <mergeCell ref="A14:J14"/>
    <mergeCell ref="A15:B15"/>
    <mergeCell ref="A5:J5"/>
    <mergeCell ref="A6:J6"/>
    <mergeCell ref="A7:J7"/>
    <mergeCell ref="E8:F8"/>
    <mergeCell ref="G8:H8"/>
    <mergeCell ref="I8:J8"/>
  </mergeCells>
  <pageMargins left="0.7" right="0.7" top="0.75" bottom="0.75" header="0.3" footer="0.3"/>
  <pageSetup paperSize="9" scale="4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2065187536243"/>
  </sheetPr>
  <dimension ref="A1:M106"/>
  <sheetViews>
    <sheetView view="pageBreakPreview" topLeftCell="A44" zoomScaleNormal="100" workbookViewId="0">
      <selection activeCell="E60" sqref="E60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3" width="9.85546875" style="598" customWidth="1"/>
    <col min="4" max="4" width="11.7109375" style="598" customWidth="1"/>
    <col min="5" max="6" width="23.85546875" style="598" customWidth="1"/>
    <col min="7" max="9" width="18" style="598" customWidth="1"/>
    <col min="10" max="10" width="27.28515625" style="598" customWidth="1"/>
    <col min="11" max="11" width="13.28515625" style="598" hidden="1" customWidth="1"/>
    <col min="12" max="12" width="12.28515625" style="598" customWidth="1"/>
    <col min="13" max="13" width="17" style="598" customWidth="1"/>
    <col min="14" max="16384" width="11.28515625" style="598"/>
  </cols>
  <sheetData>
    <row r="1" spans="1:10" s="594" customFormat="1" ht="12.75" customHeight="1">
      <c r="B1" s="2021" t="s">
        <v>764</v>
      </c>
      <c r="C1" s="2021"/>
      <c r="D1" s="2021"/>
      <c r="E1" s="2021"/>
      <c r="F1" s="2021"/>
      <c r="G1" s="2021"/>
      <c r="H1" s="2021"/>
      <c r="I1" s="2021"/>
      <c r="J1" s="2021"/>
    </row>
    <row r="2" spans="1:10" s="594" customFormat="1" ht="12.75" customHeight="1">
      <c r="A2" s="599"/>
      <c r="B2" s="2021"/>
      <c r="C2" s="2021"/>
      <c r="D2" s="2021"/>
      <c r="E2" s="2021"/>
      <c r="F2" s="2021"/>
      <c r="G2" s="2021"/>
      <c r="H2" s="2021"/>
      <c r="I2" s="2021"/>
      <c r="J2" s="2021"/>
    </row>
    <row r="3" spans="1:10" s="594" customFormat="1">
      <c r="A3" s="600"/>
      <c r="B3" s="2022"/>
      <c r="C3" s="2022"/>
      <c r="D3" s="2022"/>
      <c r="E3" s="2022"/>
      <c r="F3" s="2022"/>
      <c r="G3" s="2022"/>
      <c r="H3" s="2022"/>
      <c r="I3" s="2022"/>
      <c r="J3" s="2022"/>
    </row>
    <row r="4" spans="1:10" s="594" customFormat="1">
      <c r="A4" s="601"/>
      <c r="B4" s="601"/>
      <c r="C4" s="601"/>
      <c r="D4" s="601"/>
      <c r="E4" s="601"/>
      <c r="F4" s="601"/>
      <c r="G4" s="602"/>
      <c r="H4" s="602"/>
      <c r="I4" s="602"/>
      <c r="J4" s="688"/>
    </row>
    <row r="5" spans="1:10" ht="26.25" customHeight="1">
      <c r="A5" s="2012" t="s">
        <v>765</v>
      </c>
      <c r="B5" s="2012"/>
      <c r="C5" s="2012"/>
      <c r="D5" s="2012"/>
      <c r="E5" s="2012"/>
      <c r="F5" s="2012"/>
      <c r="G5" s="2012"/>
      <c r="H5" s="2012"/>
      <c r="I5" s="2012"/>
      <c r="J5" s="2012"/>
    </row>
    <row r="6" spans="1:10" s="595" customFormat="1" ht="39.75" customHeight="1">
      <c r="A6" s="2013" t="s">
        <v>766</v>
      </c>
      <c r="B6" s="2013"/>
      <c r="C6" s="2013"/>
      <c r="D6" s="2013"/>
      <c r="E6" s="2013"/>
      <c r="F6" s="2013"/>
      <c r="G6" s="2013"/>
      <c r="H6" s="2013"/>
      <c r="I6" s="2013"/>
      <c r="J6" s="2013"/>
    </row>
    <row r="7" spans="1:10">
      <c r="A7" s="2014" t="s">
        <v>240</v>
      </c>
      <c r="B7" s="2014"/>
      <c r="C7" s="2014"/>
      <c r="D7" s="2014"/>
      <c r="E7" s="2014"/>
      <c r="F7" s="2014"/>
      <c r="G7" s="2014"/>
      <c r="H7" s="2014"/>
      <c r="I7" s="2014"/>
      <c r="J7" s="2014"/>
    </row>
    <row r="8" spans="1:10" ht="31.5" customHeight="1">
      <c r="A8" s="2040" t="s">
        <v>99</v>
      </c>
      <c r="B8" s="1990" t="s">
        <v>100</v>
      </c>
      <c r="C8" s="731" t="s">
        <v>574</v>
      </c>
      <c r="D8" s="731" t="s">
        <v>711</v>
      </c>
      <c r="E8" s="1956" t="s">
        <v>101</v>
      </c>
      <c r="F8" s="1957"/>
      <c r="G8" s="1956" t="s">
        <v>102</v>
      </c>
      <c r="H8" s="1957"/>
      <c r="I8" s="1956" t="s">
        <v>563</v>
      </c>
      <c r="J8" s="1958"/>
    </row>
    <row r="9" spans="1:10" s="596" customFormat="1" ht="17.25" customHeight="1">
      <c r="A9" s="2041"/>
      <c r="B9" s="1991"/>
      <c r="C9" s="603"/>
      <c r="D9" s="603"/>
      <c r="E9" s="604" t="s">
        <v>546</v>
      </c>
      <c r="F9" s="604" t="s">
        <v>81</v>
      </c>
      <c r="G9" s="604" t="s">
        <v>546</v>
      </c>
      <c r="H9" s="604" t="s">
        <v>81</v>
      </c>
      <c r="I9" s="604" t="s">
        <v>546</v>
      </c>
      <c r="J9" s="812" t="s">
        <v>81</v>
      </c>
    </row>
    <row r="10" spans="1:10" hidden="1">
      <c r="A10" s="605">
        <v>1</v>
      </c>
      <c r="B10" s="606">
        <v>2</v>
      </c>
      <c r="C10" s="606"/>
      <c r="D10" s="606"/>
      <c r="E10" s="606">
        <v>3</v>
      </c>
      <c r="F10" s="606"/>
      <c r="G10" s="606">
        <v>4</v>
      </c>
      <c r="H10" s="607"/>
      <c r="I10" s="607"/>
      <c r="J10" s="689">
        <v>5</v>
      </c>
    </row>
    <row r="11" spans="1:10" hidden="1">
      <c r="A11" s="1971" t="s">
        <v>109</v>
      </c>
      <c r="B11" s="1972"/>
      <c r="C11" s="1972"/>
      <c r="D11" s="1972"/>
      <c r="E11" s="1972"/>
      <c r="F11" s="1972"/>
      <c r="G11" s="1972"/>
      <c r="H11" s="1972"/>
      <c r="I11" s="1972"/>
      <c r="J11" s="1973"/>
    </row>
    <row r="12" spans="1:10" hidden="1">
      <c r="A12" s="732" t="s">
        <v>110</v>
      </c>
      <c r="B12" s="733" t="s">
        <v>111</v>
      </c>
      <c r="C12" s="733"/>
      <c r="D12" s="733"/>
      <c r="E12" s="734"/>
      <c r="F12" s="734"/>
      <c r="G12" s="734"/>
      <c r="H12" s="735"/>
      <c r="I12" s="735"/>
      <c r="J12" s="813"/>
    </row>
    <row r="13" spans="1:10" hidden="1">
      <c r="A13" s="736" t="s">
        <v>113</v>
      </c>
      <c r="B13" s="737" t="s">
        <v>114</v>
      </c>
      <c r="C13" s="737"/>
      <c r="D13" s="737"/>
      <c r="E13" s="738"/>
      <c r="F13" s="738"/>
      <c r="G13" s="738"/>
      <c r="H13" s="739"/>
      <c r="I13" s="739"/>
      <c r="J13" s="814"/>
    </row>
    <row r="14" spans="1:10" ht="25.5" hidden="1">
      <c r="A14" s="736" t="s">
        <v>115</v>
      </c>
      <c r="B14" s="740" t="s">
        <v>565</v>
      </c>
      <c r="C14" s="740"/>
      <c r="D14" s="740"/>
      <c r="E14" s="738"/>
      <c r="F14" s="738"/>
      <c r="G14" s="738"/>
      <c r="H14" s="739"/>
      <c r="I14" s="739"/>
      <c r="J14" s="814"/>
    </row>
    <row r="15" spans="1:10" hidden="1">
      <c r="A15" s="736" t="s">
        <v>117</v>
      </c>
      <c r="B15" s="740" t="s">
        <v>118</v>
      </c>
      <c r="C15" s="741"/>
      <c r="D15" s="741"/>
      <c r="E15" s="742"/>
      <c r="F15" s="742"/>
      <c r="G15" s="742"/>
      <c r="H15" s="743"/>
      <c r="I15" s="743"/>
      <c r="J15" s="815"/>
    </row>
    <row r="16" spans="1:10" hidden="1">
      <c r="A16" s="2001" t="s">
        <v>119</v>
      </c>
      <c r="B16" s="2002"/>
      <c r="C16" s="662"/>
      <c r="D16" s="662"/>
      <c r="E16" s="744"/>
      <c r="F16" s="744"/>
      <c r="G16" s="744"/>
      <c r="H16" s="663"/>
      <c r="I16" s="663"/>
      <c r="J16" s="816"/>
    </row>
    <row r="17" spans="1:10" hidden="1">
      <c r="A17" s="1964" t="s">
        <v>120</v>
      </c>
      <c r="B17" s="1965"/>
      <c r="C17" s="1965"/>
      <c r="D17" s="1965"/>
      <c r="E17" s="1965"/>
      <c r="F17" s="1965"/>
      <c r="G17" s="1965"/>
      <c r="H17" s="1965"/>
      <c r="I17" s="1965"/>
      <c r="J17" s="1966"/>
    </row>
    <row r="18" spans="1:10" hidden="1">
      <c r="A18" s="745"/>
      <c r="B18" s="746"/>
      <c r="C18" s="746"/>
      <c r="D18" s="746"/>
      <c r="E18" s="747"/>
      <c r="F18" s="747"/>
      <c r="G18" s="747"/>
      <c r="H18" s="748"/>
      <c r="I18" s="748"/>
      <c r="J18" s="817"/>
    </row>
    <row r="19" spans="1:10" hidden="1">
      <c r="A19" s="2034" t="s">
        <v>122</v>
      </c>
      <c r="B19" s="2035"/>
      <c r="C19" s="749"/>
      <c r="D19" s="749"/>
      <c r="E19" s="664"/>
      <c r="F19" s="664"/>
      <c r="G19" s="664"/>
      <c r="H19" s="664"/>
      <c r="I19" s="664"/>
      <c r="J19" s="818"/>
    </row>
    <row r="20" spans="1:10" hidden="1">
      <c r="A20" s="2036" t="s">
        <v>123</v>
      </c>
      <c r="B20" s="2037"/>
      <c r="C20" s="2037"/>
      <c r="D20" s="2037"/>
      <c r="E20" s="2037"/>
      <c r="F20" s="2037"/>
      <c r="G20" s="2037"/>
      <c r="H20" s="2037"/>
      <c r="I20" s="2037"/>
      <c r="J20" s="2038"/>
    </row>
    <row r="21" spans="1:10" hidden="1">
      <c r="A21" s="732" t="s">
        <v>42</v>
      </c>
      <c r="B21" s="746" t="s">
        <v>124</v>
      </c>
      <c r="C21" s="746"/>
      <c r="D21" s="746"/>
      <c r="E21" s="751"/>
      <c r="F21" s="751"/>
      <c r="G21" s="752"/>
      <c r="H21" s="753"/>
      <c r="I21" s="753"/>
      <c r="J21" s="819"/>
    </row>
    <row r="22" spans="1:10" hidden="1">
      <c r="A22" s="2042"/>
      <c r="B22" s="746" t="s">
        <v>125</v>
      </c>
      <c r="C22" s="746"/>
      <c r="D22" s="746"/>
      <c r="E22" s="751"/>
      <c r="F22" s="751"/>
      <c r="G22" s="752"/>
      <c r="H22" s="753"/>
      <c r="I22" s="753"/>
      <c r="J22" s="819"/>
    </row>
    <row r="23" spans="1:10" hidden="1">
      <c r="A23" s="2043"/>
      <c r="B23" s="746" t="s">
        <v>126</v>
      </c>
      <c r="C23" s="746"/>
      <c r="D23" s="746"/>
      <c r="E23" s="751"/>
      <c r="F23" s="751"/>
      <c r="G23" s="752"/>
      <c r="H23" s="753"/>
      <c r="I23" s="753"/>
      <c r="J23" s="819"/>
    </row>
    <row r="24" spans="1:10" hidden="1">
      <c r="A24" s="2044"/>
      <c r="B24" s="746" t="s">
        <v>127</v>
      </c>
      <c r="C24" s="746"/>
      <c r="D24" s="746"/>
      <c r="E24" s="751"/>
      <c r="F24" s="751"/>
      <c r="G24" s="752"/>
      <c r="H24" s="753"/>
      <c r="I24" s="753"/>
      <c r="J24" s="819"/>
    </row>
    <row r="25" spans="1:10" ht="28.5" hidden="1" customHeight="1">
      <c r="A25" s="736" t="s">
        <v>46</v>
      </c>
      <c r="B25" s="740" t="s">
        <v>131</v>
      </c>
      <c r="C25" s="740"/>
      <c r="D25" s="740"/>
      <c r="E25" s="738"/>
      <c r="F25" s="738"/>
      <c r="G25" s="738"/>
      <c r="H25" s="739"/>
      <c r="I25" s="739"/>
      <c r="J25" s="814"/>
    </row>
    <row r="26" spans="1:10" hidden="1">
      <c r="A26" s="736" t="s">
        <v>132</v>
      </c>
      <c r="B26" s="740" t="s">
        <v>133</v>
      </c>
      <c r="C26" s="740"/>
      <c r="D26" s="740"/>
      <c r="E26" s="738"/>
      <c r="F26" s="738"/>
      <c r="G26" s="738"/>
      <c r="H26" s="739"/>
      <c r="I26" s="739"/>
      <c r="J26" s="814"/>
    </row>
    <row r="27" spans="1:10" ht="25.5" hidden="1">
      <c r="A27" s="736" t="s">
        <v>134</v>
      </c>
      <c r="B27" s="740" t="s">
        <v>135</v>
      </c>
      <c r="C27" s="740"/>
      <c r="D27" s="740"/>
      <c r="E27" s="738"/>
      <c r="F27" s="738"/>
      <c r="G27" s="738"/>
      <c r="H27" s="739"/>
      <c r="I27" s="739"/>
      <c r="J27" s="814"/>
    </row>
    <row r="28" spans="1:10" hidden="1">
      <c r="A28" s="736" t="s">
        <v>50</v>
      </c>
      <c r="B28" s="740" t="s">
        <v>136</v>
      </c>
      <c r="C28" s="740"/>
      <c r="D28" s="740"/>
      <c r="E28" s="755"/>
      <c r="F28" s="755"/>
      <c r="G28" s="755"/>
      <c r="H28" s="756"/>
      <c r="I28" s="756"/>
      <c r="J28" s="820"/>
    </row>
    <row r="29" spans="1:10" hidden="1">
      <c r="A29" s="736" t="s">
        <v>52</v>
      </c>
      <c r="B29" s="740" t="s">
        <v>767</v>
      </c>
      <c r="C29" s="757"/>
      <c r="D29" s="757"/>
      <c r="E29" s="758"/>
      <c r="F29" s="758"/>
      <c r="G29" s="738"/>
      <c r="H29" s="739"/>
      <c r="I29" s="739"/>
      <c r="J29" s="814"/>
    </row>
    <row r="30" spans="1:10" hidden="1">
      <c r="A30" s="736" t="s">
        <v>54</v>
      </c>
      <c r="B30" s="757" t="s">
        <v>148</v>
      </c>
      <c r="C30" s="757"/>
      <c r="D30" s="757"/>
      <c r="E30" s="758"/>
      <c r="F30" s="758"/>
      <c r="G30" s="738"/>
      <c r="H30" s="739"/>
      <c r="I30" s="739"/>
      <c r="J30" s="814"/>
    </row>
    <row r="31" spans="1:10" ht="25.5" hidden="1">
      <c r="A31" s="736"/>
      <c r="B31" s="740" t="s">
        <v>149</v>
      </c>
      <c r="C31" s="740"/>
      <c r="D31" s="740"/>
      <c r="E31" s="759"/>
      <c r="F31" s="759"/>
      <c r="G31" s="760"/>
      <c r="H31" s="761"/>
      <c r="I31" s="761"/>
      <c r="J31" s="821"/>
    </row>
    <row r="32" spans="1:10" hidden="1">
      <c r="A32" s="736"/>
      <c r="B32" s="740" t="s">
        <v>150</v>
      </c>
      <c r="C32" s="757"/>
      <c r="D32" s="757"/>
      <c r="E32" s="758"/>
      <c r="F32" s="758"/>
      <c r="G32" s="738"/>
      <c r="H32" s="739"/>
      <c r="I32" s="739"/>
      <c r="J32" s="814"/>
    </row>
    <row r="33" spans="1:12" hidden="1">
      <c r="A33" s="754" t="s">
        <v>151</v>
      </c>
      <c r="B33" s="757" t="s">
        <v>152</v>
      </c>
      <c r="C33" s="757"/>
      <c r="D33" s="757"/>
      <c r="E33" s="758"/>
      <c r="F33" s="758"/>
      <c r="G33" s="758"/>
      <c r="H33" s="762"/>
      <c r="I33" s="762"/>
      <c r="J33" s="822"/>
    </row>
    <row r="34" spans="1:12" hidden="1">
      <c r="A34" s="2001" t="s">
        <v>159</v>
      </c>
      <c r="B34" s="2002"/>
      <c r="C34" s="662"/>
      <c r="D34" s="662"/>
      <c r="E34" s="610">
        <f>SUM(E21:E33)</f>
        <v>0</v>
      </c>
      <c r="F34" s="610"/>
      <c r="G34" s="610">
        <f>SUM(G21:G33)</f>
        <v>0</v>
      </c>
      <c r="H34" s="611"/>
      <c r="I34" s="611"/>
      <c r="J34" s="690">
        <f>SUM(J21:J33)</f>
        <v>0</v>
      </c>
    </row>
    <row r="35" spans="1:12" hidden="1">
      <c r="A35" s="1964" t="s">
        <v>160</v>
      </c>
      <c r="B35" s="1965"/>
      <c r="C35" s="1965"/>
      <c r="D35" s="1965"/>
      <c r="E35" s="1965"/>
      <c r="F35" s="1965"/>
      <c r="G35" s="1965"/>
      <c r="H35" s="1965"/>
      <c r="I35" s="1965"/>
      <c r="J35" s="1966"/>
    </row>
    <row r="36" spans="1:12" hidden="1">
      <c r="A36" s="1971" t="s">
        <v>161</v>
      </c>
      <c r="B36" s="1972"/>
      <c r="C36" s="1972"/>
      <c r="D36" s="1972"/>
      <c r="E36" s="1972"/>
      <c r="F36" s="1972"/>
      <c r="G36" s="1972"/>
      <c r="H36" s="1972"/>
      <c r="I36" s="1972"/>
      <c r="J36" s="1973"/>
    </row>
    <row r="37" spans="1:12" hidden="1">
      <c r="A37" s="608" t="s">
        <v>162</v>
      </c>
      <c r="B37" s="1974" t="s">
        <v>548</v>
      </c>
      <c r="C37" s="1975"/>
      <c r="D37" s="1975"/>
      <c r="E37" s="1975"/>
      <c r="F37" s="1975"/>
      <c r="G37" s="1975"/>
      <c r="H37" s="1975"/>
      <c r="I37" s="1975"/>
      <c r="J37" s="1976"/>
    </row>
    <row r="38" spans="1:12" hidden="1">
      <c r="A38" s="2018" t="s">
        <v>557</v>
      </c>
      <c r="B38" s="2019"/>
      <c r="C38" s="2019"/>
      <c r="D38" s="2019"/>
      <c r="E38" s="2019"/>
      <c r="F38" s="2019"/>
      <c r="G38" s="2019"/>
      <c r="H38" s="2019"/>
      <c r="I38" s="2019"/>
      <c r="J38" s="2020"/>
    </row>
    <row r="39" spans="1:12" hidden="1">
      <c r="A39" s="1969" t="s">
        <v>163</v>
      </c>
      <c r="B39" s="1970"/>
      <c r="C39" s="609"/>
      <c r="D39" s="609"/>
      <c r="E39" s="610">
        <f>SUM(E38:E38)</f>
        <v>0</v>
      </c>
      <c r="F39" s="610"/>
      <c r="G39" s="610">
        <f>SUM(G38:G38)</f>
        <v>0</v>
      </c>
      <c r="H39" s="611"/>
      <c r="I39" s="611"/>
      <c r="J39" s="690">
        <f>SUM(J38:J38)</f>
        <v>0</v>
      </c>
    </row>
    <row r="40" spans="1:12" hidden="1">
      <c r="A40" s="1971" t="s">
        <v>164</v>
      </c>
      <c r="B40" s="1972"/>
      <c r="C40" s="1972"/>
      <c r="D40" s="1972"/>
      <c r="E40" s="1972"/>
      <c r="F40" s="1972"/>
      <c r="G40" s="1972"/>
      <c r="H40" s="1972"/>
      <c r="I40" s="1972"/>
      <c r="J40" s="1973"/>
    </row>
    <row r="41" spans="1:12" ht="12" hidden="1" customHeight="1">
      <c r="A41" s="1969" t="s">
        <v>166</v>
      </c>
      <c r="B41" s="1970"/>
      <c r="C41" s="609"/>
      <c r="D41" s="609"/>
      <c r="E41" s="613">
        <v>0</v>
      </c>
      <c r="F41" s="613"/>
      <c r="G41" s="613">
        <v>0</v>
      </c>
      <c r="H41" s="614"/>
      <c r="I41" s="614"/>
      <c r="J41" s="691">
        <v>0</v>
      </c>
    </row>
    <row r="42" spans="1:12" hidden="1">
      <c r="A42" s="1971" t="s">
        <v>167</v>
      </c>
      <c r="B42" s="1972"/>
      <c r="C42" s="1972"/>
      <c r="D42" s="1972"/>
      <c r="E42" s="1972"/>
      <c r="F42" s="1972"/>
      <c r="G42" s="1972"/>
      <c r="H42" s="1972"/>
      <c r="I42" s="1972"/>
      <c r="J42" s="1973"/>
    </row>
    <row r="43" spans="1:12" ht="12.75" hidden="1" customHeight="1">
      <c r="A43" s="1969" t="s">
        <v>169</v>
      </c>
      <c r="B43" s="1970"/>
      <c r="C43" s="609"/>
      <c r="D43" s="609"/>
      <c r="E43" s="613">
        <v>0</v>
      </c>
      <c r="F43" s="613"/>
      <c r="G43" s="613">
        <v>0</v>
      </c>
      <c r="H43" s="614"/>
      <c r="I43" s="614"/>
      <c r="J43" s="691">
        <v>0</v>
      </c>
    </row>
    <row r="44" spans="1:12" ht="12.75" customHeight="1">
      <c r="A44" s="1996" t="s">
        <v>721</v>
      </c>
      <c r="B44" s="1997"/>
      <c r="C44" s="1997"/>
      <c r="D44" s="1997"/>
      <c r="E44" s="1997"/>
      <c r="F44" s="1997"/>
      <c r="G44" s="1997"/>
      <c r="H44" s="1997"/>
      <c r="I44" s="1997"/>
      <c r="J44" s="1998"/>
    </row>
    <row r="45" spans="1:12" ht="12.75" hidden="1" customHeight="1">
      <c r="A45" s="616">
        <v>1</v>
      </c>
      <c r="B45" s="617"/>
      <c r="C45" s="618">
        <v>0</v>
      </c>
      <c r="D45" s="619">
        <v>0</v>
      </c>
      <c r="E45" s="617">
        <f>C45*D45</f>
        <v>0</v>
      </c>
      <c r="F45" s="617"/>
      <c r="G45" s="620">
        <f>J45-E45</f>
        <v>0</v>
      </c>
      <c r="H45" s="621"/>
      <c r="I45" s="621"/>
      <c r="J45" s="693">
        <f>E45*1.19</f>
        <v>0</v>
      </c>
      <c r="L45" s="823">
        <f>1000000/40</f>
        <v>25000</v>
      </c>
    </row>
    <row r="46" spans="1:12" ht="12.75" hidden="1" customHeight="1">
      <c r="A46" s="763">
        <v>2</v>
      </c>
      <c r="B46" s="759"/>
      <c r="C46" s="712">
        <v>0</v>
      </c>
      <c r="D46" s="764">
        <v>0</v>
      </c>
      <c r="E46" s="759">
        <f>C46*D46</f>
        <v>0</v>
      </c>
      <c r="F46" s="759"/>
      <c r="G46" s="765">
        <f>J46-E46</f>
        <v>0</v>
      </c>
      <c r="H46" s="766"/>
      <c r="I46" s="766"/>
      <c r="J46" s="824">
        <f>E46*1.19</f>
        <v>0</v>
      </c>
    </row>
    <row r="47" spans="1:12" ht="12.75" hidden="1" customHeight="1">
      <c r="A47" s="763">
        <v>3</v>
      </c>
      <c r="B47" s="759"/>
      <c r="C47" s="712">
        <v>0</v>
      </c>
      <c r="D47" s="764">
        <f>D45</f>
        <v>0</v>
      </c>
      <c r="E47" s="759">
        <f>C47*D47</f>
        <v>0</v>
      </c>
      <c r="F47" s="759"/>
      <c r="G47" s="765">
        <f>J47-E47</f>
        <v>0</v>
      </c>
      <c r="H47" s="766"/>
      <c r="I47" s="766"/>
      <c r="J47" s="824">
        <f>E47*1.19</f>
        <v>0</v>
      </c>
    </row>
    <row r="48" spans="1:12" ht="26.25" customHeight="1">
      <c r="A48" s="767">
        <v>1</v>
      </c>
      <c r="B48" s="768" t="s">
        <v>768</v>
      </c>
      <c r="C48" s="769">
        <v>1451</v>
      </c>
      <c r="D48" s="770">
        <v>1583</v>
      </c>
      <c r="E48" s="771">
        <f>C48*D48</f>
        <v>2296933</v>
      </c>
      <c r="F48" s="771">
        <f>E48/euro</f>
        <v>461620.84488926397</v>
      </c>
      <c r="G48" s="772">
        <f>E48*TVA</f>
        <v>436417.27</v>
      </c>
      <c r="H48" s="771">
        <f>G48/euro</f>
        <v>87707.960528960204</v>
      </c>
      <c r="I48" s="825">
        <f>E48+G48</f>
        <v>2733350.27</v>
      </c>
      <c r="J48" s="826">
        <f>I48/euro</f>
        <v>549328.80541822396</v>
      </c>
    </row>
    <row r="49" spans="1:13" ht="24.75" hidden="1" customHeight="1">
      <c r="A49" s="763">
        <v>5</v>
      </c>
      <c r="B49" s="759"/>
      <c r="C49" s="712">
        <v>0</v>
      </c>
      <c r="D49" s="764">
        <v>0</v>
      </c>
      <c r="E49" s="759">
        <f>C49*D49</f>
        <v>0</v>
      </c>
      <c r="F49" s="759"/>
      <c r="G49" s="765">
        <f>J49-E49</f>
        <v>0</v>
      </c>
      <c r="H49" s="766"/>
      <c r="I49" s="766"/>
      <c r="J49" s="824">
        <f>E49*1.19</f>
        <v>0</v>
      </c>
      <c r="K49" s="57">
        <f>ROUND(E49/euro,0)</f>
        <v>0</v>
      </c>
    </row>
    <row r="50" spans="1:13" ht="12.75" customHeight="1">
      <c r="A50" s="773"/>
      <c r="B50" s="774" t="s">
        <v>769</v>
      </c>
      <c r="C50" s="775"/>
      <c r="D50" s="776"/>
      <c r="E50" s="777" t="s">
        <v>9</v>
      </c>
      <c r="F50" s="777"/>
      <c r="G50" s="778" t="s">
        <v>9</v>
      </c>
      <c r="H50" s="779"/>
      <c r="I50" s="779"/>
      <c r="J50" s="827" t="s">
        <v>9</v>
      </c>
    </row>
    <row r="51" spans="1:13" ht="12.75" customHeight="1">
      <c r="A51" s="773">
        <v>2</v>
      </c>
      <c r="B51" s="780" t="s">
        <v>770</v>
      </c>
      <c r="C51" s="781">
        <v>6161</v>
      </c>
      <c r="D51" s="782">
        <f>'D7.C&amp;T'!D40</f>
        <v>1920.01693</v>
      </c>
      <c r="E51" s="777">
        <f>C51*D51</f>
        <v>11829224.30573</v>
      </c>
      <c r="F51" s="777">
        <f>E51/euro</f>
        <v>2377351.2411531801</v>
      </c>
      <c r="G51" s="778">
        <f>E51*TVA</f>
        <v>2247552.6180886999</v>
      </c>
      <c r="H51" s="777">
        <f>G51/euro</f>
        <v>451696.735819105</v>
      </c>
      <c r="I51" s="779">
        <f>E51+G51</f>
        <v>14076776.9238187</v>
      </c>
      <c r="J51" s="827">
        <f>I51/euro</f>
        <v>2829047.9769722898</v>
      </c>
      <c r="K51" s="57">
        <f>ROUND(SUM(E51:E54)/euro,0)</f>
        <v>2499429</v>
      </c>
      <c r="L51" s="598" t="s">
        <v>9</v>
      </c>
    </row>
    <row r="52" spans="1:13" ht="12.75" customHeight="1">
      <c r="A52" s="773">
        <v>3</v>
      </c>
      <c r="B52" s="780" t="s">
        <v>771</v>
      </c>
      <c r="C52" s="781">
        <v>267</v>
      </c>
      <c r="D52" s="782">
        <v>1583</v>
      </c>
      <c r="E52" s="777">
        <f>C52*D52</f>
        <v>422661</v>
      </c>
      <c r="F52" s="777">
        <f>E52/euro</f>
        <v>84943.325696370404</v>
      </c>
      <c r="G52" s="778">
        <f>E52*TVA</f>
        <v>80305.59</v>
      </c>
      <c r="H52" s="777">
        <f>G52/euro</f>
        <v>16139.2318823104</v>
      </c>
      <c r="I52" s="779">
        <f>E52+G52</f>
        <v>502966.59</v>
      </c>
      <c r="J52" s="827">
        <f>I52/euro</f>
        <v>101082.55757868099</v>
      </c>
      <c r="L52" s="598" t="s">
        <v>9</v>
      </c>
    </row>
    <row r="53" spans="1:13" ht="12.75" customHeight="1">
      <c r="A53" s="773">
        <v>4</v>
      </c>
      <c r="B53" s="780" t="s">
        <v>772</v>
      </c>
      <c r="C53" s="781">
        <v>369546</v>
      </c>
      <c r="D53" s="783">
        <v>0.5</v>
      </c>
      <c r="E53" s="777">
        <f>D53*C53</f>
        <v>184773</v>
      </c>
      <c r="F53" s="777">
        <f>E53/euro</f>
        <v>37134.330157964498</v>
      </c>
      <c r="G53" s="778">
        <f>E53*TVA</f>
        <v>35106.870000000003</v>
      </c>
      <c r="H53" s="777">
        <f>G53/euro</f>
        <v>7055.5227300132701</v>
      </c>
      <c r="I53" s="779">
        <f>E53+G53</f>
        <v>219879.87</v>
      </c>
      <c r="J53" s="827">
        <f>I53/euro</f>
        <v>44189.852887977802</v>
      </c>
    </row>
    <row r="54" spans="1:13" ht="12.75" hidden="1" customHeight="1">
      <c r="A54" s="773"/>
      <c r="B54" s="780"/>
      <c r="C54" s="781">
        <v>0</v>
      </c>
      <c r="D54" s="782">
        <f>D52</f>
        <v>1583</v>
      </c>
      <c r="E54" s="777">
        <f>D54*C54</f>
        <v>0</v>
      </c>
      <c r="F54" s="777"/>
      <c r="G54" s="778">
        <f>J54-E54</f>
        <v>0</v>
      </c>
      <c r="H54" s="779"/>
      <c r="I54" s="779"/>
      <c r="J54" s="827"/>
    </row>
    <row r="55" spans="1:13" ht="12.75" hidden="1" customHeight="1">
      <c r="A55" s="773"/>
      <c r="B55" s="780"/>
      <c r="C55" s="781"/>
      <c r="D55" s="782"/>
      <c r="E55" s="777"/>
      <c r="F55" s="777"/>
      <c r="G55" s="778"/>
      <c r="H55" s="779"/>
      <c r="I55" s="779"/>
      <c r="J55" s="827"/>
    </row>
    <row r="56" spans="1:13" ht="12.75" customHeight="1">
      <c r="A56" s="773"/>
      <c r="B56" s="784" t="s">
        <v>773</v>
      </c>
      <c r="C56" s="785" t="s">
        <v>9</v>
      </c>
      <c r="D56" s="786" t="s">
        <v>9</v>
      </c>
      <c r="E56" s="787" t="s">
        <v>9</v>
      </c>
      <c r="F56" s="787"/>
      <c r="G56" s="788" t="s">
        <v>9</v>
      </c>
      <c r="H56" s="789"/>
      <c r="I56" s="789"/>
      <c r="J56" s="827"/>
    </row>
    <row r="57" spans="1:13" ht="12.75" customHeight="1">
      <c r="A57" s="773">
        <v>5</v>
      </c>
      <c r="B57" s="780" t="s">
        <v>774</v>
      </c>
      <c r="C57" s="790">
        <v>3032</v>
      </c>
      <c r="D57" s="786">
        <f>0</f>
        <v>0</v>
      </c>
      <c r="E57" s="787">
        <f>C57*D57</f>
        <v>0</v>
      </c>
      <c r="F57" s="787"/>
      <c r="G57" s="788">
        <f>J57-E57</f>
        <v>0</v>
      </c>
      <c r="H57" s="789"/>
      <c r="I57" s="789"/>
      <c r="J57" s="827">
        <f>E57*1.19</f>
        <v>0</v>
      </c>
    </row>
    <row r="58" spans="1:13" ht="12.75" customHeight="1">
      <c r="A58" s="791"/>
      <c r="B58" s="792" t="s">
        <v>775</v>
      </c>
      <c r="C58" s="793"/>
      <c r="D58" s="794"/>
      <c r="E58" s="795"/>
      <c r="F58" s="795"/>
      <c r="G58" s="796"/>
      <c r="H58" s="797"/>
      <c r="I58" s="797"/>
      <c r="J58" s="828"/>
    </row>
    <row r="59" spans="1:13" ht="12.75" customHeight="1">
      <c r="A59" s="791">
        <v>6</v>
      </c>
      <c r="B59" s="798" t="s">
        <v>776</v>
      </c>
      <c r="C59" s="799">
        <v>876</v>
      </c>
      <c r="D59" s="800">
        <f>ROUND(340*euro,2)</f>
        <v>1691.77</v>
      </c>
      <c r="E59" s="801">
        <f>C59*D59</f>
        <v>1481990.52</v>
      </c>
      <c r="F59" s="801">
        <f>E59/euro</f>
        <v>297839.64789581602</v>
      </c>
      <c r="G59" s="802">
        <f>E59*TVA</f>
        <v>281578.19880000001</v>
      </c>
      <c r="H59" s="801">
        <f>G59/euro</f>
        <v>56589.533100205001</v>
      </c>
      <c r="I59" s="829">
        <f>E59+G59</f>
        <v>1763568.7187999999</v>
      </c>
      <c r="J59" s="830">
        <f>I59/euro</f>
        <v>354429.18099602102</v>
      </c>
      <c r="L59" s="831" t="s">
        <v>9</v>
      </c>
    </row>
    <row r="60" spans="1:13" ht="12.75" customHeight="1">
      <c r="A60" s="791">
        <v>7</v>
      </c>
      <c r="B60" s="798" t="s">
        <v>777</v>
      </c>
      <c r="C60" s="799">
        <v>32126</v>
      </c>
      <c r="D60" s="800">
        <f>ROUND(20*euro,2)</f>
        <v>99.52</v>
      </c>
      <c r="E60" s="801">
        <f>C60*D60+23</f>
        <v>3197202.52</v>
      </c>
      <c r="F60" s="801">
        <f>E60/euro</f>
        <v>642550.44816913898</v>
      </c>
      <c r="G60" s="802">
        <f>E60*TVA</f>
        <v>607468.47880000004</v>
      </c>
      <c r="H60" s="801">
        <f>G60/euro</f>
        <v>122084.585152136</v>
      </c>
      <c r="I60" s="829">
        <f>E60+G60</f>
        <v>3804670.9988000002</v>
      </c>
      <c r="J60" s="830">
        <f>I60/euro</f>
        <v>764635.03332127503</v>
      </c>
      <c r="L60" s="831" t="s">
        <v>9</v>
      </c>
    </row>
    <row r="61" spans="1:13" ht="12.75" customHeight="1">
      <c r="A61" s="803"/>
      <c r="B61" s="804"/>
      <c r="C61" s="805" t="s">
        <v>9</v>
      </c>
      <c r="D61" s="806"/>
      <c r="E61" s="623" t="s">
        <v>9</v>
      </c>
      <c r="F61" s="623"/>
      <c r="G61" s="626"/>
      <c r="H61" s="627"/>
      <c r="I61" s="627"/>
      <c r="J61" s="694"/>
      <c r="K61" s="57"/>
    </row>
    <row r="62" spans="1:13" ht="12.75" customHeight="1">
      <c r="A62" s="1969" t="s">
        <v>732</v>
      </c>
      <c r="B62" s="1970"/>
      <c r="C62" s="609">
        <f>11691+6161+2677+10121</f>
        <v>30650</v>
      </c>
      <c r="D62" s="609"/>
      <c r="E62" s="613">
        <f>SUM(E45:E61)</f>
        <v>19412784.345729999</v>
      </c>
      <c r="F62" s="613">
        <f>E62/euro</f>
        <v>3901439.8379617399</v>
      </c>
      <c r="G62" s="613">
        <f>SUM(G45:G61)</f>
        <v>3688429.0256886999</v>
      </c>
      <c r="H62" s="613">
        <f>G62/euro</f>
        <v>741273.56921273004</v>
      </c>
      <c r="I62" s="613">
        <f>SUM(I45:I61)</f>
        <v>23101213.3714187</v>
      </c>
      <c r="J62" s="691">
        <f>SUM(J45:J61)</f>
        <v>4642713.4071744699</v>
      </c>
      <c r="L62" s="57" t="s">
        <v>9</v>
      </c>
    </row>
    <row r="63" spans="1:13">
      <c r="A63" s="2009" t="s">
        <v>170</v>
      </c>
      <c r="B63" s="2010"/>
      <c r="C63" s="2010"/>
      <c r="D63" s="2010"/>
      <c r="E63" s="2010"/>
      <c r="F63" s="2010"/>
      <c r="G63" s="2010"/>
      <c r="H63" s="2010"/>
      <c r="I63" s="2010"/>
      <c r="J63" s="2011"/>
      <c r="L63" s="598" t="s">
        <v>9</v>
      </c>
    </row>
    <row r="64" spans="1:13" ht="25.5">
      <c r="A64" s="807">
        <v>1</v>
      </c>
      <c r="B64" s="808" t="s">
        <v>778</v>
      </c>
      <c r="C64" s="809">
        <v>21</v>
      </c>
      <c r="D64" s="810">
        <v>400000</v>
      </c>
      <c r="E64" s="811">
        <f>D64*C64</f>
        <v>8400000</v>
      </c>
      <c r="F64" s="811">
        <f t="shared" ref="F64:F72" si="0">E64/euro</f>
        <v>1688170.74641264</v>
      </c>
      <c r="G64" s="772">
        <f t="shared" ref="G64:G72" si="1">E64*TVA</f>
        <v>1596000</v>
      </c>
      <c r="H64" s="772">
        <f t="shared" ref="H64:H72" si="2">G64/euro</f>
        <v>320752.44181840098</v>
      </c>
      <c r="I64" s="772">
        <f t="shared" ref="I64:I72" si="3">E64+G64</f>
        <v>9996000</v>
      </c>
      <c r="J64" s="826">
        <f t="shared" ref="J64:J72" si="4">I64/euro</f>
        <v>2008923.18823104</v>
      </c>
      <c r="K64" s="57">
        <f>ROUND(E64/euro,0)</f>
        <v>1688171</v>
      </c>
      <c r="M64" s="832">
        <f>E59+E60</f>
        <v>4679193.04</v>
      </c>
    </row>
    <row r="65" spans="1:13" ht="25.5">
      <c r="A65" s="807">
        <v>2</v>
      </c>
      <c r="B65" s="808" t="s">
        <v>779</v>
      </c>
      <c r="C65" s="809">
        <v>2</v>
      </c>
      <c r="D65" s="810">
        <f>D64</f>
        <v>400000</v>
      </c>
      <c r="E65" s="811">
        <f>D65*C65</f>
        <v>800000</v>
      </c>
      <c r="F65" s="811">
        <f t="shared" si="0"/>
        <v>160778.16632501301</v>
      </c>
      <c r="G65" s="772">
        <f t="shared" si="1"/>
        <v>152000</v>
      </c>
      <c r="H65" s="772">
        <f t="shared" si="2"/>
        <v>30547.8516017525</v>
      </c>
      <c r="I65" s="772">
        <f t="shared" si="3"/>
        <v>952000</v>
      </c>
      <c r="J65" s="826">
        <f t="shared" si="4"/>
        <v>191326.01792676601</v>
      </c>
      <c r="K65" s="57"/>
      <c r="M65" s="832">
        <f>E66+E67</f>
        <v>10717448</v>
      </c>
    </row>
    <row r="66" spans="1:13">
      <c r="A66" s="833">
        <v>3</v>
      </c>
      <c r="B66" s="834" t="s">
        <v>780</v>
      </c>
      <c r="C66" s="835">
        <v>4</v>
      </c>
      <c r="D66" s="835">
        <f>ROUND(140000*euro,2)</f>
        <v>696612</v>
      </c>
      <c r="E66" s="801">
        <f>C66*D66</f>
        <v>2786448</v>
      </c>
      <c r="F66" s="801">
        <f t="shared" si="0"/>
        <v>560000</v>
      </c>
      <c r="G66" s="802">
        <f t="shared" si="1"/>
        <v>529425.12</v>
      </c>
      <c r="H66" s="829">
        <f t="shared" si="2"/>
        <v>106400</v>
      </c>
      <c r="I66" s="829">
        <f t="shared" si="3"/>
        <v>3315873.12</v>
      </c>
      <c r="J66" s="830">
        <f t="shared" si="4"/>
        <v>666400</v>
      </c>
      <c r="L66" s="832" t="s">
        <v>9</v>
      </c>
      <c r="M66" s="832">
        <f>M64+M65</f>
        <v>15396641.039999999</v>
      </c>
    </row>
    <row r="67" spans="1:13">
      <c r="A67" s="833">
        <v>4</v>
      </c>
      <c r="B67" s="834" t="s">
        <v>781</v>
      </c>
      <c r="C67" s="835">
        <v>11</v>
      </c>
      <c r="D67" s="835">
        <v>721000</v>
      </c>
      <c r="E67" s="801">
        <f>C67*D67</f>
        <v>7931000</v>
      </c>
      <c r="F67" s="801">
        <f t="shared" si="0"/>
        <v>1593914.5464045999</v>
      </c>
      <c r="G67" s="802">
        <f t="shared" si="1"/>
        <v>1506890</v>
      </c>
      <c r="H67" s="829">
        <f t="shared" si="2"/>
        <v>302843.76381687401</v>
      </c>
      <c r="I67" s="829">
        <f t="shared" si="3"/>
        <v>9437890</v>
      </c>
      <c r="J67" s="830">
        <f t="shared" si="4"/>
        <v>1896758.31022147</v>
      </c>
      <c r="L67" s="832"/>
      <c r="M67" s="57">
        <f>M66/euro</f>
        <v>3094304.64246955</v>
      </c>
    </row>
    <row r="68" spans="1:13" ht="25.5">
      <c r="A68" s="836">
        <v>7</v>
      </c>
      <c r="B68" s="837" t="s">
        <v>782</v>
      </c>
      <c r="C68" s="775">
        <v>5</v>
      </c>
      <c r="D68" s="775">
        <v>721000</v>
      </c>
      <c r="E68" s="777">
        <f>D68*C68</f>
        <v>3605000</v>
      </c>
      <c r="F68" s="777">
        <f t="shared" si="0"/>
        <v>724506.61200208997</v>
      </c>
      <c r="G68" s="778">
        <f t="shared" si="1"/>
        <v>684950</v>
      </c>
      <c r="H68" s="778">
        <f t="shared" si="2"/>
        <v>137656.25628039701</v>
      </c>
      <c r="I68" s="778">
        <f t="shared" si="3"/>
        <v>4289950</v>
      </c>
      <c r="J68" s="827">
        <f t="shared" si="4"/>
        <v>862162.86828248703</v>
      </c>
      <c r="K68" s="57">
        <f>ROUND((E68+E69)/euro,0)</f>
        <v>1159211</v>
      </c>
      <c r="L68" s="269" t="s">
        <v>9</v>
      </c>
    </row>
    <row r="69" spans="1:13" ht="25.5">
      <c r="A69" s="836">
        <v>8</v>
      </c>
      <c r="B69" s="837" t="s">
        <v>783</v>
      </c>
      <c r="C69" s="775">
        <v>3</v>
      </c>
      <c r="D69" s="775">
        <v>721000</v>
      </c>
      <c r="E69" s="777">
        <f>D69*C69</f>
        <v>2163000</v>
      </c>
      <c r="F69" s="777">
        <f t="shared" si="0"/>
        <v>434703.96720125398</v>
      </c>
      <c r="G69" s="778">
        <f t="shared" si="1"/>
        <v>410970</v>
      </c>
      <c r="H69" s="778">
        <f t="shared" si="2"/>
        <v>82593.753768238297</v>
      </c>
      <c r="I69" s="778">
        <f t="shared" si="3"/>
        <v>2573970</v>
      </c>
      <c r="J69" s="827">
        <f t="shared" si="4"/>
        <v>517297.72096949199</v>
      </c>
      <c r="L69" s="269"/>
    </row>
    <row r="70" spans="1:13">
      <c r="A70" s="838">
        <v>9</v>
      </c>
      <c r="B70" s="839" t="s">
        <v>784</v>
      </c>
      <c r="C70" s="840">
        <v>3</v>
      </c>
      <c r="D70" s="840">
        <v>1013829</v>
      </c>
      <c r="E70" s="841">
        <f>D70*C70</f>
        <v>3041487</v>
      </c>
      <c r="F70" s="841">
        <f t="shared" si="0"/>
        <v>611255.87845170603</v>
      </c>
      <c r="G70" s="842">
        <f t="shared" si="1"/>
        <v>577882.53</v>
      </c>
      <c r="H70" s="842">
        <f t="shared" si="2"/>
        <v>116138.616905824</v>
      </c>
      <c r="I70" s="842">
        <f t="shared" si="3"/>
        <v>3619369.53</v>
      </c>
      <c r="J70" s="872">
        <f t="shared" si="4"/>
        <v>727394.49535753101</v>
      </c>
      <c r="K70" s="598">
        <f>E70/euro</f>
        <v>611255.87845170603</v>
      </c>
      <c r="L70" s="269"/>
      <c r="M70" s="832"/>
    </row>
    <row r="71" spans="1:13">
      <c r="A71" s="838">
        <v>10</v>
      </c>
      <c r="B71" s="839" t="s">
        <v>785</v>
      </c>
      <c r="C71" s="840">
        <v>3</v>
      </c>
      <c r="D71" s="840">
        <v>917429</v>
      </c>
      <c r="E71" s="841">
        <f>D71*C71</f>
        <v>2752287</v>
      </c>
      <c r="F71" s="841">
        <f t="shared" si="0"/>
        <v>553134.571325214</v>
      </c>
      <c r="G71" s="842">
        <f t="shared" si="1"/>
        <v>522934.53</v>
      </c>
      <c r="H71" s="842">
        <f t="shared" si="2"/>
        <v>105095.568551791</v>
      </c>
      <c r="I71" s="842">
        <f t="shared" si="3"/>
        <v>3275221.53</v>
      </c>
      <c r="J71" s="872">
        <f t="shared" si="4"/>
        <v>658230.13987700501</v>
      </c>
      <c r="K71" s="598">
        <f>E71/euro</f>
        <v>553134.571325214</v>
      </c>
      <c r="L71" s="598" t="s">
        <v>9</v>
      </c>
    </row>
    <row r="72" spans="1:13" ht="14.25" customHeight="1">
      <c r="A72" s="2003" t="s">
        <v>174</v>
      </c>
      <c r="B72" s="2039"/>
      <c r="C72" s="844" t="s">
        <v>9</v>
      </c>
      <c r="D72" s="843"/>
      <c r="E72" s="845">
        <f>SUM(E64:E71)</f>
        <v>31479222</v>
      </c>
      <c r="F72" s="845">
        <f t="shared" si="0"/>
        <v>6326464.4881225098</v>
      </c>
      <c r="G72" s="845">
        <f t="shared" si="1"/>
        <v>5981052.1799999997</v>
      </c>
      <c r="H72" s="845">
        <f t="shared" si="2"/>
        <v>1202028.25274328</v>
      </c>
      <c r="I72" s="845">
        <f t="shared" si="3"/>
        <v>37460274.18</v>
      </c>
      <c r="J72" s="873">
        <f t="shared" si="4"/>
        <v>7528492.7408657903</v>
      </c>
      <c r="L72" s="598" t="s">
        <v>9</v>
      </c>
    </row>
    <row r="73" spans="1:13" ht="14.25" customHeight="1">
      <c r="A73" s="1996" t="s">
        <v>182</v>
      </c>
      <c r="B73" s="1997"/>
      <c r="C73" s="1997"/>
      <c r="D73" s="1997"/>
      <c r="E73" s="1997"/>
      <c r="F73" s="1997"/>
      <c r="G73" s="1997"/>
      <c r="H73" s="1997"/>
      <c r="I73" s="1997"/>
      <c r="J73" s="1998"/>
    </row>
    <row r="74" spans="1:13" ht="14.25" customHeight="1">
      <c r="A74" s="622">
        <v>1</v>
      </c>
      <c r="B74" s="654"/>
      <c r="C74" s="654"/>
      <c r="D74" s="654"/>
      <c r="E74" s="655">
        <v>0</v>
      </c>
      <c r="F74" s="655" t="s">
        <v>9</v>
      </c>
      <c r="G74" s="656">
        <v>0</v>
      </c>
      <c r="H74" s="657"/>
      <c r="I74" s="657"/>
      <c r="J74" s="703">
        <v>0</v>
      </c>
    </row>
    <row r="75" spans="1:13" ht="14.25" customHeight="1">
      <c r="A75" s="1999" t="s">
        <v>185</v>
      </c>
      <c r="B75" s="2000"/>
      <c r="C75" s="658"/>
      <c r="D75" s="658"/>
      <c r="E75" s="659">
        <v>0</v>
      </c>
      <c r="F75" s="659"/>
      <c r="G75" s="660">
        <v>0</v>
      </c>
      <c r="H75" s="661"/>
      <c r="I75" s="661"/>
      <c r="J75" s="704">
        <v>0</v>
      </c>
    </row>
    <row r="76" spans="1:13" ht="12.75" customHeight="1">
      <c r="A76" s="2001" t="s">
        <v>186</v>
      </c>
      <c r="B76" s="2002"/>
      <c r="C76" s="662"/>
      <c r="D76" s="662"/>
      <c r="E76" s="846">
        <f t="shared" ref="E76:J76" si="5">SUM(E39,E41,E43,E62,E72,E75)</f>
        <v>50892006.345729999</v>
      </c>
      <c r="F76" s="846">
        <f t="shared" si="5"/>
        <v>10227904.3260842</v>
      </c>
      <c r="G76" s="613">
        <f t="shared" si="5"/>
        <v>9669481.2056887001</v>
      </c>
      <c r="H76" s="846">
        <f t="shared" si="5"/>
        <v>1943301.8219560101</v>
      </c>
      <c r="I76" s="846">
        <f t="shared" si="5"/>
        <v>60561487.551418699</v>
      </c>
      <c r="J76" s="874">
        <f t="shared" si="5"/>
        <v>12171206.1480403</v>
      </c>
      <c r="M76" s="832">
        <f>E59+E60</f>
        <v>4679193.04</v>
      </c>
    </row>
    <row r="77" spans="1:13" ht="12.75" hidden="1" customHeight="1">
      <c r="A77" s="1964" t="s">
        <v>187</v>
      </c>
      <c r="B77" s="1965"/>
      <c r="C77" s="1965"/>
      <c r="D77" s="1965"/>
      <c r="E77" s="1965"/>
      <c r="F77" s="1965"/>
      <c r="G77" s="1965"/>
      <c r="H77" s="1965"/>
      <c r="I77" s="1965"/>
      <c r="J77" s="1966"/>
    </row>
    <row r="78" spans="1:13" ht="12.75" hidden="1" customHeight="1">
      <c r="A78" s="2045" t="s">
        <v>57</v>
      </c>
      <c r="B78" s="848" t="s">
        <v>188</v>
      </c>
      <c r="C78" s="848"/>
      <c r="D78" s="848"/>
      <c r="E78" s="849"/>
      <c r="F78" s="849"/>
      <c r="G78" s="849"/>
      <c r="H78" s="850"/>
      <c r="I78" s="850"/>
      <c r="J78" s="875"/>
    </row>
    <row r="79" spans="1:13" ht="25.5" hidden="1">
      <c r="A79" s="2046"/>
      <c r="B79" s="851" t="s">
        <v>786</v>
      </c>
      <c r="C79" s="851"/>
      <c r="D79" s="851"/>
      <c r="E79" s="759">
        <v>0</v>
      </c>
      <c r="F79" s="759"/>
      <c r="G79" s="759">
        <f>J79-E79</f>
        <v>0</v>
      </c>
      <c r="H79" s="852"/>
      <c r="I79" s="852"/>
      <c r="J79" s="824">
        <f>E79*1.19</f>
        <v>0</v>
      </c>
    </row>
    <row r="80" spans="1:13" ht="12.75" hidden="1" customHeight="1">
      <c r="A80" s="2046"/>
      <c r="B80" s="851" t="s">
        <v>190</v>
      </c>
      <c r="C80" s="851"/>
      <c r="D80" s="851"/>
      <c r="E80" s="759">
        <v>0</v>
      </c>
      <c r="F80" s="759"/>
      <c r="G80" s="759">
        <f>J80-E80</f>
        <v>0</v>
      </c>
      <c r="H80" s="852"/>
      <c r="I80" s="852"/>
      <c r="J80" s="824">
        <f>E80*1.19</f>
        <v>0</v>
      </c>
    </row>
    <row r="81" spans="1:12" ht="12.75" hidden="1" customHeight="1">
      <c r="A81" s="853" t="s">
        <v>62</v>
      </c>
      <c r="B81" s="851" t="s">
        <v>191</v>
      </c>
      <c r="C81" s="851"/>
      <c r="D81" s="851"/>
      <c r="E81" s="854"/>
      <c r="F81" s="854"/>
      <c r="G81" s="854"/>
      <c r="H81" s="855"/>
      <c r="I81" s="855"/>
      <c r="J81" s="824"/>
    </row>
    <row r="82" spans="1:12" ht="12.75" hidden="1" customHeight="1">
      <c r="A82" s="853" t="s">
        <v>64</v>
      </c>
      <c r="B82" s="856" t="s">
        <v>197</v>
      </c>
      <c r="C82" s="856"/>
      <c r="D82" s="856"/>
      <c r="E82" s="765">
        <v>0</v>
      </c>
      <c r="F82" s="765"/>
      <c r="G82" s="857">
        <f>J82-E82</f>
        <v>0</v>
      </c>
      <c r="H82" s="858"/>
      <c r="I82" s="858"/>
      <c r="J82" s="824">
        <f>E82*1.19</f>
        <v>0</v>
      </c>
    </row>
    <row r="83" spans="1:12" ht="12.75" hidden="1" customHeight="1">
      <c r="A83" s="859" t="s">
        <v>198</v>
      </c>
      <c r="B83" s="750" t="s">
        <v>199</v>
      </c>
      <c r="C83" s="750"/>
      <c r="D83" s="750"/>
      <c r="E83" s="860"/>
      <c r="F83" s="861"/>
      <c r="G83" s="760"/>
      <c r="H83" s="761"/>
      <c r="I83" s="761"/>
      <c r="J83" s="824"/>
    </row>
    <row r="84" spans="1:12" ht="12.75" hidden="1" customHeight="1">
      <c r="A84" s="2034" t="s">
        <v>200</v>
      </c>
      <c r="B84" s="2035"/>
      <c r="C84" s="749"/>
      <c r="D84" s="749"/>
      <c r="E84" s="610">
        <f>SUM(E79:E83)</f>
        <v>0</v>
      </c>
      <c r="F84" s="610"/>
      <c r="G84" s="610">
        <f>SUM(G79:G83)</f>
        <v>0</v>
      </c>
      <c r="H84" s="611"/>
      <c r="I84" s="611"/>
      <c r="J84" s="690">
        <f>SUM(J79:J83)</f>
        <v>0</v>
      </c>
    </row>
    <row r="85" spans="1:12" ht="12.75" hidden="1" customHeight="1">
      <c r="A85" s="1964" t="s">
        <v>787</v>
      </c>
      <c r="B85" s="1965"/>
      <c r="C85" s="1965"/>
      <c r="D85" s="1965"/>
      <c r="E85" s="1965"/>
      <c r="F85" s="1965"/>
      <c r="G85" s="1965"/>
      <c r="H85" s="1965"/>
      <c r="I85" s="1965"/>
      <c r="J85" s="1966"/>
    </row>
    <row r="86" spans="1:12" ht="12.75" hidden="1" customHeight="1">
      <c r="A86" s="862" t="s">
        <v>69</v>
      </c>
      <c r="B86" s="848" t="s">
        <v>202</v>
      </c>
      <c r="C86" s="848"/>
      <c r="D86" s="848"/>
      <c r="E86" s="863">
        <v>0</v>
      </c>
      <c r="F86" s="863"/>
      <c r="G86" s="863">
        <f>J86-E86</f>
        <v>0</v>
      </c>
      <c r="H86" s="864"/>
      <c r="I86" s="864"/>
      <c r="J86" s="876">
        <f>E86*1.19</f>
        <v>0</v>
      </c>
    </row>
    <row r="87" spans="1:12" ht="12.75" hidden="1" customHeight="1">
      <c r="A87" s="865" t="s">
        <v>72</v>
      </c>
      <c r="B87" s="866" t="s">
        <v>203</v>
      </c>
      <c r="C87" s="866"/>
      <c r="D87" s="866"/>
      <c r="E87" s="867">
        <v>0</v>
      </c>
      <c r="F87" s="867"/>
      <c r="G87" s="867">
        <f>J87-E87</f>
        <v>0</v>
      </c>
      <c r="H87" s="868"/>
      <c r="I87" s="868"/>
      <c r="J87" s="877">
        <f>E87*1.19</f>
        <v>0</v>
      </c>
    </row>
    <row r="88" spans="1:12" ht="12.75" hidden="1" customHeight="1">
      <c r="A88" s="2034" t="s">
        <v>204</v>
      </c>
      <c r="B88" s="2035"/>
      <c r="C88" s="749"/>
      <c r="D88" s="749"/>
      <c r="E88" s="869">
        <f>E86+E87</f>
        <v>0</v>
      </c>
      <c r="F88" s="869"/>
      <c r="G88" s="613">
        <f>G86+G87</f>
        <v>0</v>
      </c>
      <c r="H88" s="614"/>
      <c r="I88" s="614"/>
      <c r="J88" s="691">
        <f>J86+J87</f>
        <v>0</v>
      </c>
    </row>
    <row r="89" spans="1:12" ht="16.5" customHeight="1">
      <c r="A89" s="1982" t="s">
        <v>212</v>
      </c>
      <c r="B89" s="1983"/>
      <c r="C89" s="664"/>
      <c r="D89" s="664"/>
      <c r="E89" s="870">
        <f t="shared" ref="E89:J89" si="6">E34+E76+E84+E88</f>
        <v>50892006.345729999</v>
      </c>
      <c r="F89" s="870">
        <f t="shared" si="6"/>
        <v>10227904.3260842</v>
      </c>
      <c r="G89" s="870">
        <f t="shared" si="6"/>
        <v>9669481.2056887001</v>
      </c>
      <c r="H89" s="870">
        <f t="shared" si="6"/>
        <v>1943301.8219560101</v>
      </c>
      <c r="I89" s="870">
        <f t="shared" si="6"/>
        <v>60561487.551418699</v>
      </c>
      <c r="J89" s="870">
        <f t="shared" si="6"/>
        <v>12171206.1480403</v>
      </c>
    </row>
    <row r="90" spans="1:12">
      <c r="A90" s="1984" t="s">
        <v>243</v>
      </c>
      <c r="B90" s="1985"/>
      <c r="C90" s="666"/>
      <c r="D90" s="666"/>
      <c r="E90" s="667">
        <f>E39+E41+E79+E19</f>
        <v>0</v>
      </c>
      <c r="F90" s="667"/>
      <c r="G90" s="667">
        <f>G39+G41+G79</f>
        <v>0</v>
      </c>
      <c r="H90" s="667"/>
      <c r="I90" s="667"/>
      <c r="J90" s="667">
        <f>J39+J41+J79</f>
        <v>0</v>
      </c>
      <c r="K90" s="832">
        <f>E89-E53</f>
        <v>50707233.345729999</v>
      </c>
    </row>
    <row r="91" spans="1:12">
      <c r="A91" s="598"/>
    </row>
    <row r="92" spans="1:12">
      <c r="A92" s="598"/>
      <c r="B92" s="596" t="s">
        <v>9</v>
      </c>
      <c r="C92" s="596"/>
      <c r="D92" s="596"/>
      <c r="E92" s="598" t="s">
        <v>9</v>
      </c>
    </row>
    <row r="93" spans="1:12">
      <c r="A93" s="598"/>
    </row>
    <row r="94" spans="1:12">
      <c r="A94" s="669"/>
      <c r="B94" s="402" t="s">
        <v>788</v>
      </c>
      <c r="C94" s="402"/>
      <c r="D94" s="402"/>
      <c r="E94" s="404" t="s">
        <v>789</v>
      </c>
      <c r="F94" s="404"/>
      <c r="L94" s="57" t="s">
        <v>9</v>
      </c>
    </row>
    <row r="95" spans="1:12">
      <c r="A95" s="671"/>
      <c r="B95" s="406" t="s">
        <v>222</v>
      </c>
      <c r="C95" s="406"/>
      <c r="D95" s="406"/>
      <c r="E95" s="404"/>
      <c r="F95" s="404"/>
      <c r="G95" s="672" t="s">
        <v>223</v>
      </c>
      <c r="H95" s="672"/>
      <c r="I95" s="672"/>
      <c r="J95" s="672"/>
    </row>
    <row r="96" spans="1:12">
      <c r="A96" s="671"/>
      <c r="B96" s="437">
        <v>43346</v>
      </c>
      <c r="C96" s="437"/>
      <c r="D96" s="437"/>
      <c r="E96" s="404"/>
      <c r="F96" s="404"/>
      <c r="G96" s="2023" t="s">
        <v>225</v>
      </c>
      <c r="H96" s="2023"/>
      <c r="I96" s="2023"/>
      <c r="J96" s="2023"/>
    </row>
    <row r="97" spans="1:10">
      <c r="A97" s="598"/>
      <c r="B97" s="406" t="s">
        <v>226</v>
      </c>
      <c r="C97" s="406"/>
      <c r="D97" s="406"/>
      <c r="E97" s="674"/>
      <c r="F97" s="674"/>
      <c r="G97" s="675"/>
      <c r="H97" s="675"/>
      <c r="I97" s="675"/>
      <c r="J97" s="672"/>
    </row>
    <row r="98" spans="1:10">
      <c r="A98" s="598"/>
      <c r="B98" s="437" t="s">
        <v>790</v>
      </c>
      <c r="C98" s="437"/>
      <c r="D98" s="437"/>
      <c r="G98" s="596" t="s">
        <v>637</v>
      </c>
      <c r="H98" s="596"/>
      <c r="I98" s="596"/>
      <c r="J98" s="707"/>
    </row>
    <row r="99" spans="1:10">
      <c r="A99" s="669"/>
      <c r="B99" s="671"/>
      <c r="C99" s="671"/>
      <c r="D99" s="671"/>
      <c r="E99" s="672"/>
      <c r="F99" s="672"/>
      <c r="J99" s="708" t="s">
        <v>229</v>
      </c>
    </row>
    <row r="100" spans="1:10" ht="15.75">
      <c r="A100" s="676"/>
      <c r="B100" s="676"/>
      <c r="C100" s="676"/>
      <c r="D100" s="676"/>
    </row>
    <row r="101" spans="1:10">
      <c r="B101" s="598" t="s">
        <v>9</v>
      </c>
    </row>
    <row r="102" spans="1:10" ht="15.75">
      <c r="A102" s="686"/>
      <c r="B102" s="686" t="s">
        <v>791</v>
      </c>
      <c r="C102" s="871"/>
      <c r="D102" s="871"/>
      <c r="E102" s="686"/>
      <c r="F102" s="686"/>
    </row>
    <row r="103" spans="1:10" ht="15" customHeight="1">
      <c r="A103" s="679"/>
      <c r="B103" s="680" t="s">
        <v>792</v>
      </c>
      <c r="C103" s="680"/>
      <c r="D103" s="680"/>
      <c r="E103" s="680"/>
      <c r="F103" s="680"/>
    </row>
    <row r="104" spans="1:10">
      <c r="B104" s="1656" t="s">
        <v>793</v>
      </c>
    </row>
    <row r="105" spans="1:10">
      <c r="B105" s="1656" t="s">
        <v>794</v>
      </c>
    </row>
    <row r="106" spans="1:10">
      <c r="B106" s="1656" t="s">
        <v>795</v>
      </c>
    </row>
  </sheetData>
  <mergeCells count="40">
    <mergeCell ref="B1:J3"/>
    <mergeCell ref="A88:B88"/>
    <mergeCell ref="A89:B89"/>
    <mergeCell ref="A90:B90"/>
    <mergeCell ref="G96:J96"/>
    <mergeCell ref="A8:A9"/>
    <mergeCell ref="A22:A24"/>
    <mergeCell ref="A78:A80"/>
    <mergeCell ref="B8:B9"/>
    <mergeCell ref="A75:B75"/>
    <mergeCell ref="A76:B76"/>
    <mergeCell ref="A77:J77"/>
    <mergeCell ref="A84:B84"/>
    <mergeCell ref="A85:J85"/>
    <mergeCell ref="A44:J44"/>
    <mergeCell ref="A62:B62"/>
    <mergeCell ref="A63:J63"/>
    <mergeCell ref="A72:B72"/>
    <mergeCell ref="A73:J73"/>
    <mergeCell ref="A39:B39"/>
    <mergeCell ref="A40:J40"/>
    <mergeCell ref="A41:B41"/>
    <mergeCell ref="A42:J42"/>
    <mergeCell ref="A43:B43"/>
    <mergeCell ref="A34:B34"/>
    <mergeCell ref="A35:J35"/>
    <mergeCell ref="A36:J36"/>
    <mergeCell ref="B37:J37"/>
    <mergeCell ref="A38:J38"/>
    <mergeCell ref="A11:J11"/>
    <mergeCell ref="A16:B16"/>
    <mergeCell ref="A17:J17"/>
    <mergeCell ref="A19:B19"/>
    <mergeCell ref="A20:J20"/>
    <mergeCell ref="A5:J5"/>
    <mergeCell ref="A6:J6"/>
    <mergeCell ref="A7:J7"/>
    <mergeCell ref="E8:F8"/>
    <mergeCell ref="G8:H8"/>
    <mergeCell ref="I8:J8"/>
  </mergeCells>
  <pageMargins left="0.7" right="0.7" top="0.75" bottom="0.75" header="0.3" footer="0.3"/>
  <pageSetup paperSize="9" scale="43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C2:F31"/>
  <sheetViews>
    <sheetView topLeftCell="A27" workbookViewId="0">
      <selection activeCell="C4" sqref="C4:F31"/>
    </sheetView>
  </sheetViews>
  <sheetFormatPr defaultColWidth="9" defaultRowHeight="12.75"/>
  <cols>
    <col min="4" max="4" width="26.140625" customWidth="1"/>
  </cols>
  <sheetData>
    <row r="2" spans="3:6">
      <c r="C2" t="s">
        <v>796</v>
      </c>
    </row>
    <row r="4" spans="3:6">
      <c r="E4" t="s">
        <v>797</v>
      </c>
      <c r="F4" t="s">
        <v>798</v>
      </c>
    </row>
    <row r="5" spans="3:6" ht="25.5">
      <c r="C5" s="628">
        <v>1</v>
      </c>
      <c r="D5" s="709" t="s">
        <v>799</v>
      </c>
      <c r="E5" s="630">
        <v>1</v>
      </c>
      <c r="F5" s="710">
        <v>1</v>
      </c>
    </row>
    <row r="6" spans="3:6" ht="25.5">
      <c r="C6" s="711">
        <v>2</v>
      </c>
      <c r="D6" s="709" t="s">
        <v>713</v>
      </c>
      <c r="E6" s="712">
        <v>11</v>
      </c>
      <c r="F6" s="713">
        <v>12</v>
      </c>
    </row>
    <row r="7" spans="3:6" ht="25.5">
      <c r="C7" s="711">
        <v>3</v>
      </c>
      <c r="D7" s="709" t="s">
        <v>714</v>
      </c>
      <c r="E7" s="712">
        <v>3</v>
      </c>
      <c r="F7" s="713">
        <v>2</v>
      </c>
    </row>
    <row r="8" spans="3:6">
      <c r="C8" s="711"/>
      <c r="D8" s="714"/>
      <c r="E8" s="712"/>
    </row>
    <row r="9" spans="3:6" ht="25.5">
      <c r="C9" s="711">
        <v>4</v>
      </c>
      <c r="D9" s="714" t="s">
        <v>800</v>
      </c>
      <c r="E9" s="712">
        <v>5</v>
      </c>
      <c r="F9" s="713">
        <v>5</v>
      </c>
    </row>
    <row r="10" spans="3:6">
      <c r="C10" s="711"/>
      <c r="D10" s="715"/>
      <c r="E10" s="712"/>
    </row>
    <row r="11" spans="3:6" ht="25.5">
      <c r="C11" s="711">
        <v>5</v>
      </c>
      <c r="D11" s="715" t="s">
        <v>716</v>
      </c>
      <c r="E11" s="712">
        <v>1</v>
      </c>
      <c r="F11" s="713">
        <v>1</v>
      </c>
    </row>
    <row r="12" spans="3:6" ht="25.5">
      <c r="C12" s="711">
        <v>6</v>
      </c>
      <c r="D12" s="715" t="s">
        <v>717</v>
      </c>
      <c r="E12" s="712">
        <v>9</v>
      </c>
      <c r="F12" s="713">
        <v>8</v>
      </c>
    </row>
    <row r="13" spans="3:6" ht="25.5">
      <c r="C13" s="711">
        <v>7</v>
      </c>
      <c r="D13" s="715" t="s">
        <v>718</v>
      </c>
      <c r="E13" s="712">
        <v>6</v>
      </c>
      <c r="F13" s="713">
        <v>6</v>
      </c>
    </row>
    <row r="14" spans="3:6" ht="38.25">
      <c r="C14" s="716">
        <v>8</v>
      </c>
      <c r="D14" s="645" t="s">
        <v>719</v>
      </c>
      <c r="E14" s="646">
        <v>1</v>
      </c>
      <c r="F14" s="717">
        <v>1</v>
      </c>
    </row>
    <row r="15" spans="3:6" ht="38.25">
      <c r="C15" s="718">
        <v>9</v>
      </c>
      <c r="D15" s="719" t="s">
        <v>720</v>
      </c>
      <c r="E15" s="720">
        <v>1</v>
      </c>
      <c r="F15" s="721">
        <v>1</v>
      </c>
    </row>
    <row r="16" spans="3:6">
      <c r="C16" s="716"/>
      <c r="D16" s="645"/>
      <c r="E16" s="646"/>
    </row>
    <row r="17" spans="3:6" ht="38.25">
      <c r="C17" s="716">
        <v>10</v>
      </c>
      <c r="D17" s="645" t="s">
        <v>801</v>
      </c>
      <c r="E17" s="722">
        <v>5</v>
      </c>
      <c r="F17" s="723">
        <v>0</v>
      </c>
    </row>
    <row r="18" spans="3:6" ht="38.25">
      <c r="C18" s="718">
        <v>11</v>
      </c>
      <c r="D18" s="719" t="s">
        <v>802</v>
      </c>
      <c r="E18" s="724">
        <v>5</v>
      </c>
      <c r="F18" s="723">
        <v>0</v>
      </c>
    </row>
    <row r="20" spans="3:6">
      <c r="E20" t="s">
        <v>797</v>
      </c>
      <c r="F20" t="s">
        <v>798</v>
      </c>
    </row>
    <row r="21" spans="3:6">
      <c r="C21" s="628">
        <v>1</v>
      </c>
      <c r="D21" s="629" t="s">
        <v>722</v>
      </c>
      <c r="E21" s="630">
        <v>58785</v>
      </c>
      <c r="F21" s="710">
        <v>127359</v>
      </c>
    </row>
    <row r="22" spans="3:6">
      <c r="C22" s="725">
        <v>2</v>
      </c>
      <c r="D22" s="726" t="s">
        <v>723</v>
      </c>
      <c r="E22" s="727">
        <f>90500/2</f>
        <v>45250</v>
      </c>
      <c r="F22" s="728">
        <f>105594/2</f>
        <v>52797</v>
      </c>
    </row>
    <row r="23" spans="3:6">
      <c r="C23" s="725">
        <v>3</v>
      </c>
      <c r="D23" s="726" t="s">
        <v>724</v>
      </c>
      <c r="E23" s="727">
        <f>90500/2+25324</f>
        <v>70574</v>
      </c>
      <c r="F23" s="728">
        <f>105594/2+24548</f>
        <v>77345</v>
      </c>
    </row>
    <row r="24" spans="3:6">
      <c r="C24" s="725"/>
      <c r="D24" s="726"/>
      <c r="E24" s="727" t="s">
        <v>9</v>
      </c>
    </row>
    <row r="25" spans="3:6" ht="38.25">
      <c r="C25" s="725">
        <v>4</v>
      </c>
      <c r="D25" s="726" t="s">
        <v>725</v>
      </c>
      <c r="E25" s="323">
        <v>78</v>
      </c>
      <c r="F25" s="728">
        <v>75</v>
      </c>
    </row>
    <row r="26" spans="3:6">
      <c r="C26" s="725"/>
      <c r="D26" s="726"/>
      <c r="E26" s="727"/>
    </row>
    <row r="27" spans="3:6" ht="38.25">
      <c r="C27" s="725">
        <v>5</v>
      </c>
      <c r="D27" s="726" t="s">
        <v>803</v>
      </c>
      <c r="E27" s="323">
        <v>120</v>
      </c>
      <c r="F27" s="729">
        <v>0</v>
      </c>
    </row>
    <row r="28" spans="3:6">
      <c r="C28" s="725"/>
      <c r="D28" s="726"/>
      <c r="E28" s="727"/>
    </row>
    <row r="29" spans="3:6">
      <c r="C29" s="725">
        <v>6</v>
      </c>
      <c r="D29" s="726" t="s">
        <v>726</v>
      </c>
      <c r="E29" s="727">
        <v>555</v>
      </c>
      <c r="F29" s="728">
        <v>872</v>
      </c>
    </row>
    <row r="30" spans="3:6">
      <c r="C30" s="725">
        <v>7</v>
      </c>
      <c r="D30" s="726" t="s">
        <v>804</v>
      </c>
      <c r="E30" s="323">
        <v>20</v>
      </c>
      <c r="F30">
        <v>0</v>
      </c>
    </row>
    <row r="31" spans="3:6" ht="25.5">
      <c r="C31" s="725">
        <v>8</v>
      </c>
      <c r="D31" s="726" t="s">
        <v>805</v>
      </c>
      <c r="E31" s="323">
        <f>131+135+6</f>
        <v>272</v>
      </c>
      <c r="F31" s="730">
        <f>'[9]C&amp;T'!$C$41+'[9]C&amp;T'!$C$42</f>
        <v>266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9"/>
  <sheetViews>
    <sheetView view="pageBreakPreview" topLeftCell="A4" zoomScaleNormal="100" workbookViewId="0">
      <selection activeCell="R152" sqref="R152"/>
    </sheetView>
  </sheetViews>
  <sheetFormatPr defaultColWidth="11.28515625" defaultRowHeight="12.75"/>
  <cols>
    <col min="1" max="1" width="9.28515625" style="597" customWidth="1"/>
    <col min="2" max="2" width="51" style="598" customWidth="1"/>
    <col min="3" max="4" width="10.140625" style="598" customWidth="1"/>
    <col min="5" max="6" width="23.85546875" style="598" customWidth="1"/>
    <col min="7" max="9" width="18" style="598" customWidth="1"/>
    <col min="10" max="10" width="14.7109375" style="598" customWidth="1"/>
    <col min="11" max="12" width="13" style="598" hidden="1" customWidth="1"/>
    <col min="13" max="13" width="17" style="598" hidden="1" customWidth="1"/>
    <col min="14" max="16384" width="11.28515625" style="598"/>
  </cols>
  <sheetData>
    <row r="1" spans="1:11" s="594" customFormat="1" ht="12.75" customHeight="1">
      <c r="B1" s="2021" t="str">
        <f>'DEVIZ GENERAL'!B4</f>
        <v>SISTEM DE MANAGEMENT INTEGRAT AL DEȘEURILOR DIN JUDEȚUL DÂMBOVIȚA</v>
      </c>
      <c r="C1" s="2021"/>
      <c r="D1" s="2021"/>
      <c r="E1" s="2021"/>
      <c r="F1" s="2021"/>
      <c r="G1" s="2021"/>
      <c r="H1" s="2021"/>
      <c r="I1" s="2021"/>
      <c r="J1" s="2021"/>
    </row>
    <row r="2" spans="1:11" s="594" customFormat="1" ht="12.75" customHeight="1">
      <c r="A2" s="599"/>
      <c r="B2" s="2021"/>
      <c r="C2" s="2021"/>
      <c r="D2" s="2021"/>
      <c r="E2" s="2021"/>
      <c r="F2" s="2021"/>
      <c r="G2" s="2021"/>
      <c r="H2" s="2021"/>
      <c r="I2" s="2021"/>
      <c r="J2" s="2021"/>
    </row>
    <row r="3" spans="1:11" s="594" customFormat="1">
      <c r="A3" s="600"/>
      <c r="B3" s="2022"/>
      <c r="C3" s="2022"/>
      <c r="D3" s="2022"/>
      <c r="E3" s="2022"/>
      <c r="F3" s="2022"/>
      <c r="G3" s="2022"/>
      <c r="H3" s="2022"/>
      <c r="I3" s="2022"/>
      <c r="J3" s="2022"/>
    </row>
    <row r="4" spans="1:11" s="594" customFormat="1">
      <c r="A4" s="601"/>
      <c r="B4" s="601"/>
      <c r="C4" s="601"/>
      <c r="D4" s="601"/>
      <c r="E4" s="601"/>
      <c r="F4" s="601"/>
      <c r="G4" s="602"/>
      <c r="H4" s="602"/>
      <c r="I4" s="602"/>
      <c r="J4" s="688"/>
    </row>
    <row r="5" spans="1:11" ht="26.25" customHeight="1">
      <c r="A5" s="2012" t="s">
        <v>806</v>
      </c>
      <c r="B5" s="2012"/>
      <c r="C5" s="2012"/>
      <c r="D5" s="2012"/>
      <c r="E5" s="2012"/>
      <c r="F5" s="2012"/>
      <c r="G5" s="2012"/>
      <c r="H5" s="2012"/>
      <c r="I5" s="2012"/>
      <c r="J5" s="2012"/>
    </row>
    <row r="6" spans="1:11" s="595" customFormat="1" ht="39.75" customHeight="1">
      <c r="A6" s="2013" t="s">
        <v>807</v>
      </c>
      <c r="B6" s="2013"/>
      <c r="C6" s="2013"/>
      <c r="D6" s="2013"/>
      <c r="E6" s="2013"/>
      <c r="F6" s="2013"/>
      <c r="G6" s="2013"/>
      <c r="H6" s="2013"/>
      <c r="I6" s="2013"/>
      <c r="J6" s="2013"/>
    </row>
    <row r="7" spans="1:11">
      <c r="A7" s="2014" t="s">
        <v>240</v>
      </c>
      <c r="B7" s="2014"/>
      <c r="C7" s="2014"/>
      <c r="D7" s="2014"/>
      <c r="E7" s="2014"/>
      <c r="F7" s="2014"/>
      <c r="G7" s="2014"/>
      <c r="H7" s="2014"/>
      <c r="I7" s="2014"/>
      <c r="J7" s="2014"/>
    </row>
    <row r="8" spans="1:11" ht="31.5" customHeight="1">
      <c r="A8" s="1988" t="s">
        <v>99</v>
      </c>
      <c r="B8" s="1990" t="s">
        <v>710</v>
      </c>
      <c r="C8" s="290" t="s">
        <v>560</v>
      </c>
      <c r="D8" s="290" t="s">
        <v>808</v>
      </c>
      <c r="E8" s="1956" t="s">
        <v>101</v>
      </c>
      <c r="F8" s="1957"/>
      <c r="G8" s="1956" t="s">
        <v>102</v>
      </c>
      <c r="H8" s="1957"/>
      <c r="I8" s="1956" t="s">
        <v>563</v>
      </c>
      <c r="J8" s="1958"/>
    </row>
    <row r="9" spans="1:11" s="596" customFormat="1" ht="17.25" customHeight="1">
      <c r="A9" s="1989"/>
      <c r="B9" s="1991"/>
      <c r="C9" s="603"/>
      <c r="D9" s="603"/>
      <c r="E9" s="604" t="s">
        <v>546</v>
      </c>
      <c r="F9" s="604" t="s">
        <v>81</v>
      </c>
      <c r="G9" s="604" t="s">
        <v>546</v>
      </c>
      <c r="H9" s="604" t="s">
        <v>81</v>
      </c>
      <c r="I9" s="604" t="s">
        <v>546</v>
      </c>
      <c r="J9" s="604" t="s">
        <v>81</v>
      </c>
    </row>
    <row r="10" spans="1:11">
      <c r="A10" s="605">
        <v>1</v>
      </c>
      <c r="B10" s="606">
        <v>2</v>
      </c>
      <c r="C10" s="606"/>
      <c r="D10" s="606"/>
      <c r="E10" s="606">
        <v>3</v>
      </c>
      <c r="F10" s="606">
        <v>4</v>
      </c>
      <c r="G10" s="606">
        <v>5</v>
      </c>
      <c r="H10" s="607">
        <v>6</v>
      </c>
      <c r="I10" s="607">
        <v>7</v>
      </c>
      <c r="J10" s="689">
        <v>8</v>
      </c>
    </row>
    <row r="11" spans="1:11">
      <c r="A11" s="1964" t="s">
        <v>160</v>
      </c>
      <c r="B11" s="1965"/>
      <c r="C11" s="1965"/>
      <c r="D11" s="1965"/>
      <c r="E11" s="1965"/>
      <c r="F11" s="1965"/>
      <c r="G11" s="1965"/>
      <c r="H11" s="1965"/>
      <c r="I11" s="1965"/>
      <c r="J11" s="1966"/>
    </row>
    <row r="12" spans="1:11">
      <c r="A12" s="1971" t="s">
        <v>161</v>
      </c>
      <c r="B12" s="1972"/>
      <c r="C12" s="1972"/>
      <c r="D12" s="1972"/>
      <c r="E12" s="1972"/>
      <c r="F12" s="1972"/>
      <c r="G12" s="1972"/>
      <c r="H12" s="1972"/>
      <c r="I12" s="1972"/>
      <c r="J12" s="1973"/>
    </row>
    <row r="13" spans="1:11">
      <c r="A13" s="608" t="s">
        <v>162</v>
      </c>
      <c r="B13" s="1974" t="s">
        <v>548</v>
      </c>
      <c r="C13" s="1975"/>
      <c r="D13" s="1975"/>
      <c r="E13" s="1975"/>
      <c r="F13" s="1975"/>
      <c r="G13" s="1975"/>
      <c r="H13" s="1975"/>
      <c r="I13" s="1975"/>
      <c r="J13" s="1976"/>
      <c r="K13" s="598">
        <f>352/1.19</f>
        <v>295.79831932773101</v>
      </c>
    </row>
    <row r="14" spans="1:11">
      <c r="A14" s="2018" t="s">
        <v>557</v>
      </c>
      <c r="B14" s="2019"/>
      <c r="C14" s="2019"/>
      <c r="D14" s="2019"/>
      <c r="E14" s="2019"/>
      <c r="F14" s="2019"/>
      <c r="G14" s="2019"/>
      <c r="H14" s="2019"/>
      <c r="I14" s="2019"/>
      <c r="J14" s="2020"/>
    </row>
    <row r="15" spans="1:11">
      <c r="A15" s="1969" t="s">
        <v>163</v>
      </c>
      <c r="B15" s="1970"/>
      <c r="C15" s="609"/>
      <c r="D15" s="609"/>
      <c r="E15" s="610">
        <f>SUM(E14:E14)</f>
        <v>0</v>
      </c>
      <c r="F15" s="610"/>
      <c r="G15" s="610">
        <f>SUM(G14:G14)</f>
        <v>0</v>
      </c>
      <c r="H15" s="611"/>
      <c r="I15" s="611"/>
      <c r="J15" s="690">
        <f>SUM(J14:J14)</f>
        <v>0</v>
      </c>
    </row>
    <row r="16" spans="1:11">
      <c r="A16" s="1971" t="s">
        <v>164</v>
      </c>
      <c r="B16" s="1972"/>
      <c r="C16" s="1972"/>
      <c r="D16" s="1972"/>
      <c r="E16" s="1972"/>
      <c r="F16" s="1972"/>
      <c r="G16" s="1972"/>
      <c r="H16" s="1972"/>
      <c r="I16" s="1972"/>
      <c r="J16" s="1973"/>
    </row>
    <row r="17" spans="1:13" ht="12" customHeight="1">
      <c r="A17" s="1969" t="s">
        <v>166</v>
      </c>
      <c r="B17" s="1970"/>
      <c r="C17" s="609"/>
      <c r="D17" s="612"/>
      <c r="E17" s="613">
        <v>0</v>
      </c>
      <c r="F17" s="613"/>
      <c r="G17" s="613">
        <v>0</v>
      </c>
      <c r="H17" s="614"/>
      <c r="I17" s="614"/>
      <c r="J17" s="691">
        <v>0</v>
      </c>
    </row>
    <row r="18" spans="1:13">
      <c r="A18" s="1971" t="s">
        <v>167</v>
      </c>
      <c r="B18" s="1972"/>
      <c r="C18" s="1972"/>
      <c r="D18" s="1972"/>
      <c r="E18" s="1972"/>
      <c r="F18" s="1972"/>
      <c r="G18" s="1972"/>
      <c r="H18" s="1972"/>
      <c r="I18" s="1972"/>
      <c r="J18" s="1973"/>
      <c r="K18" s="598" t="s">
        <v>9</v>
      </c>
    </row>
    <row r="19" spans="1:13" ht="12.75" customHeight="1">
      <c r="A19" s="1969" t="s">
        <v>169</v>
      </c>
      <c r="B19" s="1970"/>
      <c r="C19" s="609"/>
      <c r="D19" s="612"/>
      <c r="E19" s="613">
        <v>0</v>
      </c>
      <c r="F19" s="613"/>
      <c r="G19" s="613">
        <v>0</v>
      </c>
      <c r="H19" s="615" t="s">
        <v>9</v>
      </c>
      <c r="I19" s="614"/>
      <c r="J19" s="691">
        <v>0</v>
      </c>
      <c r="K19" s="692"/>
      <c r="L19" s="692"/>
      <c r="M19" s="692"/>
    </row>
    <row r="20" spans="1:13" ht="12.75" customHeight="1">
      <c r="A20" s="1996" t="s">
        <v>721</v>
      </c>
      <c r="B20" s="1997"/>
      <c r="C20" s="1997"/>
      <c r="D20" s="1997"/>
      <c r="E20" s="1997"/>
      <c r="F20" s="1997"/>
      <c r="G20" s="1997"/>
      <c r="H20" s="1997"/>
      <c r="I20" s="1997"/>
      <c r="J20" s="1998"/>
      <c r="K20" s="692"/>
      <c r="L20" s="692"/>
      <c r="M20" s="692"/>
    </row>
    <row r="21" spans="1:13" ht="12.75" hidden="1" customHeight="1">
      <c r="A21" s="616" t="s">
        <v>9</v>
      </c>
      <c r="B21" s="617" t="s">
        <v>9</v>
      </c>
      <c r="C21" s="618">
        <v>0</v>
      </c>
      <c r="D21" s="619">
        <v>0</v>
      </c>
      <c r="E21" s="617">
        <f>C21*D21</f>
        <v>0</v>
      </c>
      <c r="F21" s="617"/>
      <c r="G21" s="620">
        <f>E21*TVA</f>
        <v>0</v>
      </c>
      <c r="H21" s="621"/>
      <c r="I21" s="621"/>
      <c r="J21" s="693">
        <f>E21+G21</f>
        <v>0</v>
      </c>
      <c r="K21" s="692">
        <f>E21/euro</f>
        <v>0</v>
      </c>
      <c r="L21" s="692">
        <f>1000000/40</f>
        <v>25000</v>
      </c>
      <c r="M21" s="692"/>
    </row>
    <row r="22" spans="1:13" ht="12.75" hidden="1" customHeight="1">
      <c r="A22" s="622"/>
      <c r="B22" s="623"/>
      <c r="C22" s="624"/>
      <c r="D22" s="625"/>
      <c r="E22" s="623"/>
      <c r="F22" s="623"/>
      <c r="G22" s="626"/>
      <c r="H22" s="627"/>
      <c r="I22" s="627"/>
      <c r="J22" s="694"/>
      <c r="K22" s="692"/>
      <c r="L22" s="692"/>
      <c r="M22" s="692"/>
    </row>
    <row r="23" spans="1:13" ht="12.75" customHeight="1">
      <c r="A23" s="628">
        <v>1</v>
      </c>
      <c r="B23" s="629" t="s">
        <v>809</v>
      </c>
      <c r="C23" s="630">
        <v>62514</v>
      </c>
      <c r="D23" s="631">
        <v>284.94</v>
      </c>
      <c r="E23" s="629">
        <f>ROUND(C23*D23,2)</f>
        <v>17812739.16</v>
      </c>
      <c r="F23" s="631">
        <f>ROUND(E23/euro,2)</f>
        <v>3579874.42</v>
      </c>
      <c r="G23" s="632">
        <f>ROUND(E23*TVA,2)</f>
        <v>3384420.44</v>
      </c>
      <c r="H23" s="631">
        <f>ROUND(G23/euro,2)</f>
        <v>680176.14</v>
      </c>
      <c r="I23" s="632">
        <f>E23+G23</f>
        <v>21197159.600000001</v>
      </c>
      <c r="J23" s="695">
        <f>F23+H23</f>
        <v>4260050.5599999996</v>
      </c>
      <c r="K23" s="692">
        <f>E23/euro</f>
        <v>3579874.4242131901</v>
      </c>
      <c r="L23" s="696">
        <f>D23/euro</f>
        <v>57.265163390811502</v>
      </c>
      <c r="M23" s="697" t="e">
        <f>(E23+#REF!+#REF!)/euro</f>
        <v>#REF!</v>
      </c>
    </row>
    <row r="24" spans="1:13" ht="12.75" customHeight="1">
      <c r="A24" s="2029" t="s">
        <v>732</v>
      </c>
      <c r="B24" s="2030"/>
      <c r="C24" s="633"/>
      <c r="D24" s="633" t="s">
        <v>9</v>
      </c>
      <c r="E24" s="634">
        <f>SUM(E21:E23)</f>
        <v>17812739.16</v>
      </c>
      <c r="F24" s="635">
        <f>ROUND(E24/euro,2)</f>
        <v>3579874.42</v>
      </c>
      <c r="G24" s="636">
        <f>SUM(G21:G23)</f>
        <v>3384420.44</v>
      </c>
      <c r="H24" s="635">
        <f>G24/euro</f>
        <v>680176.14052011701</v>
      </c>
      <c r="I24" s="636">
        <f>E24+G24</f>
        <v>21197159.600000001</v>
      </c>
      <c r="J24" s="698">
        <f>F24+H24</f>
        <v>4260050.56052012</v>
      </c>
      <c r="K24" s="692"/>
      <c r="L24" s="697" t="s">
        <v>9</v>
      </c>
      <c r="M24" s="692"/>
    </row>
    <row r="25" spans="1:13">
      <c r="A25" s="2015" t="s">
        <v>170</v>
      </c>
      <c r="B25" s="2016"/>
      <c r="C25" s="2016"/>
      <c r="D25" s="2016"/>
      <c r="E25" s="2016"/>
      <c r="F25" s="2016"/>
      <c r="G25" s="2016"/>
      <c r="H25" s="2016"/>
      <c r="I25" s="2016"/>
      <c r="J25" s="2017"/>
      <c r="K25" s="692"/>
      <c r="L25" s="692" t="s">
        <v>9</v>
      </c>
      <c r="M25" s="692"/>
    </row>
    <row r="26" spans="1:13" hidden="1">
      <c r="A26" s="637">
        <v>4</v>
      </c>
      <c r="B26" s="638" t="s">
        <v>9</v>
      </c>
      <c r="C26" s="639">
        <v>0</v>
      </c>
      <c r="D26" s="640">
        <f>217700*euro</f>
        <v>1083231.6599999999</v>
      </c>
      <c r="E26" s="641">
        <f>D26*C26</f>
        <v>0</v>
      </c>
      <c r="F26" s="642">
        <f>E26/euro</f>
        <v>0</v>
      </c>
      <c r="G26" s="643">
        <f>E26*TVA</f>
        <v>0</v>
      </c>
      <c r="H26" s="642">
        <f>G26/euro</f>
        <v>0</v>
      </c>
      <c r="I26" s="699">
        <f t="shared" ref="I26:J28" si="0">E26+G26</f>
        <v>0</v>
      </c>
      <c r="J26" s="699">
        <f t="shared" si="0"/>
        <v>0</v>
      </c>
      <c r="K26" s="692"/>
      <c r="L26" s="696">
        <f>D26/euro</f>
        <v>217700</v>
      </c>
      <c r="M26" s="692"/>
    </row>
    <row r="27" spans="1:13" hidden="1">
      <c r="A27" s="644">
        <v>5</v>
      </c>
      <c r="B27" s="645" t="s">
        <v>9</v>
      </c>
      <c r="C27" s="646">
        <v>0</v>
      </c>
      <c r="D27" s="647">
        <f>197000*euro</f>
        <v>980232.6</v>
      </c>
      <c r="E27" s="648">
        <f>D27*C27</f>
        <v>0</v>
      </c>
      <c r="F27" s="649">
        <f>E27/euro</f>
        <v>0</v>
      </c>
      <c r="G27" s="650">
        <f>E27*TVA</f>
        <v>0</v>
      </c>
      <c r="H27" s="649">
        <f>G27/euro</f>
        <v>0</v>
      </c>
      <c r="I27" s="700">
        <f t="shared" si="0"/>
        <v>0</v>
      </c>
      <c r="J27" s="700">
        <f t="shared" si="0"/>
        <v>0</v>
      </c>
      <c r="K27" s="701" t="e">
        <f>#REF!+#REF!</f>
        <v>#REF!</v>
      </c>
      <c r="L27" s="692">
        <f>217700*2</f>
        <v>435400</v>
      </c>
      <c r="M27" s="692"/>
    </row>
    <row r="28" spans="1:13" ht="14.25" customHeight="1">
      <c r="A28" s="2047" t="s">
        <v>174</v>
      </c>
      <c r="B28" s="2048"/>
      <c r="C28" s="651"/>
      <c r="D28" s="652"/>
      <c r="E28" s="613">
        <f>SUM(E26:E27)</f>
        <v>0</v>
      </c>
      <c r="F28" s="653">
        <f>E28/euro</f>
        <v>0</v>
      </c>
      <c r="G28" s="613">
        <f>SUM(G26:G27)</f>
        <v>0</v>
      </c>
      <c r="H28" s="653">
        <f>G28/euro</f>
        <v>0</v>
      </c>
      <c r="I28" s="634">
        <f t="shared" si="0"/>
        <v>0</v>
      </c>
      <c r="J28" s="702">
        <f t="shared" si="0"/>
        <v>0</v>
      </c>
      <c r="K28" s="697">
        <f>J28/euro</f>
        <v>0</v>
      </c>
      <c r="L28" s="692">
        <f>197000*2</f>
        <v>394000</v>
      </c>
      <c r="M28" s="692"/>
    </row>
    <row r="29" spans="1:13" ht="14.25" customHeight="1">
      <c r="A29" s="2031" t="s">
        <v>182</v>
      </c>
      <c r="B29" s="2032"/>
      <c r="C29" s="2032"/>
      <c r="D29" s="2032"/>
      <c r="E29" s="2032"/>
      <c r="F29" s="2032"/>
      <c r="G29" s="2032"/>
      <c r="H29" s="2032"/>
      <c r="I29" s="2032"/>
      <c r="J29" s="2033"/>
      <c r="K29" s="692" t="e">
        <f>K27/euro</f>
        <v>#REF!</v>
      </c>
      <c r="L29" s="692"/>
      <c r="M29" s="692"/>
    </row>
    <row r="30" spans="1:13" ht="14.25" customHeight="1">
      <c r="A30" s="622">
        <v>1</v>
      </c>
      <c r="B30" s="654"/>
      <c r="C30" s="654"/>
      <c r="D30" s="654" t="s">
        <v>9</v>
      </c>
      <c r="E30" s="655">
        <v>0</v>
      </c>
      <c r="F30" s="655"/>
      <c r="G30" s="656">
        <v>0</v>
      </c>
      <c r="H30" s="657"/>
      <c r="I30" s="657"/>
      <c r="J30" s="703">
        <v>0</v>
      </c>
      <c r="K30" s="692"/>
      <c r="L30" s="692">
        <f>D26/euro</f>
        <v>217700</v>
      </c>
      <c r="M30" s="692"/>
    </row>
    <row r="31" spans="1:13" ht="14.25" customHeight="1">
      <c r="A31" s="1999" t="s">
        <v>185</v>
      </c>
      <c r="B31" s="2000"/>
      <c r="C31" s="658"/>
      <c r="D31" s="658"/>
      <c r="E31" s="659">
        <v>0</v>
      </c>
      <c r="F31" s="659"/>
      <c r="G31" s="660">
        <v>0</v>
      </c>
      <c r="H31" s="661"/>
      <c r="I31" s="661"/>
      <c r="J31" s="704">
        <v>0</v>
      </c>
      <c r="K31" s="692"/>
      <c r="L31" s="692"/>
      <c r="M31" s="692"/>
    </row>
    <row r="32" spans="1:13" ht="12.75" customHeight="1">
      <c r="A32" s="2001" t="s">
        <v>186</v>
      </c>
      <c r="B32" s="2002"/>
      <c r="C32" s="662"/>
      <c r="D32" s="662"/>
      <c r="E32" s="395">
        <f>SUM(E15,E17,E19,E24,E28,E31)</f>
        <v>17812739.16</v>
      </c>
      <c r="F32" s="635">
        <f>ROUND(E32/euro,2)</f>
        <v>3579874.42</v>
      </c>
      <c r="G32" s="396">
        <f>SUM(G15,G17,G19,G24,G28,G31)</f>
        <v>3384420.44</v>
      </c>
      <c r="H32" s="635">
        <f>ROUND(G32/euro,2)</f>
        <v>680176.14</v>
      </c>
      <c r="I32" s="636">
        <f>E32+G32</f>
        <v>21197159.600000001</v>
      </c>
      <c r="J32" s="698">
        <f>F32+H32</f>
        <v>4260050.5599999996</v>
      </c>
      <c r="K32" s="692"/>
      <c r="L32" s="697">
        <f>E32/euro</f>
        <v>3579874.4242131901</v>
      </c>
      <c r="M32" s="692"/>
    </row>
    <row r="33" spans="1:13" ht="16.5" customHeight="1">
      <c r="A33" s="1982" t="s">
        <v>212</v>
      </c>
      <c r="B33" s="1983"/>
      <c r="C33" s="664"/>
      <c r="D33" s="664"/>
      <c r="E33" s="397">
        <f t="shared" ref="E33:J33" si="1">+E32</f>
        <v>17812739.16</v>
      </c>
      <c r="F33" s="665">
        <f t="shared" si="1"/>
        <v>3579874.42</v>
      </c>
      <c r="G33" s="397">
        <f t="shared" si="1"/>
        <v>3384420.44</v>
      </c>
      <c r="H33" s="665">
        <f t="shared" si="1"/>
        <v>680176.14</v>
      </c>
      <c r="I33" s="705">
        <f t="shared" si="1"/>
        <v>21197159.600000001</v>
      </c>
      <c r="J33" s="706">
        <f t="shared" si="1"/>
        <v>4260050.5599999996</v>
      </c>
      <c r="K33" s="692"/>
      <c r="L33" s="692"/>
      <c r="M33" s="692"/>
    </row>
    <row r="34" spans="1:13">
      <c r="A34" s="1984" t="s">
        <v>243</v>
      </c>
      <c r="B34" s="1985"/>
      <c r="C34" s="666"/>
      <c r="D34" s="666"/>
      <c r="E34" s="667">
        <v>0</v>
      </c>
      <c r="F34" s="667">
        <v>0</v>
      </c>
      <c r="G34" s="667">
        <v>0</v>
      </c>
      <c r="H34" s="667">
        <v>0</v>
      </c>
      <c r="I34" s="667">
        <v>0</v>
      </c>
      <c r="J34" s="667">
        <v>0</v>
      </c>
      <c r="K34" s="692"/>
      <c r="L34" s="692"/>
      <c r="M34" s="692"/>
    </row>
    <row r="35" spans="1:13">
      <c r="A35" s="598"/>
      <c r="K35" s="692"/>
      <c r="L35" s="692"/>
      <c r="M35" s="692"/>
    </row>
    <row r="36" spans="1:13" ht="14.25">
      <c r="A36" s="598"/>
      <c r="B36" s="596" t="s">
        <v>9</v>
      </c>
      <c r="C36" s="596" t="s">
        <v>9</v>
      </c>
      <c r="D36" s="596"/>
      <c r="E36" s="668" t="s">
        <v>9</v>
      </c>
      <c r="K36" s="692"/>
      <c r="L36" s="692"/>
      <c r="M36" s="692"/>
    </row>
    <row r="37" spans="1:13">
      <c r="A37" s="598"/>
    </row>
    <row r="38" spans="1:13" ht="38.25">
      <c r="A38" s="669"/>
      <c r="B38" s="402" t="str">
        <f>'DEVIZ GENERAL'!B168</f>
        <v>In preturi la data de :</v>
      </c>
      <c r="C38" s="670" t="str">
        <f>'DEVIZ GENERAL'!C168</f>
        <v>inforeuro februarie 2025</v>
      </c>
      <c r="D38" s="402" t="str">
        <f>'DEVIZ GENERAL'!D168</f>
        <v>1 Euro =</v>
      </c>
      <c r="E38" s="403">
        <f>'DEVIZ GENERAL'!E168</f>
        <v>4.9757999999999996</v>
      </c>
      <c r="F38" s="402" t="s">
        <v>9</v>
      </c>
      <c r="L38" s="57" t="s">
        <v>9</v>
      </c>
    </row>
    <row r="39" spans="1:13">
      <c r="A39" s="671"/>
      <c r="B39" s="406" t="s">
        <v>222</v>
      </c>
      <c r="C39" s="406"/>
      <c r="D39" s="406"/>
      <c r="E39" s="404"/>
      <c r="F39" s="404"/>
      <c r="G39" s="672" t="s">
        <v>223</v>
      </c>
      <c r="H39" s="672"/>
      <c r="I39" s="672"/>
      <c r="J39" s="672"/>
    </row>
    <row r="40" spans="1:13">
      <c r="A40" s="671"/>
      <c r="B40" s="437" t="str">
        <f>data_deviz</f>
        <v>31.01.2025</v>
      </c>
      <c r="C40" s="437"/>
      <c r="D40" s="437"/>
      <c r="E40" s="404"/>
      <c r="F40" s="404"/>
      <c r="G40" s="2023" t="s">
        <v>810</v>
      </c>
      <c r="H40" s="2023"/>
      <c r="I40" s="2023"/>
      <c r="J40" s="2023"/>
    </row>
    <row r="41" spans="1:13">
      <c r="A41" s="598"/>
      <c r="B41" s="406" t="s">
        <v>226</v>
      </c>
      <c r="C41" s="406"/>
      <c r="D41" s="406"/>
      <c r="E41" s="674"/>
      <c r="F41" s="674"/>
      <c r="G41" s="675"/>
      <c r="H41" s="675"/>
      <c r="I41" s="675"/>
      <c r="J41" s="672"/>
    </row>
    <row r="42" spans="1:13">
      <c r="A42" s="598"/>
      <c r="B42" s="441" t="s">
        <v>227</v>
      </c>
      <c r="C42" s="437"/>
      <c r="D42" s="437"/>
      <c r="G42" s="596" t="s">
        <v>637</v>
      </c>
      <c r="H42" s="596"/>
      <c r="I42" s="596"/>
      <c r="J42" s="707"/>
    </row>
    <row r="43" spans="1:13">
      <c r="A43" s="669"/>
      <c r="B43" s="671"/>
      <c r="C43" s="671"/>
      <c r="D43" s="671"/>
      <c r="E43" s="672"/>
      <c r="F43" s="672"/>
      <c r="J43" s="708" t="s">
        <v>229</v>
      </c>
    </row>
    <row r="44" spans="1:13" ht="15.75">
      <c r="A44" s="676"/>
      <c r="B44" s="676" t="s">
        <v>811</v>
      </c>
      <c r="C44" s="676"/>
      <c r="D44" s="676"/>
      <c r="E44" s="269">
        <v>17812721.239999998</v>
      </c>
      <c r="F44" s="598" t="s">
        <v>8</v>
      </c>
    </row>
    <row r="45" spans="1:13">
      <c r="B45" s="598" t="s">
        <v>9</v>
      </c>
      <c r="E45" s="677">
        <f>E44/C23</f>
        <v>284.93971334421099</v>
      </c>
    </row>
    <row r="46" spans="1:13" hidden="1">
      <c r="B46" s="678" t="s">
        <v>734</v>
      </c>
      <c r="C46" s="673"/>
      <c r="D46" s="673"/>
    </row>
    <row r="47" spans="1:13" hidden="1">
      <c r="A47" s="679"/>
      <c r="B47" s="680" t="s">
        <v>735</v>
      </c>
      <c r="C47" s="681" t="s">
        <v>736</v>
      </c>
      <c r="D47" s="681" t="s">
        <v>737</v>
      </c>
      <c r="E47" s="681" t="s">
        <v>738</v>
      </c>
      <c r="F47" s="681"/>
      <c r="G47" s="682" t="s">
        <v>739</v>
      </c>
      <c r="H47" s="682"/>
      <c r="I47" s="682"/>
      <c r="J47" s="682" t="s">
        <v>740</v>
      </c>
      <c r="K47" s="682" t="s">
        <v>231</v>
      </c>
    </row>
    <row r="48" spans="1:13" hidden="1">
      <c r="A48" s="679"/>
      <c r="B48" s="680" t="s">
        <v>741</v>
      </c>
      <c r="C48" s="683">
        <f>12472-588</f>
        <v>11884</v>
      </c>
      <c r="D48" s="683">
        <v>0</v>
      </c>
      <c r="E48" s="684">
        <v>1002</v>
      </c>
      <c r="F48" s="684"/>
      <c r="G48" s="685">
        <v>0</v>
      </c>
      <c r="H48" s="685"/>
      <c r="I48" s="685"/>
      <c r="J48" s="685" t="e">
        <f>C48*#REF!+D48*#REF!+E48*#REF!+G48*#REF!</f>
        <v>#REF!</v>
      </c>
      <c r="K48" s="685" t="e">
        <f>J48/euro</f>
        <v>#REF!</v>
      </c>
    </row>
    <row r="49" spans="1:11" ht="12.75" hidden="1" customHeight="1">
      <c r="A49" s="679"/>
      <c r="B49" s="680" t="s">
        <v>742</v>
      </c>
      <c r="C49" s="681">
        <v>3265</v>
      </c>
      <c r="D49" s="683">
        <v>0</v>
      </c>
      <c r="E49" s="684">
        <v>0</v>
      </c>
      <c r="F49" s="684"/>
      <c r="G49" s="685">
        <v>43</v>
      </c>
      <c r="H49" s="685"/>
      <c r="I49" s="685"/>
      <c r="J49" s="685" t="e">
        <f>C49*#REF!+D49*#REF!+E49*#REF!+G49*#REF!</f>
        <v>#REF!</v>
      </c>
      <c r="K49" s="685" t="e">
        <f>J49/euro</f>
        <v>#REF!</v>
      </c>
    </row>
    <row r="50" spans="1:11" ht="15" hidden="1" customHeight="1">
      <c r="A50" s="679"/>
      <c r="B50" s="680" t="s">
        <v>743</v>
      </c>
      <c r="C50" s="681">
        <v>0</v>
      </c>
      <c r="D50" s="683">
        <v>66661</v>
      </c>
      <c r="E50" s="684">
        <v>0</v>
      </c>
      <c r="F50" s="684"/>
      <c r="G50" s="685">
        <f>243+80</f>
        <v>323</v>
      </c>
      <c r="H50" s="685"/>
      <c r="I50" s="685"/>
      <c r="J50" s="685" t="e">
        <f>C50*#REF!+D50*#REF!+E50*#REF!+G50*#REF!</f>
        <v>#REF!</v>
      </c>
      <c r="K50" s="685" t="e">
        <f>J50/euro</f>
        <v>#REF!</v>
      </c>
    </row>
    <row r="51" spans="1:11" hidden="1">
      <c r="A51" s="680"/>
      <c r="B51" s="680" t="s">
        <v>257</v>
      </c>
      <c r="C51" s="683">
        <f t="shared" ref="C51:K51" si="2">SUM(C48:C50)</f>
        <v>15149</v>
      </c>
      <c r="D51" s="683">
        <f t="shared" si="2"/>
        <v>66661</v>
      </c>
      <c r="E51" s="683">
        <f t="shared" si="2"/>
        <v>1002</v>
      </c>
      <c r="F51" s="683"/>
      <c r="G51" s="683">
        <f t="shared" si="2"/>
        <v>366</v>
      </c>
      <c r="H51" s="683"/>
      <c r="I51" s="683"/>
      <c r="J51" s="684" t="e">
        <f t="shared" si="2"/>
        <v>#REF!</v>
      </c>
      <c r="K51" s="684" t="e">
        <f t="shared" si="2"/>
        <v>#REF!</v>
      </c>
    </row>
    <row r="52" spans="1:11" ht="15.75" hidden="1">
      <c r="A52" s="686"/>
      <c r="B52" s="686"/>
      <c r="C52" s="687"/>
      <c r="D52" s="687"/>
      <c r="E52" s="687"/>
      <c r="F52" s="687"/>
      <c r="G52" s="682"/>
      <c r="H52" s="682"/>
      <c r="I52" s="682"/>
      <c r="J52" s="682"/>
      <c r="K52" s="682"/>
    </row>
    <row r="53" spans="1:11" ht="15" hidden="1" customHeight="1">
      <c r="A53" s="679"/>
      <c r="B53" s="680" t="s">
        <v>744</v>
      </c>
      <c r="C53" s="680" t="s">
        <v>745</v>
      </c>
      <c r="D53" s="680" t="s">
        <v>746</v>
      </c>
      <c r="E53" s="680" t="s">
        <v>747</v>
      </c>
      <c r="F53" s="680"/>
      <c r="G53" s="598" t="s">
        <v>231</v>
      </c>
    </row>
    <row r="54" spans="1:11" hidden="1">
      <c r="B54" s="680" t="s">
        <v>741</v>
      </c>
      <c r="C54" s="598">
        <v>7</v>
      </c>
      <c r="E54" s="57" t="e">
        <f>7*#REF!</f>
        <v>#REF!</v>
      </c>
      <c r="F54" s="57"/>
      <c r="G54" s="57" t="e">
        <f>E54/euro</f>
        <v>#REF!</v>
      </c>
      <c r="H54" s="57"/>
      <c r="I54" s="57"/>
    </row>
    <row r="55" spans="1:11" hidden="1">
      <c r="B55" s="680" t="s">
        <v>742</v>
      </c>
      <c r="C55" s="598">
        <v>1</v>
      </c>
      <c r="D55" s="598">
        <v>3</v>
      </c>
      <c r="E55" s="57" t="e">
        <f>4*#REF!</f>
        <v>#REF!</v>
      </c>
      <c r="F55" s="57"/>
      <c r="G55" s="57" t="e">
        <f>E55/euro</f>
        <v>#REF!</v>
      </c>
      <c r="H55" s="57"/>
      <c r="I55" s="57"/>
    </row>
    <row r="56" spans="1:11" hidden="1">
      <c r="B56" s="680" t="s">
        <v>743</v>
      </c>
      <c r="C56" s="598">
        <v>3</v>
      </c>
      <c r="D56" s="598">
        <v>5</v>
      </c>
      <c r="E56" s="57" t="e">
        <f>8*#REF!</f>
        <v>#REF!</v>
      </c>
      <c r="F56" s="57"/>
      <c r="G56" s="57" t="e">
        <f>E56/euro</f>
        <v>#REF!</v>
      </c>
      <c r="H56" s="57"/>
      <c r="I56" s="57"/>
    </row>
    <row r="57" spans="1:11" hidden="1">
      <c r="B57" s="680" t="s">
        <v>257</v>
      </c>
      <c r="C57" s="598">
        <f>SUM(C54:C56)</f>
        <v>11</v>
      </c>
      <c r="D57" s="598">
        <f>SUM(D54:D56)</f>
        <v>8</v>
      </c>
      <c r="E57" s="57" t="e">
        <f>SUM(E54:E56)</f>
        <v>#REF!</v>
      </c>
      <c r="F57" s="57"/>
      <c r="G57" s="57" t="e">
        <f>SUM(G54:G56)</f>
        <v>#REF!</v>
      </c>
      <c r="H57" s="57"/>
      <c r="I57" s="57"/>
    </row>
    <row r="58" spans="1:11" hidden="1"/>
    <row r="59" spans="1:11" hidden="1"/>
  </sheetData>
  <mergeCells count="28">
    <mergeCell ref="B1:J3"/>
    <mergeCell ref="A32:B32"/>
    <mergeCell ref="A33:B33"/>
    <mergeCell ref="A34:B34"/>
    <mergeCell ref="G40:J40"/>
    <mergeCell ref="A8:A9"/>
    <mergeCell ref="B8:B9"/>
    <mergeCell ref="A24:B24"/>
    <mergeCell ref="A25:J25"/>
    <mergeCell ref="A28:B28"/>
    <mergeCell ref="A29:J29"/>
    <mergeCell ref="A31:B31"/>
    <mergeCell ref="A16:J16"/>
    <mergeCell ref="A17:B17"/>
    <mergeCell ref="A18:J18"/>
    <mergeCell ref="A19:B19"/>
    <mergeCell ref="A20:J20"/>
    <mergeCell ref="A11:J11"/>
    <mergeCell ref="A12:J12"/>
    <mergeCell ref="B13:J13"/>
    <mergeCell ref="A14:J14"/>
    <mergeCell ref="A15:B15"/>
    <mergeCell ref="A5:J5"/>
    <mergeCell ref="A6:J6"/>
    <mergeCell ref="A7:J7"/>
    <mergeCell ref="E8:F8"/>
    <mergeCell ref="G8:H8"/>
    <mergeCell ref="I8:J8"/>
  </mergeCells>
  <pageMargins left="0.7" right="0.7" top="0.75" bottom="0.75" header="0.3" footer="0.3"/>
  <pageSetup scale="4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R17"/>
  <sheetViews>
    <sheetView zoomScale="87" zoomScaleNormal="87" zoomScalePageLayoutView="87" workbookViewId="0">
      <selection activeCell="B18" sqref="B18"/>
    </sheetView>
  </sheetViews>
  <sheetFormatPr defaultColWidth="8.85546875" defaultRowHeight="12.75"/>
  <cols>
    <col min="2" max="2" width="12.85546875" customWidth="1"/>
    <col min="12" max="12" width="51.28515625" customWidth="1"/>
    <col min="14" max="14" width="10.7109375" customWidth="1"/>
  </cols>
  <sheetData>
    <row r="2" spans="2:18" ht="15.75">
      <c r="G2" s="583"/>
    </row>
    <row r="4" spans="2:18" ht="15.75">
      <c r="C4" s="584" t="s">
        <v>812</v>
      </c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</row>
    <row r="5" spans="2:18" ht="15" customHeight="1">
      <c r="B5" t="s">
        <v>813</v>
      </c>
      <c r="C5" s="585" t="s">
        <v>814</v>
      </c>
      <c r="I5" s="583"/>
      <c r="J5" s="593"/>
      <c r="L5" s="583"/>
      <c r="M5" s="583"/>
      <c r="N5" s="583"/>
      <c r="O5" s="583"/>
      <c r="P5" s="583"/>
      <c r="Q5" s="583"/>
      <c r="R5" s="583"/>
    </row>
    <row r="6" spans="2:18" ht="15.75">
      <c r="B6" t="s">
        <v>813</v>
      </c>
      <c r="C6" s="586" t="s">
        <v>815</v>
      </c>
    </row>
    <row r="7" spans="2:18" ht="15.75">
      <c r="B7" t="s">
        <v>813</v>
      </c>
      <c r="C7" s="587" t="s">
        <v>816</v>
      </c>
    </row>
    <row r="9" spans="2:18">
      <c r="B9" s="585" t="s">
        <v>817</v>
      </c>
      <c r="M9" t="s">
        <v>818</v>
      </c>
    </row>
    <row r="10" spans="2:18">
      <c r="B10" s="588" t="s">
        <v>819</v>
      </c>
      <c r="M10" t="s">
        <v>820</v>
      </c>
      <c r="N10" t="s">
        <v>821</v>
      </c>
    </row>
    <row r="11" spans="2:18">
      <c r="B11" s="589"/>
    </row>
    <row r="12" spans="2:18">
      <c r="B12" s="590" t="s">
        <v>538</v>
      </c>
      <c r="N12">
        <v>0</v>
      </c>
      <c r="P12" t="s">
        <v>822</v>
      </c>
    </row>
    <row r="13" spans="2:18">
      <c r="B13" s="591" t="s">
        <v>539</v>
      </c>
      <c r="N13">
        <v>0</v>
      </c>
      <c r="P13" t="s">
        <v>823</v>
      </c>
    </row>
    <row r="14" spans="2:18">
      <c r="B14" s="592"/>
    </row>
    <row r="15" spans="2:18">
      <c r="B15" s="592" t="s">
        <v>257</v>
      </c>
      <c r="M15">
        <f>M12+M13</f>
        <v>0</v>
      </c>
      <c r="N15">
        <f>N12+N13</f>
        <v>0</v>
      </c>
    </row>
    <row r="17" spans="2:2">
      <c r="B17" t="s">
        <v>824</v>
      </c>
    </row>
  </sheetData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50"/>
  <sheetViews>
    <sheetView view="pageBreakPreview" topLeftCell="C2" zoomScale="91" zoomScaleNormal="75" workbookViewId="0">
      <selection activeCell="P13" sqref="P13"/>
    </sheetView>
  </sheetViews>
  <sheetFormatPr defaultColWidth="8.85546875" defaultRowHeight="12.75"/>
  <cols>
    <col min="1" max="1" width="10.42578125" customWidth="1"/>
    <col min="2" max="2" width="25" customWidth="1"/>
    <col min="3" max="3" width="36" customWidth="1"/>
    <col min="4" max="4" width="19" customWidth="1"/>
    <col min="5" max="5" width="20.85546875" customWidth="1"/>
    <col min="6" max="6" width="19.42578125" customWidth="1"/>
    <col min="7" max="7" width="18.140625" customWidth="1"/>
    <col min="8" max="8" width="26.85546875" customWidth="1"/>
    <col min="9" max="9" width="13" hidden="1" customWidth="1"/>
    <col min="13" max="13" width="20.7109375" customWidth="1"/>
    <col min="14" max="14" width="28.140625" customWidth="1"/>
    <col min="15" max="15" width="17.42578125" customWidth="1"/>
    <col min="16" max="16" width="22.42578125" customWidth="1"/>
    <col min="17" max="17" width="17.85546875" customWidth="1"/>
    <col min="18" max="18" width="24.42578125" customWidth="1"/>
    <col min="19" max="19" width="18.140625" customWidth="1"/>
    <col min="20" max="20" width="1.28515625" customWidth="1"/>
  </cols>
  <sheetData>
    <row r="2" spans="2:20">
      <c r="C2" s="507" t="s">
        <v>308</v>
      </c>
      <c r="D2">
        <f>euro</f>
        <v>4.9757999999999996</v>
      </c>
      <c r="E2" t="s">
        <v>8</v>
      </c>
      <c r="F2" t="s">
        <v>9</v>
      </c>
      <c r="N2" s="507" t="s">
        <v>308</v>
      </c>
      <c r="O2">
        <f>euro</f>
        <v>4.9757999999999996</v>
      </c>
      <c r="P2" t="s">
        <v>8</v>
      </c>
      <c r="Q2" t="s">
        <v>9</v>
      </c>
    </row>
    <row r="3" spans="2:20" ht="15">
      <c r="B3" s="508" t="s">
        <v>825</v>
      </c>
      <c r="M3" s="508" t="s">
        <v>825</v>
      </c>
    </row>
    <row r="5" spans="2:20" ht="63.75">
      <c r="B5" s="509" t="s">
        <v>826</v>
      </c>
      <c r="C5" s="510" t="s">
        <v>827</v>
      </c>
      <c r="D5" s="511" t="s">
        <v>828</v>
      </c>
      <c r="E5" s="511" t="s">
        <v>829</v>
      </c>
      <c r="F5" s="512" t="s">
        <v>830</v>
      </c>
      <c r="G5" s="513" t="s">
        <v>831</v>
      </c>
      <c r="H5" s="514" t="s">
        <v>832</v>
      </c>
      <c r="I5" s="576" t="s">
        <v>833</v>
      </c>
      <c r="M5" s="509" t="s">
        <v>826</v>
      </c>
      <c r="N5" s="510" t="s">
        <v>827</v>
      </c>
      <c r="O5" s="511" t="s">
        <v>834</v>
      </c>
      <c r="P5" s="511" t="s">
        <v>835</v>
      </c>
      <c r="Q5" s="512" t="s">
        <v>830</v>
      </c>
      <c r="R5" s="513" t="s">
        <v>831</v>
      </c>
      <c r="S5" s="514" t="s">
        <v>832</v>
      </c>
    </row>
    <row r="6" spans="2:20" ht="63.75">
      <c r="B6" s="515" t="s">
        <v>836</v>
      </c>
      <c r="C6" s="516" t="s">
        <v>837</v>
      </c>
      <c r="D6" s="459">
        <f>'DEVIZ GENERAL'!C70+'DEVIZ GENERAL'!C60+'DEVIZ GENERAL'!C140</f>
        <v>15126533</v>
      </c>
      <c r="E6" s="459">
        <f>'DEVIZ GENERAL'!D70+'DEVIZ GENERAL'!D60+'DEVIZ GENERAL'!D140</f>
        <v>3040020.3000000003</v>
      </c>
      <c r="F6" s="517" t="s">
        <v>838</v>
      </c>
      <c r="G6" s="518" t="s">
        <v>839</v>
      </c>
      <c r="H6" s="163" t="s">
        <v>9</v>
      </c>
      <c r="I6" s="53">
        <f>'contracte servicii'!K7</f>
        <v>7620067</v>
      </c>
      <c r="M6" s="515" t="s">
        <v>836</v>
      </c>
      <c r="N6" s="516" t="s">
        <v>840</v>
      </c>
      <c r="O6" s="465">
        <f>ROUNDUP(D6*coef,0)</f>
        <v>16827790</v>
      </c>
      <c r="P6" s="465">
        <f>ROUNDUP(E6*coef,0)</f>
        <v>3381927</v>
      </c>
      <c r="Q6" s="517" t="s">
        <v>838</v>
      </c>
      <c r="R6" s="518" t="s">
        <v>839</v>
      </c>
      <c r="S6" s="163" t="s">
        <v>9</v>
      </c>
    </row>
    <row r="7" spans="2:20" ht="38.25">
      <c r="B7" s="515" t="s">
        <v>841</v>
      </c>
      <c r="C7" s="516" t="s">
        <v>842</v>
      </c>
      <c r="D7" s="459">
        <f>'DEVIZ GENERAL'!C61</f>
        <v>447822</v>
      </c>
      <c r="E7" s="519">
        <f>'DEVIZ GENERAL'!D61</f>
        <v>90000</v>
      </c>
      <c r="F7" s="517" t="s">
        <v>838</v>
      </c>
      <c r="G7" s="518" t="s">
        <v>843</v>
      </c>
      <c r="I7" s="53" t="s">
        <v>9</v>
      </c>
      <c r="J7" t="s">
        <v>9</v>
      </c>
      <c r="M7" s="515" t="s">
        <v>841</v>
      </c>
      <c r="N7" s="516" t="s">
        <v>842</v>
      </c>
      <c r="O7" s="465">
        <f>ROUNDUP(D7*coef,0)</f>
        <v>498188</v>
      </c>
      <c r="P7" s="465">
        <f>ROUNDUP(E7*coef,0)</f>
        <v>100123</v>
      </c>
      <c r="Q7" s="517" t="s">
        <v>838</v>
      </c>
      <c r="R7" s="518" t="s">
        <v>843</v>
      </c>
      <c r="T7" t="s">
        <v>9</v>
      </c>
    </row>
    <row r="8" spans="2:20" ht="22.5" customHeight="1">
      <c r="B8" s="2051" t="s">
        <v>844</v>
      </c>
      <c r="C8" s="2052"/>
      <c r="D8" s="466">
        <f>SUM(D6:D7)</f>
        <v>15574355</v>
      </c>
      <c r="E8" s="520">
        <f>SUM(E6:E7)</f>
        <v>3130020.3000000003</v>
      </c>
      <c r="F8" s="521"/>
      <c r="G8" s="522"/>
      <c r="M8" s="2051" t="s">
        <v>844</v>
      </c>
      <c r="N8" s="2052"/>
      <c r="O8" s="466">
        <f>SUM(O6:O7)</f>
        <v>17325978</v>
      </c>
      <c r="P8" s="520">
        <f>SUM(P6:P7)</f>
        <v>3482050</v>
      </c>
      <c r="Q8" s="521"/>
      <c r="R8" s="522"/>
    </row>
    <row r="9" spans="2:20">
      <c r="D9" s="53" t="s">
        <v>9</v>
      </c>
      <c r="I9" s="53" t="s">
        <v>9</v>
      </c>
      <c r="J9" t="s">
        <v>9</v>
      </c>
      <c r="O9" s="53" t="s">
        <v>9</v>
      </c>
      <c r="T9" t="s">
        <v>9</v>
      </c>
    </row>
    <row r="10" spans="2:20" ht="15">
      <c r="B10" s="508" t="s">
        <v>845</v>
      </c>
      <c r="M10" s="508" t="s">
        <v>845</v>
      </c>
    </row>
    <row r="12" spans="2:20" ht="63.75">
      <c r="B12" s="509" t="s">
        <v>826</v>
      </c>
      <c r="C12" s="510" t="s">
        <v>827</v>
      </c>
      <c r="D12" s="511" t="s">
        <v>828</v>
      </c>
      <c r="E12" s="511" t="s">
        <v>829</v>
      </c>
      <c r="F12" s="512" t="s">
        <v>830</v>
      </c>
      <c r="G12" s="513" t="s">
        <v>831</v>
      </c>
      <c r="H12" s="514" t="s">
        <v>846</v>
      </c>
      <c r="M12" s="509" t="s">
        <v>826</v>
      </c>
      <c r="N12" s="510" t="s">
        <v>827</v>
      </c>
      <c r="O12" s="511" t="s">
        <v>834</v>
      </c>
      <c r="P12" s="511" t="s">
        <v>835</v>
      </c>
      <c r="Q12" s="512" t="s">
        <v>830</v>
      </c>
      <c r="R12" s="513" t="s">
        <v>831</v>
      </c>
      <c r="S12" s="514" t="s">
        <v>832</v>
      </c>
    </row>
    <row r="13" spans="2:20" ht="38.25">
      <c r="B13" s="515" t="s">
        <v>847</v>
      </c>
      <c r="C13" s="516" t="s">
        <v>848</v>
      </c>
      <c r="D13" s="465">
        <f>'DEVIZ GENERAL'!C104</f>
        <v>27493690</v>
      </c>
      <c r="E13" s="523">
        <f>'DEVIZ GENERAL'!D104</f>
        <v>5525481.3399999999</v>
      </c>
      <c r="F13" s="517" t="s">
        <v>849</v>
      </c>
      <c r="G13" s="518" t="s">
        <v>839</v>
      </c>
      <c r="H13" s="2055" t="s">
        <v>850</v>
      </c>
      <c r="M13" s="515" t="s">
        <v>847</v>
      </c>
      <c r="N13" s="516" t="s">
        <v>848</v>
      </c>
      <c r="O13" s="465">
        <f>ROUNDUP(D13*coef,0)</f>
        <v>30585861</v>
      </c>
      <c r="P13" s="465">
        <f>ROUNDUP(E13*coef,0)</f>
        <v>6146924</v>
      </c>
      <c r="Q13" s="517" t="s">
        <v>849</v>
      </c>
      <c r="R13" s="518" t="s">
        <v>839</v>
      </c>
      <c r="S13" s="2056" t="s">
        <v>9</v>
      </c>
    </row>
    <row r="14" spans="2:20" ht="38.25" hidden="1">
      <c r="B14" s="515" t="s">
        <v>847</v>
      </c>
      <c r="C14" s="516" t="s">
        <v>851</v>
      </c>
      <c r="D14" s="465">
        <f>'DEVIZ GENERAL'!C97</f>
        <v>0</v>
      </c>
      <c r="E14" s="523">
        <f>'DEVIZ GENERAL'!D97</f>
        <v>0</v>
      </c>
      <c r="F14" s="517" t="s">
        <v>849</v>
      </c>
      <c r="G14" s="518" t="s">
        <v>839</v>
      </c>
      <c r="H14" s="2055"/>
      <c r="M14" s="515" t="s">
        <v>847</v>
      </c>
      <c r="N14" s="516" t="s">
        <v>851</v>
      </c>
      <c r="O14" s="465">
        <f>ROUNDUP(D14,0)</f>
        <v>0</v>
      </c>
      <c r="P14" s="463">
        <f>'Deviz general curente'!D93</f>
        <v>0</v>
      </c>
      <c r="Q14" s="517" t="s">
        <v>849</v>
      </c>
      <c r="R14" s="518" t="s">
        <v>839</v>
      </c>
      <c r="S14" s="2056"/>
    </row>
    <row r="15" spans="2:20" ht="25.5" hidden="1">
      <c r="B15" s="515" t="s">
        <v>847</v>
      </c>
      <c r="C15" s="524" t="s">
        <v>184</v>
      </c>
      <c r="D15" s="525">
        <f>'DEVIZ GENERAL'!C109</f>
        <v>0</v>
      </c>
      <c r="E15" s="526">
        <f>'DEVIZ GENERAL'!D109</f>
        <v>0</v>
      </c>
      <c r="F15" s="517" t="s">
        <v>849</v>
      </c>
      <c r="G15" s="518" t="s">
        <v>839</v>
      </c>
      <c r="H15" s="2055"/>
      <c r="M15" s="515" t="s">
        <v>847</v>
      </c>
      <c r="N15" s="524" t="s">
        <v>184</v>
      </c>
      <c r="O15" s="465">
        <f>ROUNDUP(D15,0)</f>
        <v>0</v>
      </c>
      <c r="P15" s="463">
        <f>'Deviz general curente'!D105</f>
        <v>0</v>
      </c>
      <c r="Q15" s="517" t="s">
        <v>849</v>
      </c>
      <c r="R15" s="518" t="s">
        <v>839</v>
      </c>
      <c r="S15" s="2056"/>
    </row>
    <row r="16" spans="2:20" ht="25.5">
      <c r="B16" s="527" t="s">
        <v>847</v>
      </c>
      <c r="C16" s="524" t="s">
        <v>852</v>
      </c>
      <c r="D16" s="525">
        <f>'DEVIZ GENERAL'!C105</f>
        <v>17812739.16</v>
      </c>
      <c r="E16" s="528">
        <f>'DEVIZ GENERAL'!D105</f>
        <v>3579874.42</v>
      </c>
      <c r="F16" s="529" t="s">
        <v>849</v>
      </c>
      <c r="G16" s="530" t="s">
        <v>839</v>
      </c>
      <c r="H16" s="2055"/>
      <c r="M16" s="515" t="s">
        <v>847</v>
      </c>
      <c r="N16" s="516" t="s">
        <v>852</v>
      </c>
      <c r="O16" s="465">
        <f>ROUNDUP(D16,0)</f>
        <v>17812740</v>
      </c>
      <c r="P16" s="465">
        <f>ROUNDUP(E16,0)</f>
        <v>3579875</v>
      </c>
      <c r="Q16" s="517" t="s">
        <v>849</v>
      </c>
      <c r="R16" s="518" t="s">
        <v>839</v>
      </c>
      <c r="S16" s="2056"/>
    </row>
    <row r="17" spans="2:19" ht="51">
      <c r="B17" s="531" t="s">
        <v>853</v>
      </c>
      <c r="C17" s="532" t="s">
        <v>854</v>
      </c>
      <c r="D17" s="466">
        <f>SUM(D13:D16)</f>
        <v>45306429.159999996</v>
      </c>
      <c r="E17" s="533">
        <f>SUM(E13:E16)</f>
        <v>9105355.7599999998</v>
      </c>
      <c r="F17" s="534" t="s">
        <v>849</v>
      </c>
      <c r="G17" s="535" t="s">
        <v>839</v>
      </c>
      <c r="H17" s="536">
        <f>D14+D16+D15</f>
        <v>17812739.16</v>
      </c>
      <c r="M17" s="531" t="s">
        <v>853</v>
      </c>
      <c r="N17" s="532" t="s">
        <v>854</v>
      </c>
      <c r="O17" s="466">
        <f>SUM(O13:O16)</f>
        <v>48398601</v>
      </c>
      <c r="P17" s="520">
        <f>SUM(P13:P16)</f>
        <v>9726799</v>
      </c>
      <c r="Q17" s="534" t="s">
        <v>849</v>
      </c>
      <c r="R17" s="535" t="s">
        <v>839</v>
      </c>
      <c r="S17" s="582">
        <f>O14+O15+O16</f>
        <v>17812740</v>
      </c>
    </row>
    <row r="19" spans="2:19" ht="15">
      <c r="B19" s="508" t="s">
        <v>855</v>
      </c>
      <c r="D19" s="163"/>
      <c r="E19" s="163"/>
      <c r="M19" s="508" t="s">
        <v>855</v>
      </c>
      <c r="O19" s="163"/>
      <c r="P19" s="163"/>
    </row>
    <row r="21" spans="2:19" ht="63.75">
      <c r="B21" s="509" t="s">
        <v>826</v>
      </c>
      <c r="C21" s="510" t="s">
        <v>827</v>
      </c>
      <c r="D21" s="511" t="s">
        <v>828</v>
      </c>
      <c r="E21" s="511" t="s">
        <v>829</v>
      </c>
      <c r="F21" s="512" t="s">
        <v>830</v>
      </c>
      <c r="G21" s="513" t="s">
        <v>831</v>
      </c>
      <c r="H21" s="514" t="s">
        <v>832</v>
      </c>
      <c r="M21" s="509" t="s">
        <v>826</v>
      </c>
      <c r="N21" s="510" t="s">
        <v>827</v>
      </c>
      <c r="O21" s="511" t="s">
        <v>834</v>
      </c>
      <c r="P21" s="511" t="s">
        <v>835</v>
      </c>
      <c r="Q21" s="512" t="s">
        <v>830</v>
      </c>
      <c r="R21" s="513" t="s">
        <v>831</v>
      </c>
      <c r="S21" s="514" t="s">
        <v>832</v>
      </c>
    </row>
    <row r="22" spans="2:19" ht="63.75">
      <c r="B22" s="515" t="s">
        <v>856</v>
      </c>
      <c r="C22" s="516" t="s">
        <v>857</v>
      </c>
      <c r="D22" s="465">
        <f>'DEVIZ GENERAL'!C25+'DEVIZ GENERAL'!C30+'DEVIZ GENERAL'!C42+'DEVIZ GENERAL'!C63+'DEVIZ GENERAL'!C82+'DEVIZ GENERAL'!C87+'DEVIZ GENERAL'!C92+'DEVIZ GENERAL'!C95+'DEVIZ GENERAL'!C96+'DEVIZ GENERAL'!C102+'DEVIZ GENERAL'!C103+'DEVIZ GENERAL'!C114+'DEVIZ GENERAL'!C145+'DEVIZ GENERAL'!C148</f>
        <v>356591726.32500005</v>
      </c>
      <c r="E22" s="465">
        <f>'DEVIZ GENERAL'!D25+'DEVIZ GENERAL'!D30+'DEVIZ GENERAL'!D42+'DEVIZ GENERAL'!D63+'DEVIZ GENERAL'!D82+'DEVIZ GENERAL'!D87+'DEVIZ GENERAL'!D92+'DEVIZ GENERAL'!D95+'DEVIZ GENERAL'!D96+'DEVIZ GENERAL'!D102+'DEVIZ GENERAL'!D103+'DEVIZ GENERAL'!D114+'DEVIZ GENERAL'!D145+'DEVIZ GENERAL'!D148</f>
        <v>71665204.829999998</v>
      </c>
      <c r="F22" s="517" t="s">
        <v>858</v>
      </c>
      <c r="G22" s="518" t="s">
        <v>839</v>
      </c>
      <c r="H22" s="537" t="s">
        <v>859</v>
      </c>
      <c r="M22" s="515" t="s">
        <v>856</v>
      </c>
      <c r="N22" s="516" t="s">
        <v>857</v>
      </c>
      <c r="O22" s="577">
        <f>ROUNDUP(D22*coef,0)</f>
        <v>396697021</v>
      </c>
      <c r="P22" s="577">
        <f>ROUNDUP(E22*coef,2)</f>
        <v>79725274.440000013</v>
      </c>
      <c r="Q22" s="517" t="s">
        <v>858</v>
      </c>
      <c r="R22" s="518" t="s">
        <v>839</v>
      </c>
      <c r="S22" s="537" t="s">
        <v>859</v>
      </c>
    </row>
    <row r="23" spans="2:19">
      <c r="B23" s="2051" t="s">
        <v>860</v>
      </c>
      <c r="C23" s="2052"/>
      <c r="D23" s="466">
        <f>SUM(D22:D22)</f>
        <v>356591726.32500005</v>
      </c>
      <c r="E23" s="533">
        <f>SUM(E22:E22)</f>
        <v>71665204.829999998</v>
      </c>
      <c r="F23" s="521"/>
      <c r="G23" s="522"/>
      <c r="M23" s="2051" t="s">
        <v>860</v>
      </c>
      <c r="N23" s="2052"/>
      <c r="O23" s="466">
        <f>SUM(O22:O22)</f>
        <v>396697021</v>
      </c>
      <c r="P23" s="520">
        <f>SUM(P22:P22)</f>
        <v>79725274.440000013</v>
      </c>
      <c r="Q23" s="521"/>
      <c r="R23" s="522"/>
    </row>
    <row r="24" spans="2:19">
      <c r="B24" s="538" t="s">
        <v>861</v>
      </c>
      <c r="C24" s="539"/>
      <c r="D24" s="470"/>
      <c r="E24" s="470"/>
      <c r="M24" s="538" t="s">
        <v>862</v>
      </c>
      <c r="N24" s="539"/>
      <c r="O24" s="470"/>
      <c r="P24" s="470"/>
    </row>
    <row r="25" spans="2:19">
      <c r="B25" t="s">
        <v>863</v>
      </c>
    </row>
    <row r="26" spans="2:19" ht="15">
      <c r="B26" s="508" t="s">
        <v>864</v>
      </c>
      <c r="M26" s="508" t="s">
        <v>864</v>
      </c>
    </row>
    <row r="28" spans="2:19" ht="63.75">
      <c r="B28" s="540" t="s">
        <v>865</v>
      </c>
      <c r="C28" s="541" t="s">
        <v>866</v>
      </c>
      <c r="D28" s="542" t="s">
        <v>828</v>
      </c>
      <c r="E28" s="543" t="s">
        <v>829</v>
      </c>
      <c r="M28" s="540" t="s">
        <v>865</v>
      </c>
      <c r="N28" s="541" t="s">
        <v>866</v>
      </c>
      <c r="O28" s="511" t="s">
        <v>834</v>
      </c>
      <c r="P28" s="512" t="s">
        <v>835</v>
      </c>
    </row>
    <row r="29" spans="2:19" ht="51">
      <c r="B29" s="1657" t="s">
        <v>46</v>
      </c>
      <c r="C29" s="544" t="s">
        <v>131</v>
      </c>
      <c r="D29" s="545">
        <f>'DEVIZ GENERAL'!C39</f>
        <v>1801197</v>
      </c>
      <c r="E29" s="546">
        <f>'DEVIZ GENERAL'!D39</f>
        <v>361991.44</v>
      </c>
      <c r="M29" s="1657" t="s">
        <v>46</v>
      </c>
      <c r="N29" s="544" t="s">
        <v>131</v>
      </c>
      <c r="O29" s="577">
        <f t="shared" ref="O29:P32" si="0">ROUNDUP(D29*coef,0)</f>
        <v>2003775</v>
      </c>
      <c r="P29" s="578">
        <f t="shared" si="0"/>
        <v>402705</v>
      </c>
    </row>
    <row r="30" spans="2:19" ht="21.75" customHeight="1">
      <c r="B30" s="1658" t="s">
        <v>64</v>
      </c>
      <c r="C30" s="547" t="s">
        <v>867</v>
      </c>
      <c r="D30" s="548">
        <f>'DEVIZ GENERAL'!C137</f>
        <v>38792083</v>
      </c>
      <c r="E30" s="549">
        <f>'DEVIZ GENERAL'!D137</f>
        <v>7796149.9699999997</v>
      </c>
      <c r="M30" s="1658" t="s">
        <v>64</v>
      </c>
      <c r="N30" s="547" t="s">
        <v>867</v>
      </c>
      <c r="O30" s="577">
        <f t="shared" si="0"/>
        <v>43154966</v>
      </c>
      <c r="P30" s="578">
        <f t="shared" si="0"/>
        <v>8672971</v>
      </c>
    </row>
    <row r="31" spans="2:19" ht="25.5">
      <c r="B31" s="1659" t="s">
        <v>62</v>
      </c>
      <c r="C31" s="550" t="s">
        <v>191</v>
      </c>
      <c r="D31" s="551">
        <f>'DEVIZ GENERAL'!C123</f>
        <v>3306398</v>
      </c>
      <c r="E31" s="552">
        <f>'DEVIZ GENERAL'!D123</f>
        <v>664495.77</v>
      </c>
      <c r="M31" s="1659" t="s">
        <v>62</v>
      </c>
      <c r="N31" s="550" t="s">
        <v>191</v>
      </c>
      <c r="O31" s="577">
        <f t="shared" si="0"/>
        <v>3678264</v>
      </c>
      <c r="P31" s="578">
        <f t="shared" si="0"/>
        <v>739231</v>
      </c>
    </row>
    <row r="32" spans="2:19" ht="38.25">
      <c r="B32" s="2053" t="s">
        <v>214</v>
      </c>
      <c r="C32" s="553" t="s">
        <v>868</v>
      </c>
      <c r="D32" s="554">
        <f>'DEVIZ GENERAL'!C160</f>
        <v>876130</v>
      </c>
      <c r="E32" s="555">
        <f>'DEVIZ GENERAL'!D160</f>
        <v>176078.22</v>
      </c>
      <c r="M32" s="2053" t="s">
        <v>214</v>
      </c>
      <c r="N32" s="553" t="s">
        <v>868</v>
      </c>
      <c r="O32" s="577">
        <f t="shared" si="0"/>
        <v>974667</v>
      </c>
      <c r="P32" s="578">
        <f t="shared" si="0"/>
        <v>195882</v>
      </c>
    </row>
    <row r="33" spans="2:16" ht="25.5">
      <c r="B33" s="2053"/>
      <c r="C33" s="553" t="s">
        <v>869</v>
      </c>
      <c r="D33" s="554">
        <v>0</v>
      </c>
      <c r="E33" s="555">
        <v>0</v>
      </c>
      <c r="M33" s="2053"/>
      <c r="N33" s="553" t="s">
        <v>869</v>
      </c>
      <c r="O33" s="579">
        <v>0</v>
      </c>
      <c r="P33" s="580">
        <v>0</v>
      </c>
    </row>
    <row r="34" spans="2:16" ht="76.5">
      <c r="B34" s="2054"/>
      <c r="C34" s="556" t="s">
        <v>78</v>
      </c>
      <c r="D34" s="557">
        <f>'DEVIZ GENERAL'!C161</f>
        <v>37999.9784</v>
      </c>
      <c r="E34" s="558">
        <f>'DEVIZ GENERAL'!D161</f>
        <v>7636.96</v>
      </c>
      <c r="M34" s="2054"/>
      <c r="N34" s="556" t="s">
        <v>78</v>
      </c>
      <c r="O34" s="577">
        <f>ROUNDUP(D34*coef,0)</f>
        <v>42274</v>
      </c>
      <c r="P34" s="578">
        <f>ROUNDUP(E34*coef,0)</f>
        <v>8496</v>
      </c>
    </row>
    <row r="35" spans="2:16">
      <c r="B35" s="2049" t="s">
        <v>870</v>
      </c>
      <c r="C35" s="2050"/>
      <c r="D35" s="559">
        <f>SUM(D29:D34)</f>
        <v>44813807.978399999</v>
      </c>
      <c r="E35" s="560">
        <f>SUM(E29:E34)</f>
        <v>9006352.3600000013</v>
      </c>
      <c r="M35" s="2051" t="s">
        <v>871</v>
      </c>
      <c r="N35" s="2052"/>
      <c r="O35" s="466">
        <f>SUM(O29:O34)</f>
        <v>49853946</v>
      </c>
      <c r="P35" s="581">
        <f>SUM(P29:P34)</f>
        <v>10019285</v>
      </c>
    </row>
    <row r="37" spans="2:16" ht="63.75">
      <c r="B37" s="508" t="s">
        <v>872</v>
      </c>
      <c r="C37" s="541" t="s">
        <v>866</v>
      </c>
      <c r="D37" s="542" t="s">
        <v>828</v>
      </c>
      <c r="E37" s="543" t="s">
        <v>829</v>
      </c>
      <c r="M37" s="508" t="s">
        <v>872</v>
      </c>
      <c r="N37" s="541" t="s">
        <v>866</v>
      </c>
      <c r="O37" s="511" t="s">
        <v>834</v>
      </c>
      <c r="P37" s="511" t="s">
        <v>835</v>
      </c>
    </row>
    <row r="38" spans="2:16">
      <c r="C38" s="561" t="s">
        <v>873</v>
      </c>
      <c r="D38" s="562">
        <f>D8</f>
        <v>15574355</v>
      </c>
      <c r="E38" s="563">
        <f>E8</f>
        <v>3130020.3000000003</v>
      </c>
      <c r="N38" s="561" t="s">
        <v>873</v>
      </c>
      <c r="O38" s="562">
        <f>O8</f>
        <v>17325978</v>
      </c>
      <c r="P38" s="563">
        <f>P8</f>
        <v>3482050</v>
      </c>
    </row>
    <row r="39" spans="2:16">
      <c r="C39" s="564" t="s">
        <v>874</v>
      </c>
      <c r="D39" s="565">
        <f>D17</f>
        <v>45306429.159999996</v>
      </c>
      <c r="E39" s="566">
        <f>E17</f>
        <v>9105355.7599999998</v>
      </c>
      <c r="N39" s="564" t="s">
        <v>874</v>
      </c>
      <c r="O39" s="565">
        <f>O17</f>
        <v>48398601</v>
      </c>
      <c r="P39" s="566">
        <f>P17</f>
        <v>9726799</v>
      </c>
    </row>
    <row r="40" spans="2:16">
      <c r="C40" s="564" t="s">
        <v>875</v>
      </c>
      <c r="D40" s="565">
        <f>D23</f>
        <v>356591726.32500005</v>
      </c>
      <c r="E40" s="566">
        <f>E23</f>
        <v>71665204.829999998</v>
      </c>
      <c r="N40" s="564" t="s">
        <v>875</v>
      </c>
      <c r="O40" s="565">
        <f>O23</f>
        <v>396697021</v>
      </c>
      <c r="P40" s="566">
        <f>P23</f>
        <v>79725274.440000013</v>
      </c>
    </row>
    <row r="41" spans="2:16">
      <c r="C41" s="567" t="s">
        <v>876</v>
      </c>
      <c r="D41" s="568">
        <f>D35</f>
        <v>44813807.978399999</v>
      </c>
      <c r="E41" s="569">
        <f>E35</f>
        <v>9006352.3600000013</v>
      </c>
      <c r="N41" s="567" t="s">
        <v>876</v>
      </c>
      <c r="O41" s="568">
        <f>O35</f>
        <v>49853946</v>
      </c>
      <c r="P41" s="569">
        <f>P35</f>
        <v>10019285</v>
      </c>
    </row>
    <row r="42" spans="2:16">
      <c r="C42" s="570" t="s">
        <v>877</v>
      </c>
      <c r="D42" s="571">
        <f>SUM(D38:D41)</f>
        <v>462286318.46340001</v>
      </c>
      <c r="E42" s="571">
        <f>SUM(E38:E41)</f>
        <v>92906933.25</v>
      </c>
      <c r="N42" s="570" t="s">
        <v>878</v>
      </c>
      <c r="O42" s="571">
        <f>SUM(O38:O41)</f>
        <v>512275546</v>
      </c>
      <c r="P42" s="571">
        <f>SUM(P38:P41)</f>
        <v>102953408.44000001</v>
      </c>
    </row>
    <row r="43" spans="2:16">
      <c r="C43" s="572" t="s">
        <v>9</v>
      </c>
      <c r="D43" s="573" t="s">
        <v>9</v>
      </c>
      <c r="E43" s="574" t="s">
        <v>9</v>
      </c>
      <c r="N43" s="572"/>
      <c r="O43" s="573"/>
      <c r="P43" s="574"/>
    </row>
    <row r="44" spans="2:16">
      <c r="C44" s="572" t="s">
        <v>9</v>
      </c>
      <c r="D44" s="573" t="s">
        <v>9</v>
      </c>
      <c r="E44" s="573" t="s">
        <v>9</v>
      </c>
      <c r="N44" s="572"/>
      <c r="O44" s="573"/>
      <c r="P44" s="574"/>
    </row>
    <row r="45" spans="2:16">
      <c r="C45" s="572"/>
      <c r="D45" s="573"/>
      <c r="E45" s="574"/>
      <c r="N45" s="572"/>
      <c r="O45" s="573"/>
      <c r="P45" s="574"/>
    </row>
    <row r="46" spans="2:16">
      <c r="C46" s="575" t="s">
        <v>879</v>
      </c>
      <c r="D46" s="53">
        <f>'DEVIZ GENERAL'!C164</f>
        <v>462286318.46340001</v>
      </c>
      <c r="E46" s="269">
        <f>'DEVIZ GENERAL'!D164</f>
        <v>92906933.249999985</v>
      </c>
      <c r="N46" s="575" t="s">
        <v>880</v>
      </c>
      <c r="O46" s="53">
        <f>'Deviz general curente'!C145</f>
        <v>512275545</v>
      </c>
      <c r="P46" s="269">
        <f>'Deviz general curente'!D145</f>
        <v>102953403.46000001</v>
      </c>
    </row>
    <row r="47" spans="2:16">
      <c r="C47" s="575" t="s">
        <v>881</v>
      </c>
      <c r="E47" s="269">
        <f>'esalonare investitie'!O48</f>
        <v>92906933.250000015</v>
      </c>
      <c r="N47" s="575" t="s">
        <v>881</v>
      </c>
      <c r="P47" s="269">
        <f>'esalonare investitie'!O62</f>
        <v>102953403.25</v>
      </c>
    </row>
    <row r="48" spans="2:16">
      <c r="C48" s="572" t="s">
        <v>882</v>
      </c>
      <c r="D48" s="163">
        <f>'Deviz general curente'!C145</f>
        <v>512275545</v>
      </c>
      <c r="E48" s="163">
        <f>'Deviz general curente'!D145</f>
        <v>102953403.46000001</v>
      </c>
      <c r="O48" s="163" t="s">
        <v>9</v>
      </c>
      <c r="P48" s="163" t="s">
        <v>9</v>
      </c>
    </row>
    <row r="49" spans="4:16">
      <c r="P49" s="274" t="s">
        <v>9</v>
      </c>
    </row>
    <row r="50" spans="4:16">
      <c r="D50" s="163">
        <f>D46-D42</f>
        <v>0</v>
      </c>
      <c r="E50" s="163">
        <f>D50/euro</f>
        <v>0</v>
      </c>
      <c r="O50" s="163">
        <f>O46-O42</f>
        <v>-1</v>
      </c>
      <c r="P50" s="163">
        <f>O50/euro</f>
        <v>-0.20097270790626634</v>
      </c>
    </row>
  </sheetData>
  <mergeCells count="10">
    <mergeCell ref="S13:S16"/>
    <mergeCell ref="B8:C8"/>
    <mergeCell ref="M8:N8"/>
    <mergeCell ref="B23:C23"/>
    <mergeCell ref="M23:N23"/>
    <mergeCell ref="B35:C35"/>
    <mergeCell ref="M35:N35"/>
    <mergeCell ref="B32:B34"/>
    <mergeCell ref="H13:H16"/>
    <mergeCell ref="M32:M34"/>
  </mergeCells>
  <pageMargins left="0.7" right="0.7" top="0.75" bottom="0.75" header="0.3" footer="0.3"/>
  <pageSetup paperSize="9" scale="38" fitToHeight="0" orientation="landscape" r:id="rId1"/>
  <rowBreaks count="2" manualBreakCount="2">
    <brk id="9" max="5" man="1"/>
    <brk id="25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93"/>
  <sheetViews>
    <sheetView tabSelected="1" view="pageBreakPreview" zoomScale="75" zoomScaleNormal="75" workbookViewId="0">
      <selection activeCell="Q15" sqref="Q15"/>
    </sheetView>
  </sheetViews>
  <sheetFormatPr defaultColWidth="8.85546875" defaultRowHeight="12.75"/>
  <cols>
    <col min="1" max="1" width="8.28515625" style="273" customWidth="1"/>
    <col min="2" max="2" width="56.85546875" customWidth="1"/>
    <col min="3" max="4" width="23.7109375" customWidth="1"/>
    <col min="5" max="7" width="19.140625" customWidth="1"/>
    <col min="8" max="8" width="20.140625" customWidth="1"/>
    <col min="9" max="9" width="19" hidden="1" customWidth="1"/>
    <col min="10" max="10" width="15.28515625" hidden="1" customWidth="1"/>
    <col min="11" max="11" width="12.28515625" hidden="1" customWidth="1"/>
    <col min="12" max="12" width="12" hidden="1" customWidth="1"/>
    <col min="13" max="14" width="12.7109375" customWidth="1"/>
    <col min="15" max="15" width="10.85546875" customWidth="1"/>
  </cols>
  <sheetData>
    <row r="1" spans="1:12" s="730" customFormat="1" ht="18" customHeight="1">
      <c r="A1" s="1463"/>
      <c r="C1" s="1742"/>
      <c r="D1" s="1742"/>
      <c r="E1" s="1742"/>
      <c r="F1" s="1745" t="s">
        <v>1142</v>
      </c>
      <c r="G1" s="1745"/>
      <c r="H1" s="1745"/>
    </row>
    <row r="2" spans="1:12" s="730" customFormat="1" ht="12.75" customHeight="1">
      <c r="A2" s="1463"/>
      <c r="B2" s="1742"/>
      <c r="C2" s="1742"/>
      <c r="D2" s="1742"/>
      <c r="E2" s="1742"/>
      <c r="F2" s="1742"/>
      <c r="G2" s="1742"/>
      <c r="H2" s="1742"/>
    </row>
    <row r="3" spans="1:12" s="730" customFormat="1" ht="3" customHeight="1">
      <c r="A3" s="1464"/>
      <c r="B3" s="1742"/>
      <c r="C3" s="1742"/>
      <c r="D3" s="1742"/>
      <c r="E3" s="1742"/>
      <c r="F3" s="1742"/>
      <c r="G3" s="1742"/>
      <c r="H3" s="1742"/>
    </row>
    <row r="4" spans="1:12" s="730" customFormat="1" ht="19.5" customHeight="1">
      <c r="A4" s="1465"/>
      <c r="B4" s="1745" t="s">
        <v>95</v>
      </c>
      <c r="C4" s="1745"/>
      <c r="D4" s="1745"/>
      <c r="E4" s="1745"/>
      <c r="F4" s="1745"/>
      <c r="G4" s="1745"/>
      <c r="H4" s="1743"/>
    </row>
    <row r="5" spans="1:12" s="730" customFormat="1">
      <c r="A5" s="1466"/>
      <c r="B5" s="1466"/>
      <c r="C5" s="1466"/>
      <c r="D5" s="1466"/>
      <c r="E5" s="1467"/>
      <c r="F5" s="1467"/>
      <c r="G5" s="1467"/>
      <c r="H5" s="1468"/>
    </row>
    <row r="6" spans="1:12" ht="26.25">
      <c r="A6" s="1746" t="s">
        <v>96</v>
      </c>
      <c r="B6" s="1747"/>
      <c r="C6" s="1747"/>
      <c r="D6" s="1747"/>
      <c r="E6" s="1747"/>
      <c r="F6" s="1747"/>
      <c r="G6" s="1747"/>
      <c r="H6" s="1748"/>
    </row>
    <row r="7" spans="1:12" s="1018" customFormat="1" ht="39.75" customHeight="1">
      <c r="A7" s="1749" t="s">
        <v>97</v>
      </c>
      <c r="B7" s="1750"/>
      <c r="C7" s="1750"/>
      <c r="D7" s="1750"/>
      <c r="E7" s="1750"/>
      <c r="F7" s="1750"/>
      <c r="G7" s="1750"/>
      <c r="H7" s="1751"/>
      <c r="I7" s="1099"/>
      <c r="J7" s="1099"/>
      <c r="K7" s="1099"/>
      <c r="L7" s="1099"/>
    </row>
    <row r="8" spans="1:12">
      <c r="A8" s="1752" t="s">
        <v>98</v>
      </c>
      <c r="B8" s="1753"/>
      <c r="C8" s="1753"/>
      <c r="D8" s="1753"/>
      <c r="E8" s="1753"/>
      <c r="F8" s="1753"/>
      <c r="G8" s="1753"/>
      <c r="H8" s="1754"/>
    </row>
    <row r="9" spans="1:12" ht="25.5">
      <c r="A9" s="1758" t="s">
        <v>99</v>
      </c>
      <c r="B9" s="1795" t="s">
        <v>100</v>
      </c>
      <c r="C9" s="1755" t="s">
        <v>101</v>
      </c>
      <c r="D9" s="1756"/>
      <c r="E9" s="1755" t="s">
        <v>102</v>
      </c>
      <c r="F9" s="1756"/>
      <c r="G9" s="1755" t="s">
        <v>103</v>
      </c>
      <c r="H9" s="1757"/>
      <c r="I9" s="1509" t="s">
        <v>104</v>
      </c>
      <c r="J9" s="1510" t="s">
        <v>105</v>
      </c>
      <c r="K9" s="1511" t="s">
        <v>106</v>
      </c>
      <c r="L9" s="1512" t="s">
        <v>107</v>
      </c>
    </row>
    <row r="10" spans="1:12" s="585" customFormat="1" ht="17.25" customHeight="1">
      <c r="A10" s="1759"/>
      <c r="B10" s="1796"/>
      <c r="C10" s="1471" t="s">
        <v>108</v>
      </c>
      <c r="D10" s="1471" t="s">
        <v>81</v>
      </c>
      <c r="E10" s="1471" t="s">
        <v>108</v>
      </c>
      <c r="F10" s="1472" t="s">
        <v>81</v>
      </c>
      <c r="G10" s="1472" t="s">
        <v>108</v>
      </c>
      <c r="H10" s="1473" t="s">
        <v>81</v>
      </c>
      <c r="I10" s="1509" t="s">
        <v>108</v>
      </c>
      <c r="J10" s="1510" t="s">
        <v>108</v>
      </c>
      <c r="K10" s="1510" t="s">
        <v>108</v>
      </c>
      <c r="L10" s="1510" t="s">
        <v>108</v>
      </c>
    </row>
    <row r="11" spans="1:12">
      <c r="A11" s="1469">
        <v>1</v>
      </c>
      <c r="B11" s="1470">
        <v>2</v>
      </c>
      <c r="C11" s="1470">
        <v>3</v>
      </c>
      <c r="D11" s="1470"/>
      <c r="E11" s="1470">
        <v>4</v>
      </c>
      <c r="F11" s="1474"/>
      <c r="G11" s="1474"/>
      <c r="H11" s="1475">
        <v>5</v>
      </c>
      <c r="I11" s="1513"/>
      <c r="J11" s="1510"/>
      <c r="K11" s="1511"/>
      <c r="L11" s="1511"/>
    </row>
    <row r="12" spans="1:12">
      <c r="A12" s="1760" t="s">
        <v>109</v>
      </c>
      <c r="B12" s="1761"/>
      <c r="C12" s="1761"/>
      <c r="D12" s="1761"/>
      <c r="E12" s="1761"/>
      <c r="F12" s="1762"/>
      <c r="G12" s="1762"/>
      <c r="H12" s="1763"/>
    </row>
    <row r="13" spans="1:12">
      <c r="A13" s="1476" t="s">
        <v>110</v>
      </c>
      <c r="B13" s="928" t="s">
        <v>111</v>
      </c>
      <c r="C13" s="1034">
        <f>SUM(C14:C15)</f>
        <v>0</v>
      </c>
      <c r="D13" s="1034">
        <f>SUM(D14:D15)</f>
        <v>0</v>
      </c>
      <c r="E13" s="1034">
        <f>SUM(E14:E15)</f>
        <v>0</v>
      </c>
      <c r="F13" s="1038"/>
      <c r="G13" s="1038">
        <f>SUM(G14:G15)</f>
        <v>0</v>
      </c>
      <c r="H13" s="1039">
        <f>SUM(H14:H15)</f>
        <v>0</v>
      </c>
    </row>
    <row r="14" spans="1:12">
      <c r="A14" s="1476"/>
      <c r="B14" s="1477" t="s">
        <v>112</v>
      </c>
      <c r="C14" s="1034">
        <f>'D2.Deviz ITDCS-summary '!C12</f>
        <v>0</v>
      </c>
      <c r="D14" s="1034">
        <f>C14/euro</f>
        <v>0</v>
      </c>
      <c r="E14" s="1034">
        <f>C14*TVA</f>
        <v>0</v>
      </c>
      <c r="F14" s="1038"/>
      <c r="G14" s="1038">
        <f>C14+E14</f>
        <v>0</v>
      </c>
      <c r="H14" s="1039">
        <f>G14/euro</f>
        <v>0</v>
      </c>
    </row>
    <row r="15" spans="1:12">
      <c r="A15" s="1476"/>
      <c r="B15" s="1477" t="s">
        <v>9</v>
      </c>
      <c r="C15" s="1034">
        <f>'Deviz CST Sotanga-op'!F12</f>
        <v>0</v>
      </c>
      <c r="D15" s="1034">
        <f>C15/euro</f>
        <v>0</v>
      </c>
      <c r="E15" s="1034">
        <f>C15*TVA</f>
        <v>0</v>
      </c>
      <c r="F15" s="1038"/>
      <c r="G15" s="1038">
        <f>C15+E15</f>
        <v>0</v>
      </c>
      <c r="H15" s="1039">
        <f>G15/euro</f>
        <v>0</v>
      </c>
    </row>
    <row r="16" spans="1:12">
      <c r="A16" s="1476" t="s">
        <v>113</v>
      </c>
      <c r="B16" s="928" t="s">
        <v>114</v>
      </c>
      <c r="C16" s="1034">
        <f>SUM(C17:C18)</f>
        <v>0</v>
      </c>
      <c r="D16" s="1034">
        <f>SUM(D17:D18)</f>
        <v>0</v>
      </c>
      <c r="E16" s="1034">
        <f>SUM(E17:E18)</f>
        <v>0</v>
      </c>
      <c r="F16" s="1038"/>
      <c r="G16" s="1038">
        <f>SUM(G17:G18)</f>
        <v>0</v>
      </c>
      <c r="H16" s="1039">
        <f>SUM(H17:H18)</f>
        <v>0</v>
      </c>
    </row>
    <row r="17" spans="1:13">
      <c r="A17" s="1476"/>
      <c r="B17" s="1477" t="s">
        <v>112</v>
      </c>
      <c r="C17" s="1034">
        <f>'D2.Deviz ITDCS-summary '!C14</f>
        <v>0</v>
      </c>
      <c r="D17" s="1034">
        <f>C17/euro</f>
        <v>0</v>
      </c>
      <c r="E17" s="1034">
        <f>C17*TVA</f>
        <v>0</v>
      </c>
      <c r="F17" s="1038"/>
      <c r="G17" s="1038">
        <f>C17+E17</f>
        <v>0</v>
      </c>
      <c r="H17" s="1039">
        <f>G17/euro</f>
        <v>0</v>
      </c>
    </row>
    <row r="18" spans="1:13">
      <c r="A18" s="1476"/>
      <c r="B18" s="1477" t="s">
        <v>9</v>
      </c>
      <c r="C18" s="1034">
        <f>'Deviz CST Sotanga-op'!F13</f>
        <v>0</v>
      </c>
      <c r="D18" s="1034">
        <f>C18/euro</f>
        <v>0</v>
      </c>
      <c r="E18" s="1034">
        <f>C18*TVA</f>
        <v>0</v>
      </c>
      <c r="F18" s="1038"/>
      <c r="G18" s="1038">
        <f>C18+E18</f>
        <v>0</v>
      </c>
      <c r="H18" s="1039">
        <f>G18/euro</f>
        <v>0</v>
      </c>
    </row>
    <row r="19" spans="1:13">
      <c r="A19" s="1476" t="s">
        <v>115</v>
      </c>
      <c r="B19" s="928" t="s">
        <v>116</v>
      </c>
      <c r="C19" s="1480">
        <f t="shared" ref="C19:H19" si="0">SUM(C20:C21)</f>
        <v>7307532</v>
      </c>
      <c r="D19" s="1480">
        <f t="shared" si="0"/>
        <v>1468614.49</v>
      </c>
      <c r="E19" s="1480">
        <f t="shared" si="0"/>
        <v>1388431</v>
      </c>
      <c r="F19" s="1480">
        <f t="shared" si="0"/>
        <v>279036.74</v>
      </c>
      <c r="G19" s="1481">
        <f t="shared" si="0"/>
        <v>8695963</v>
      </c>
      <c r="H19" s="1482">
        <f t="shared" si="0"/>
        <v>1747651.23</v>
      </c>
    </row>
    <row r="20" spans="1:13">
      <c r="A20" s="1476"/>
      <c r="B20" s="1477" t="s">
        <v>112</v>
      </c>
      <c r="C20" s="1034">
        <f>'D2.Deviz ITDCS-summary '!C17</f>
        <v>7307532</v>
      </c>
      <c r="D20" s="1034">
        <f>ROUND(C20/euro,2)</f>
        <v>1468614.49</v>
      </c>
      <c r="E20" s="1034">
        <f>ROUND(C20*TVA,0)</f>
        <v>1388431</v>
      </c>
      <c r="F20" s="1038">
        <f>ROUND(E20/euro,2)</f>
        <v>279036.74</v>
      </c>
      <c r="G20" s="1038">
        <f>C20+E20</f>
        <v>8695963</v>
      </c>
      <c r="H20" s="1039">
        <f>D20+F20</f>
        <v>1747651.23</v>
      </c>
    </row>
    <row r="21" spans="1:13">
      <c r="A21" s="1476"/>
      <c r="B21" s="1477" t="s">
        <v>9</v>
      </c>
      <c r="C21" s="1034">
        <f>'Deviz CST Sotanga-op'!F14</f>
        <v>0</v>
      </c>
      <c r="D21" s="1034">
        <f>C21/euro</f>
        <v>0</v>
      </c>
      <c r="E21" s="1034">
        <f>C21*TVA</f>
        <v>0</v>
      </c>
      <c r="F21" s="1038"/>
      <c r="G21" s="1038">
        <f>C21+E21</f>
        <v>0</v>
      </c>
      <c r="H21" s="1039">
        <f>G21/euro</f>
        <v>0</v>
      </c>
    </row>
    <row r="22" spans="1:13">
      <c r="A22" s="1476" t="s">
        <v>117</v>
      </c>
      <c r="B22" s="928" t="s">
        <v>118</v>
      </c>
      <c r="C22" s="1034">
        <f>SUM(C23:C24)</f>
        <v>0</v>
      </c>
      <c r="D22" s="1034">
        <f>SUM(D23:D24)</f>
        <v>0</v>
      </c>
      <c r="E22" s="1034">
        <f>SUM(E23:E24)</f>
        <v>0</v>
      </c>
      <c r="F22" s="1038"/>
      <c r="G22" s="1038">
        <f>SUM(G23:G24)</f>
        <v>0</v>
      </c>
      <c r="H22" s="1039">
        <f>SUM(H23:H24)</f>
        <v>0</v>
      </c>
    </row>
    <row r="23" spans="1:13">
      <c r="A23" s="1476"/>
      <c r="B23" s="1477" t="s">
        <v>112</v>
      </c>
      <c r="C23" s="1034">
        <f>'D2.Deviz ITDCS-summary '!C19</f>
        <v>0</v>
      </c>
      <c r="D23" s="1034">
        <f>C23/euro</f>
        <v>0</v>
      </c>
      <c r="E23" s="1034">
        <f>C23*TVA</f>
        <v>0</v>
      </c>
      <c r="F23" s="1038"/>
      <c r="G23" s="1038">
        <f>C23+E23</f>
        <v>0</v>
      </c>
      <c r="H23" s="1039">
        <f>G23/euro</f>
        <v>0</v>
      </c>
    </row>
    <row r="24" spans="1:13">
      <c r="A24" s="1476"/>
      <c r="B24" s="1477" t="s">
        <v>9</v>
      </c>
      <c r="C24" s="1034">
        <f>'Deviz CST Sotanga-op'!F15</f>
        <v>0</v>
      </c>
      <c r="D24" s="1034">
        <f>C24/euro</f>
        <v>0</v>
      </c>
      <c r="E24" s="1034">
        <f>C24*TVA</f>
        <v>0</v>
      </c>
      <c r="F24" s="1038"/>
      <c r="G24" s="1038">
        <f>C24+E24</f>
        <v>0</v>
      </c>
      <c r="H24" s="1039">
        <f>G24/euro</f>
        <v>0</v>
      </c>
    </row>
    <row r="25" spans="1:13">
      <c r="A25" s="1764" t="s">
        <v>119</v>
      </c>
      <c r="B25" s="1765"/>
      <c r="C25" s="1480">
        <f>C22+C19+C16+C13</f>
        <v>7307532</v>
      </c>
      <c r="D25" s="1480">
        <f t="shared" ref="D25:H25" si="1">D22+D19+D16+D13</f>
        <v>1468614.49</v>
      </c>
      <c r="E25" s="1480">
        <f t="shared" si="1"/>
        <v>1388431</v>
      </c>
      <c r="F25" s="1481">
        <f t="shared" si="1"/>
        <v>279036.74</v>
      </c>
      <c r="G25" s="1481">
        <f t="shared" si="1"/>
        <v>8695963</v>
      </c>
      <c r="H25" s="1482">
        <f t="shared" si="1"/>
        <v>1747651.23</v>
      </c>
      <c r="M25" s="274" t="s">
        <v>9</v>
      </c>
    </row>
    <row r="26" spans="1:13">
      <c r="A26" s="1766" t="s">
        <v>120</v>
      </c>
      <c r="B26" s="1767"/>
      <c r="C26" s="1767"/>
      <c r="D26" s="1767"/>
      <c r="E26" s="1767"/>
      <c r="F26" s="1768"/>
      <c r="G26" s="1768"/>
      <c r="H26" s="1769"/>
    </row>
    <row r="27" spans="1:13">
      <c r="A27" s="916" t="s">
        <v>121</v>
      </c>
      <c r="B27" s="1477" t="s">
        <v>112</v>
      </c>
      <c r="C27" s="1034">
        <f>'D2.Deviz ITDCS-summary '!C26</f>
        <v>3845627.5</v>
      </c>
      <c r="D27" s="1034">
        <f>ROUND(C27/euro,2)</f>
        <v>772866.17</v>
      </c>
      <c r="E27" s="1034">
        <f>ROUND(C27*TVA,0)</f>
        <v>730669</v>
      </c>
      <c r="F27" s="1038">
        <f>ROUND(E27/euro,2)</f>
        <v>146844.53</v>
      </c>
      <c r="G27" s="1038">
        <f>C27+E27</f>
        <v>4576296.5</v>
      </c>
      <c r="H27" s="1039">
        <f>D27+F27</f>
        <v>919710.70000000007</v>
      </c>
    </row>
    <row r="28" spans="1:13">
      <c r="A28" s="916" t="s">
        <v>9</v>
      </c>
      <c r="B28" s="1477" t="s">
        <v>9</v>
      </c>
      <c r="C28" s="1034">
        <f>'Deviz CST Sotanga-op'!F19</f>
        <v>0</v>
      </c>
      <c r="D28" s="1034">
        <f>'Deviz CST Sotanga-op'!G19</f>
        <v>0</v>
      </c>
      <c r="E28" s="1034">
        <f>'Deviz CST Sotanga-op'!H19</f>
        <v>0</v>
      </c>
      <c r="F28" s="1038">
        <f>'Deviz CST Sotanga-op'!I19</f>
        <v>0</v>
      </c>
      <c r="G28" s="1038">
        <f>'Deviz CST Sotanga-op'!J19</f>
        <v>0</v>
      </c>
      <c r="H28" s="1039">
        <f>'Deviz CST Sotanga-op'!K19</f>
        <v>0</v>
      </c>
    </row>
    <row r="29" spans="1:13" hidden="1">
      <c r="A29" s="916" t="s">
        <v>9</v>
      </c>
      <c r="B29" s="1484" t="s">
        <v>9</v>
      </c>
      <c r="C29" s="1034"/>
      <c r="D29" s="1034">
        <f>C29/euro</f>
        <v>0</v>
      </c>
      <c r="E29" s="1034"/>
      <c r="F29" s="1038"/>
      <c r="G29" s="1038">
        <f>C29+E29</f>
        <v>0</v>
      </c>
      <c r="H29" s="1039">
        <f>D29+F29</f>
        <v>0</v>
      </c>
    </row>
    <row r="30" spans="1:13">
      <c r="A30" s="1764" t="s">
        <v>122</v>
      </c>
      <c r="B30" s="1765"/>
      <c r="C30" s="1480">
        <f>SUM(C27:C29)</f>
        <v>3845627.5</v>
      </c>
      <c r="D30" s="1480">
        <f t="shared" ref="D30:H30" si="2">SUM(D27:D29)</f>
        <v>772866.17</v>
      </c>
      <c r="E30" s="1480">
        <f t="shared" si="2"/>
        <v>730669</v>
      </c>
      <c r="F30" s="1481">
        <f t="shared" si="2"/>
        <v>146844.53</v>
      </c>
      <c r="G30" s="1481">
        <f t="shared" si="2"/>
        <v>4576296.5</v>
      </c>
      <c r="H30" s="1482">
        <f t="shared" si="2"/>
        <v>919710.70000000007</v>
      </c>
      <c r="M30" s="274" t="s">
        <v>9</v>
      </c>
    </row>
    <row r="31" spans="1:13">
      <c r="A31" s="1766" t="s">
        <v>123</v>
      </c>
      <c r="B31" s="1767"/>
      <c r="C31" s="1767"/>
      <c r="D31" s="1767"/>
      <c r="E31" s="1767"/>
      <c r="F31" s="1768"/>
      <c r="G31" s="1768"/>
      <c r="H31" s="1769"/>
    </row>
    <row r="32" spans="1:13">
      <c r="A32" s="927" t="s">
        <v>42</v>
      </c>
      <c r="B32" s="928" t="s">
        <v>124</v>
      </c>
      <c r="C32" s="1485">
        <f>SUM(C33:C35)</f>
        <v>0</v>
      </c>
      <c r="D32" s="1480">
        <f t="shared" ref="D32:D57" si="3">C32/euro</f>
        <v>0</v>
      </c>
      <c r="E32" s="1485">
        <f>SUM(E33:E35)</f>
        <v>0</v>
      </c>
      <c r="F32" s="1486"/>
      <c r="G32" s="1481">
        <f t="shared" ref="G32:H60" si="4">C32+E32</f>
        <v>0</v>
      </c>
      <c r="H32" s="1039">
        <f t="shared" ref="H32:H57" si="5">G32/euro</f>
        <v>0</v>
      </c>
    </row>
    <row r="33" spans="1:14">
      <c r="A33" s="1793"/>
      <c r="B33" s="928" t="s">
        <v>125</v>
      </c>
      <c r="C33" s="1059">
        <v>0</v>
      </c>
      <c r="D33" s="1034">
        <f t="shared" si="3"/>
        <v>0</v>
      </c>
      <c r="E33" s="1034">
        <f>C33*$C$169</f>
        <v>0</v>
      </c>
      <c r="F33" s="1038"/>
      <c r="G33" s="1038">
        <f t="shared" si="4"/>
        <v>0</v>
      </c>
      <c r="H33" s="1039">
        <f t="shared" si="5"/>
        <v>0</v>
      </c>
    </row>
    <row r="34" spans="1:14">
      <c r="A34" s="1793"/>
      <c r="B34" s="928" t="s">
        <v>126</v>
      </c>
      <c r="C34" s="1059">
        <v>0</v>
      </c>
      <c r="D34" s="1034">
        <f t="shared" si="3"/>
        <v>0</v>
      </c>
      <c r="E34" s="1034">
        <f>C34*$C$169</f>
        <v>0</v>
      </c>
      <c r="F34" s="1038"/>
      <c r="G34" s="1038">
        <f t="shared" si="4"/>
        <v>0</v>
      </c>
      <c r="H34" s="1039">
        <f t="shared" si="5"/>
        <v>0</v>
      </c>
    </row>
    <row r="35" spans="1:14">
      <c r="A35" s="1793"/>
      <c r="B35" s="928" t="s">
        <v>127</v>
      </c>
      <c r="C35" s="1059">
        <f>C36+C38+C37</f>
        <v>0</v>
      </c>
      <c r="D35" s="1034">
        <f t="shared" si="3"/>
        <v>0</v>
      </c>
      <c r="E35" s="1059">
        <f>E36+E38+E37</f>
        <v>0</v>
      </c>
      <c r="F35" s="1487"/>
      <c r="G35" s="1038">
        <f t="shared" si="4"/>
        <v>0</v>
      </c>
      <c r="H35" s="1039">
        <f t="shared" si="5"/>
        <v>0</v>
      </c>
    </row>
    <row r="36" spans="1:14" ht="25.5">
      <c r="A36" s="1793"/>
      <c r="B36" s="1477" t="s">
        <v>128</v>
      </c>
      <c r="C36" s="1488">
        <v>0</v>
      </c>
      <c r="D36" s="1489">
        <f t="shared" si="3"/>
        <v>0</v>
      </c>
      <c r="E36" s="1489">
        <f>C36*$C$169</f>
        <v>0</v>
      </c>
      <c r="F36" s="1490"/>
      <c r="G36" s="1490">
        <f t="shared" si="4"/>
        <v>0</v>
      </c>
      <c r="H36" s="1039">
        <f t="shared" si="5"/>
        <v>0</v>
      </c>
    </row>
    <row r="37" spans="1:14" ht="25.5">
      <c r="A37" s="1793"/>
      <c r="B37" s="1477" t="s">
        <v>129</v>
      </c>
      <c r="C37" s="1488">
        <v>0</v>
      </c>
      <c r="D37" s="1489">
        <f t="shared" si="3"/>
        <v>0</v>
      </c>
      <c r="E37" s="1489">
        <f>C37*$C$169</f>
        <v>0</v>
      </c>
      <c r="F37" s="1490"/>
      <c r="G37" s="1490">
        <f t="shared" si="4"/>
        <v>0</v>
      </c>
      <c r="H37" s="1039">
        <f t="shared" si="5"/>
        <v>0</v>
      </c>
    </row>
    <row r="38" spans="1:14">
      <c r="A38" s="1793"/>
      <c r="B38" s="1477" t="s">
        <v>130</v>
      </c>
      <c r="C38" s="1488">
        <v>0</v>
      </c>
      <c r="D38" s="1489">
        <f t="shared" si="3"/>
        <v>0</v>
      </c>
      <c r="E38" s="1489">
        <f>C38*$C$169</f>
        <v>0</v>
      </c>
      <c r="F38" s="1490"/>
      <c r="G38" s="1490">
        <f t="shared" si="4"/>
        <v>0</v>
      </c>
      <c r="H38" s="1039">
        <f t="shared" si="5"/>
        <v>0</v>
      </c>
    </row>
    <row r="39" spans="1:14" ht="28.5" customHeight="1">
      <c r="A39" s="927" t="s">
        <v>46</v>
      </c>
      <c r="B39" s="928" t="s">
        <v>131</v>
      </c>
      <c r="C39" s="1662">
        <f>ROUND(('Info gen'!C40+'Info gen'!C41)*(C82+C115),0)</f>
        <v>1801197</v>
      </c>
      <c r="D39" s="1480">
        <f>ROUND(C39/euro,2)</f>
        <v>361991.44</v>
      </c>
      <c r="E39" s="1480">
        <f>ROUND(C39*$C$169,0)</f>
        <v>342227</v>
      </c>
      <c r="F39" s="1481">
        <f>ROUND(E39/euro,2)</f>
        <v>68778.289999999994</v>
      </c>
      <c r="G39" s="1481">
        <f t="shared" si="4"/>
        <v>2143424</v>
      </c>
      <c r="H39" s="1482">
        <f>D39+F39</f>
        <v>430769.73</v>
      </c>
      <c r="M39" s="163" t="s">
        <v>9</v>
      </c>
    </row>
    <row r="40" spans="1:14">
      <c r="A40" s="927" t="s">
        <v>132</v>
      </c>
      <c r="B40" s="928" t="s">
        <v>133</v>
      </c>
      <c r="C40" s="1663">
        <v>0</v>
      </c>
      <c r="D40" s="1034">
        <f t="shared" si="3"/>
        <v>0</v>
      </c>
      <c r="E40" s="1034">
        <f>C40*$C$169</f>
        <v>0</v>
      </c>
      <c r="F40" s="1038"/>
      <c r="G40" s="1038">
        <f t="shared" si="4"/>
        <v>0</v>
      </c>
      <c r="H40" s="1039">
        <f t="shared" si="5"/>
        <v>0</v>
      </c>
    </row>
    <row r="41" spans="1:14">
      <c r="A41" s="927" t="s">
        <v>134</v>
      </c>
      <c r="B41" s="928" t="s">
        <v>135</v>
      </c>
      <c r="C41" s="1663">
        <v>0</v>
      </c>
      <c r="D41" s="1034">
        <f t="shared" si="3"/>
        <v>0</v>
      </c>
      <c r="E41" s="1034">
        <f>C41*$C$169</f>
        <v>0</v>
      </c>
      <c r="F41" s="1038"/>
      <c r="G41" s="1038">
        <f t="shared" si="4"/>
        <v>0</v>
      </c>
      <c r="H41" s="1039">
        <f t="shared" si="5"/>
        <v>0</v>
      </c>
    </row>
    <row r="42" spans="1:14">
      <c r="A42" s="927" t="s">
        <v>50</v>
      </c>
      <c r="B42" s="928" t="s">
        <v>136</v>
      </c>
      <c r="C42" s="1664">
        <f t="shared" ref="C42:H42" si="6">C45+C46+C49+C52+C44</f>
        <v>4361423</v>
      </c>
      <c r="D42" s="1480">
        <f t="shared" si="6"/>
        <v>876527</v>
      </c>
      <c r="E42" s="1492">
        <f t="shared" si="6"/>
        <v>828670</v>
      </c>
      <c r="F42" s="1493">
        <f t="shared" si="6"/>
        <v>166540.06</v>
      </c>
      <c r="G42" s="1481">
        <f t="shared" si="6"/>
        <v>5190093</v>
      </c>
      <c r="H42" s="1482">
        <f t="shared" si="6"/>
        <v>1043067.0599999999</v>
      </c>
      <c r="M42" s="274" t="s">
        <v>9</v>
      </c>
    </row>
    <row r="43" spans="1:14">
      <c r="A43" s="1793"/>
      <c r="B43" s="928" t="s">
        <v>137</v>
      </c>
      <c r="C43" s="1665">
        <v>0</v>
      </c>
      <c r="D43" s="1034">
        <f t="shared" si="3"/>
        <v>0</v>
      </c>
      <c r="E43" s="1064">
        <v>0</v>
      </c>
      <c r="F43" s="1494"/>
      <c r="G43" s="1038">
        <f t="shared" si="4"/>
        <v>0</v>
      </c>
      <c r="H43" s="1039">
        <f t="shared" si="5"/>
        <v>0</v>
      </c>
    </row>
    <row r="44" spans="1:14">
      <c r="A44" s="1793"/>
      <c r="B44" s="928" t="s">
        <v>138</v>
      </c>
      <c r="C44" s="1665">
        <v>0</v>
      </c>
      <c r="D44" s="1034">
        <f t="shared" si="3"/>
        <v>0</v>
      </c>
      <c r="E44" s="1034">
        <f>C44*$C$169</f>
        <v>0</v>
      </c>
      <c r="F44" s="1038"/>
      <c r="G44" s="1038">
        <f t="shared" si="4"/>
        <v>0</v>
      </c>
      <c r="H44" s="1039">
        <f t="shared" si="5"/>
        <v>0</v>
      </c>
    </row>
    <row r="45" spans="1:14">
      <c r="A45" s="1793"/>
      <c r="B45" s="928" t="s">
        <v>139</v>
      </c>
      <c r="C45" s="1665">
        <v>0</v>
      </c>
      <c r="D45" s="1034">
        <f t="shared" si="3"/>
        <v>0</v>
      </c>
      <c r="E45" s="1034">
        <v>0</v>
      </c>
      <c r="F45" s="1038"/>
      <c r="G45" s="1038">
        <f t="shared" si="4"/>
        <v>0</v>
      </c>
      <c r="H45" s="1039">
        <f t="shared" si="5"/>
        <v>0</v>
      </c>
    </row>
    <row r="46" spans="1:14" ht="25.5">
      <c r="A46" s="1793"/>
      <c r="B46" s="928" t="s">
        <v>140</v>
      </c>
      <c r="C46" s="1665">
        <f t="shared" ref="C46:H46" si="7">+C47</f>
        <v>450873</v>
      </c>
      <c r="D46" s="1034">
        <f t="shared" si="7"/>
        <v>90613.17</v>
      </c>
      <c r="E46" s="1063">
        <f t="shared" si="7"/>
        <v>85666</v>
      </c>
      <c r="F46" s="1500">
        <f t="shared" si="7"/>
        <v>17216.53</v>
      </c>
      <c r="G46" s="1038">
        <f t="shared" si="7"/>
        <v>536539</v>
      </c>
      <c r="H46" s="1039">
        <f t="shared" si="7"/>
        <v>107829.7</v>
      </c>
      <c r="M46" s="274" t="s">
        <v>9</v>
      </c>
    </row>
    <row r="47" spans="1:14">
      <c r="A47" s="1793"/>
      <c r="B47" s="1477" t="s">
        <v>141</v>
      </c>
      <c r="C47" s="1666">
        <f>ROUND(0.3%*('DEVIZ GENERAL'!C$17+'DEVIZ GENERAL'!C$20+'DEVIZ GENERAL'!C$23+'DEVIZ GENERAL'!C$27+'DEVIZ GENERAL'!C$79+'DEVIZ GENERAL'!C$84+C$116),0)</f>
        <v>450873</v>
      </c>
      <c r="D47" s="1489">
        <f>ROUND(C47/euro,2)</f>
        <v>90613.17</v>
      </c>
      <c r="E47" s="1489">
        <f>ROUND(C47*$C$169,0)</f>
        <v>85666</v>
      </c>
      <c r="F47" s="1490">
        <f>ROUNDUP(E47/euro,2)</f>
        <v>17216.53</v>
      </c>
      <c r="G47" s="1490">
        <f t="shared" si="4"/>
        <v>536539</v>
      </c>
      <c r="H47" s="1039">
        <f t="shared" si="4"/>
        <v>107829.7</v>
      </c>
      <c r="M47" s="53" t="s">
        <v>9</v>
      </c>
      <c r="N47" s="53"/>
    </row>
    <row r="48" spans="1:14" hidden="1">
      <c r="A48" s="1793"/>
      <c r="B48" s="928"/>
      <c r="C48" s="1665"/>
      <c r="D48" s="1034">
        <f t="shared" si="3"/>
        <v>0</v>
      </c>
      <c r="E48" s="1489">
        <f t="shared" ref="E48:E73" si="8">ROUND(C48*$C$169,0)</f>
        <v>0</v>
      </c>
      <c r="F48" s="1500"/>
      <c r="G48" s="1038">
        <f t="shared" si="4"/>
        <v>0</v>
      </c>
      <c r="H48" s="1039">
        <f t="shared" si="5"/>
        <v>0</v>
      </c>
    </row>
    <row r="49" spans="1:13" ht="25.5">
      <c r="A49" s="1793"/>
      <c r="B49" s="928" t="s">
        <v>142</v>
      </c>
      <c r="C49" s="1665">
        <f t="shared" ref="C49:H49" si="9">+C50</f>
        <v>751454</v>
      </c>
      <c r="D49" s="1506">
        <f t="shared" si="9"/>
        <v>151021.75</v>
      </c>
      <c r="E49" s="1489">
        <f t="shared" si="8"/>
        <v>142776</v>
      </c>
      <c r="F49" s="1500">
        <f t="shared" si="9"/>
        <v>28694.080000000002</v>
      </c>
      <c r="G49" s="1507">
        <f t="shared" si="9"/>
        <v>894230</v>
      </c>
      <c r="H49" s="1039">
        <f t="shared" si="9"/>
        <v>179715.83000000002</v>
      </c>
      <c r="M49" s="274" t="s">
        <v>9</v>
      </c>
    </row>
    <row r="50" spans="1:13">
      <c r="A50" s="927"/>
      <c r="B50" s="1477" t="s">
        <v>141</v>
      </c>
      <c r="C50" s="1666">
        <f>ROUND(0.5%*('DEVIZ GENERAL'!C$17+'DEVIZ GENERAL'!C$20+'DEVIZ GENERAL'!C$23+'DEVIZ GENERAL'!C$27+'DEVIZ GENERAL'!C$79+'DEVIZ GENERAL'!C$84+C$116),0)</f>
        <v>751454</v>
      </c>
      <c r="D50" s="1489">
        <f>ROUND(C50/euro,2)</f>
        <v>151021.75</v>
      </c>
      <c r="E50" s="1489">
        <f t="shared" si="8"/>
        <v>142776</v>
      </c>
      <c r="F50" s="1489">
        <f>ROUND(E50/euro,2)</f>
        <v>28694.080000000002</v>
      </c>
      <c r="G50" s="1490">
        <f t="shared" si="4"/>
        <v>894230</v>
      </c>
      <c r="H50" s="1039">
        <f t="shared" si="4"/>
        <v>179715.83000000002</v>
      </c>
    </row>
    <row r="51" spans="1:13" hidden="1">
      <c r="A51" s="927"/>
      <c r="B51" s="928"/>
      <c r="C51" s="1665"/>
      <c r="D51" s="1034">
        <f t="shared" si="3"/>
        <v>0</v>
      </c>
      <c r="E51" s="1489">
        <f t="shared" si="8"/>
        <v>0</v>
      </c>
      <c r="F51" s="1500"/>
      <c r="G51" s="1038">
        <f t="shared" si="4"/>
        <v>0</v>
      </c>
      <c r="H51" s="1039">
        <f t="shared" si="5"/>
        <v>0</v>
      </c>
    </row>
    <row r="52" spans="1:13">
      <c r="A52" s="927"/>
      <c r="B52" s="928" t="s">
        <v>143</v>
      </c>
      <c r="C52" s="1665">
        <f>C54+C53</f>
        <v>3159096</v>
      </c>
      <c r="D52" s="1034">
        <f t="shared" ref="D52:H52" si="10">D54+D53</f>
        <v>634892.07999999996</v>
      </c>
      <c r="E52" s="1489">
        <f t="shared" si="8"/>
        <v>600228</v>
      </c>
      <c r="F52" s="1500">
        <f t="shared" si="10"/>
        <v>120629.45</v>
      </c>
      <c r="G52" s="1038">
        <f t="shared" si="10"/>
        <v>3759324</v>
      </c>
      <c r="H52" s="1039">
        <f t="shared" si="10"/>
        <v>755521.52999999991</v>
      </c>
      <c r="M52" s="274" t="s">
        <v>9</v>
      </c>
    </row>
    <row r="53" spans="1:13">
      <c r="A53" s="927"/>
      <c r="B53" s="1477" t="s">
        <v>144</v>
      </c>
      <c r="C53" s="1667">
        <v>0</v>
      </c>
      <c r="D53" s="1489">
        <f t="shared" si="3"/>
        <v>0</v>
      </c>
      <c r="E53" s="1489">
        <f t="shared" si="8"/>
        <v>0</v>
      </c>
      <c r="F53" s="1503"/>
      <c r="G53" s="1490">
        <f t="shared" si="4"/>
        <v>0</v>
      </c>
      <c r="H53" s="1039">
        <f t="shared" si="5"/>
        <v>0</v>
      </c>
    </row>
    <row r="54" spans="1:13">
      <c r="A54" s="927"/>
      <c r="B54" s="1477" t="s">
        <v>141</v>
      </c>
      <c r="C54" s="1667">
        <f>ROUND('Info gen'!C67*euro,0)</f>
        <v>3159096</v>
      </c>
      <c r="D54" s="1489">
        <f>ROUND(C54/euro,2)</f>
        <v>634892.07999999996</v>
      </c>
      <c r="E54" s="1489">
        <f t="shared" si="8"/>
        <v>600228</v>
      </c>
      <c r="F54" s="1489">
        <f>ROUND(E54/euro,2)</f>
        <v>120629.45</v>
      </c>
      <c r="G54" s="1490">
        <f t="shared" si="4"/>
        <v>3759324</v>
      </c>
      <c r="H54" s="1039">
        <f t="shared" si="4"/>
        <v>755521.52999999991</v>
      </c>
    </row>
    <row r="55" spans="1:13" hidden="1">
      <c r="A55" s="927"/>
      <c r="B55" s="928"/>
      <c r="C55" s="1665"/>
      <c r="D55" s="1034">
        <f t="shared" si="3"/>
        <v>0</v>
      </c>
      <c r="E55" s="1489">
        <f t="shared" si="8"/>
        <v>0</v>
      </c>
      <c r="F55" s="1494"/>
      <c r="G55" s="1038">
        <f t="shared" si="4"/>
        <v>0</v>
      </c>
      <c r="H55" s="1039">
        <f t="shared" si="5"/>
        <v>0</v>
      </c>
    </row>
    <row r="56" spans="1:13">
      <c r="A56" s="927" t="s">
        <v>52</v>
      </c>
      <c r="B56" s="1504" t="s">
        <v>145</v>
      </c>
      <c r="C56" s="1668">
        <f>C57+C58</f>
        <v>0</v>
      </c>
      <c r="D56" s="1480">
        <f t="shared" ref="D56:H56" si="11">D57+D58</f>
        <v>0</v>
      </c>
      <c r="E56" s="1489">
        <f t="shared" si="8"/>
        <v>0</v>
      </c>
      <c r="F56" s="1498">
        <f t="shared" si="11"/>
        <v>0</v>
      </c>
      <c r="G56" s="1481">
        <f t="shared" si="11"/>
        <v>0</v>
      </c>
      <c r="H56" s="1482">
        <f t="shared" si="11"/>
        <v>0</v>
      </c>
      <c r="M56" s="274">
        <f>E56/euro</f>
        <v>0</v>
      </c>
    </row>
    <row r="57" spans="1:13" ht="25.5">
      <c r="A57" s="927"/>
      <c r="B57" s="1505" t="s">
        <v>146</v>
      </c>
      <c r="C57" s="1669">
        <v>0</v>
      </c>
      <c r="D57" s="1489">
        <f t="shared" si="3"/>
        <v>0</v>
      </c>
      <c r="E57" s="1489">
        <f t="shared" si="8"/>
        <v>0</v>
      </c>
      <c r="F57" s="1503"/>
      <c r="G57" s="1490">
        <f t="shared" si="4"/>
        <v>0</v>
      </c>
      <c r="H57" s="1039">
        <f t="shared" si="5"/>
        <v>0</v>
      </c>
    </row>
    <row r="58" spans="1:13">
      <c r="A58" s="927"/>
      <c r="B58" s="1505" t="s">
        <v>147</v>
      </c>
      <c r="C58" s="1669">
        <v>0</v>
      </c>
      <c r="D58" s="1489">
        <f>ROUND(C58/euro,2)</f>
        <v>0</v>
      </c>
      <c r="E58" s="1489">
        <f t="shared" si="8"/>
        <v>0</v>
      </c>
      <c r="F58" s="1489">
        <f>ROUND(E58/euro,2)</f>
        <v>0</v>
      </c>
      <c r="G58" s="1490">
        <f t="shared" si="4"/>
        <v>0</v>
      </c>
      <c r="H58" s="1039">
        <f t="shared" si="4"/>
        <v>0</v>
      </c>
    </row>
    <row r="59" spans="1:13">
      <c r="A59" s="927" t="s">
        <v>54</v>
      </c>
      <c r="B59" s="928" t="s">
        <v>148</v>
      </c>
      <c r="C59" s="1670">
        <f>C60+C61</f>
        <v>3930882</v>
      </c>
      <c r="D59" s="1480">
        <f t="shared" ref="D59:H59" si="12">D60+D61</f>
        <v>790000</v>
      </c>
      <c r="E59" s="1480">
        <f t="shared" si="12"/>
        <v>746867</v>
      </c>
      <c r="F59" s="1481">
        <f t="shared" si="12"/>
        <v>150099.88</v>
      </c>
      <c r="G59" s="1481">
        <f t="shared" si="12"/>
        <v>4677749</v>
      </c>
      <c r="H59" s="1482">
        <f t="shared" si="12"/>
        <v>940099.88</v>
      </c>
      <c r="M59" s="274" t="s">
        <v>9</v>
      </c>
    </row>
    <row r="60" spans="1:13" ht="25.5">
      <c r="A60" s="927"/>
      <c r="B60" s="928" t="s">
        <v>149</v>
      </c>
      <c r="C60" s="1665">
        <f>ROUND('Info gen'!C62*euro,0)</f>
        <v>3483060</v>
      </c>
      <c r="D60" s="1034">
        <f>ROUND(C60/euro,2)</f>
        <v>700000</v>
      </c>
      <c r="E60" s="1489">
        <f t="shared" si="8"/>
        <v>661781</v>
      </c>
      <c r="F60" s="1034">
        <f>ROUND(E60/euro,2)</f>
        <v>132999.92000000001</v>
      </c>
      <c r="G60" s="1038">
        <f t="shared" si="4"/>
        <v>4144841</v>
      </c>
      <c r="H60" s="1039">
        <f t="shared" si="4"/>
        <v>832999.92</v>
      </c>
    </row>
    <row r="61" spans="1:13">
      <c r="A61" s="927"/>
      <c r="B61" s="928" t="s">
        <v>150</v>
      </c>
      <c r="C61" s="1671">
        <f>ROUND('Info gen'!C63*euro,2)</f>
        <v>447822</v>
      </c>
      <c r="D61" s="1034">
        <f>ROUND(C61/euro,2)</f>
        <v>90000</v>
      </c>
      <c r="E61" s="1489">
        <f t="shared" si="8"/>
        <v>85086</v>
      </c>
      <c r="F61" s="1038">
        <f>ROUND(E61/euro,2)</f>
        <v>17099.96</v>
      </c>
      <c r="G61" s="1038">
        <f t="shared" ref="G61" si="13">C61+E61</f>
        <v>532908</v>
      </c>
      <c r="H61" s="1039">
        <f t="shared" ref="H61" si="14">D61+F61</f>
        <v>107099.95999999999</v>
      </c>
    </row>
    <row r="62" spans="1:13">
      <c r="A62" s="927" t="s">
        <v>151</v>
      </c>
      <c r="B62" s="928" t="s">
        <v>152</v>
      </c>
      <c r="C62" s="1670">
        <f>C63+C70+C73</f>
        <v>9996693</v>
      </c>
      <c r="D62" s="1480">
        <f t="shared" ref="D62:H62" si="15">D63+D70+D73</f>
        <v>2009062.46</v>
      </c>
      <c r="E62" s="1480">
        <f t="shared" si="15"/>
        <v>1899371</v>
      </c>
      <c r="F62" s="1480">
        <f t="shared" si="15"/>
        <v>381721.73</v>
      </c>
      <c r="G62" s="1480">
        <f t="shared" si="15"/>
        <v>11896064</v>
      </c>
      <c r="H62" s="1482">
        <f t="shared" si="15"/>
        <v>2390784.1900000004</v>
      </c>
      <c r="M62" s="274" t="s">
        <v>9</v>
      </c>
    </row>
    <row r="63" spans="1:13">
      <c r="A63" s="927"/>
      <c r="B63" s="928" t="s">
        <v>153</v>
      </c>
      <c r="C63" s="1671">
        <f>C64+C67</f>
        <v>62696</v>
      </c>
      <c r="D63" s="1034">
        <f t="shared" ref="D63:H63" si="16">D64+D67</f>
        <v>12600.18</v>
      </c>
      <c r="E63" s="1489">
        <f t="shared" si="8"/>
        <v>11912</v>
      </c>
      <c r="F63" s="1038">
        <f t="shared" si="16"/>
        <v>2393.98</v>
      </c>
      <c r="G63" s="1038">
        <f t="shared" si="16"/>
        <v>74608</v>
      </c>
      <c r="H63" s="1039">
        <f t="shared" si="16"/>
        <v>14994.16</v>
      </c>
    </row>
    <row r="64" spans="1:13">
      <c r="A64" s="927"/>
      <c r="B64" s="1477" t="s">
        <v>154</v>
      </c>
      <c r="C64" s="1669">
        <f>C65+C66</f>
        <v>31348</v>
      </c>
      <c r="D64" s="1502">
        <f t="shared" ref="D64:H64" si="17">D65+D66</f>
        <v>6300.09</v>
      </c>
      <c r="E64" s="1489">
        <f t="shared" si="8"/>
        <v>5956</v>
      </c>
      <c r="F64" s="1503">
        <f t="shared" si="17"/>
        <v>1196.99</v>
      </c>
      <c r="G64" s="1503">
        <f t="shared" si="17"/>
        <v>37304</v>
      </c>
      <c r="H64" s="1039">
        <f t="shared" si="17"/>
        <v>7497.08</v>
      </c>
    </row>
    <row r="65" spans="1:15">
      <c r="A65" s="927"/>
      <c r="B65" s="1477" t="s">
        <v>112</v>
      </c>
      <c r="C65" s="1669">
        <f>ROUND(6300*euro,0)</f>
        <v>31348</v>
      </c>
      <c r="D65" s="1502">
        <f>ROUND(C65/euro,2)</f>
        <v>6300.09</v>
      </c>
      <c r="E65" s="1489">
        <f t="shared" si="8"/>
        <v>5956</v>
      </c>
      <c r="F65" s="1502">
        <f>ROUND(E65/euro,2)</f>
        <v>1196.99</v>
      </c>
      <c r="G65" s="1503">
        <f t="shared" ref="G65:H66" si="18">C65+E65</f>
        <v>37304</v>
      </c>
      <c r="H65" s="1039">
        <f t="shared" si="18"/>
        <v>7497.08</v>
      </c>
    </row>
    <row r="66" spans="1:15">
      <c r="A66" s="927"/>
      <c r="B66" s="1477" t="s">
        <v>9</v>
      </c>
      <c r="C66" s="1669">
        <v>0</v>
      </c>
      <c r="D66" s="1502">
        <f>ROUND(C66/euro,2)</f>
        <v>0</v>
      </c>
      <c r="E66" s="1489">
        <f t="shared" si="8"/>
        <v>0</v>
      </c>
      <c r="F66" s="1502">
        <f>ROUND(E66/euro,2)</f>
        <v>0</v>
      </c>
      <c r="G66" s="1503">
        <f t="shared" si="18"/>
        <v>0</v>
      </c>
      <c r="H66" s="1039">
        <f t="shared" si="18"/>
        <v>0</v>
      </c>
    </row>
    <row r="67" spans="1:15" ht="38.25">
      <c r="A67" s="927"/>
      <c r="B67" s="1477" t="s">
        <v>155</v>
      </c>
      <c r="C67" s="1669">
        <f>C68+C69</f>
        <v>31348</v>
      </c>
      <c r="D67" s="1502">
        <f t="shared" ref="D67:H67" si="19">D68+D69</f>
        <v>6300.09</v>
      </c>
      <c r="E67" s="1489">
        <f t="shared" si="8"/>
        <v>5956</v>
      </c>
      <c r="F67" s="1503">
        <f t="shared" si="19"/>
        <v>1196.99</v>
      </c>
      <c r="G67" s="1503">
        <f t="shared" si="19"/>
        <v>37304</v>
      </c>
      <c r="H67" s="1039">
        <f t="shared" si="19"/>
        <v>7497.08</v>
      </c>
    </row>
    <row r="68" spans="1:15">
      <c r="A68" s="927"/>
      <c r="B68" s="1477" t="s">
        <v>112</v>
      </c>
      <c r="C68" s="1669">
        <f>ROUND(6300*euro,0)</f>
        <v>31348</v>
      </c>
      <c r="D68" s="1502">
        <f>ROUND(C68/euro,2)</f>
        <v>6300.09</v>
      </c>
      <c r="E68" s="1489">
        <f t="shared" si="8"/>
        <v>5956</v>
      </c>
      <c r="F68" s="1502">
        <f>ROUND(E68/euro,2)</f>
        <v>1196.99</v>
      </c>
      <c r="G68" s="1503">
        <f t="shared" ref="G68:H69" si="20">C68+E68</f>
        <v>37304</v>
      </c>
      <c r="H68" s="1039">
        <f t="shared" si="20"/>
        <v>7497.08</v>
      </c>
    </row>
    <row r="69" spans="1:15">
      <c r="A69" s="927"/>
      <c r="B69" s="1477" t="s">
        <v>9</v>
      </c>
      <c r="C69" s="1669">
        <v>0</v>
      </c>
      <c r="D69" s="1502">
        <f>ROUND(C69/euro,2)</f>
        <v>0</v>
      </c>
      <c r="E69" s="1489">
        <f t="shared" si="8"/>
        <v>0</v>
      </c>
      <c r="F69" s="1502">
        <f>ROUND(E69/euro,2)</f>
        <v>0</v>
      </c>
      <c r="G69" s="1503">
        <f t="shared" si="20"/>
        <v>0</v>
      </c>
      <c r="H69" s="1039">
        <f t="shared" si="20"/>
        <v>0</v>
      </c>
    </row>
    <row r="70" spans="1:15">
      <c r="A70" s="927"/>
      <c r="B70" s="928" t="s">
        <v>156</v>
      </c>
      <c r="C70" s="1672">
        <f>SUM(C71:C75)</f>
        <v>9933997</v>
      </c>
      <c r="D70" s="1034">
        <f t="shared" ref="D70:H70" si="21">SUM(D71:D75)</f>
        <v>1996462.28</v>
      </c>
      <c r="E70" s="1489">
        <f t="shared" si="8"/>
        <v>1887459</v>
      </c>
      <c r="F70" s="1503">
        <f t="shared" si="21"/>
        <v>379327.75</v>
      </c>
      <c r="G70" s="1038">
        <f t="shared" si="21"/>
        <v>11821456</v>
      </c>
      <c r="H70" s="1039">
        <f t="shared" si="21"/>
        <v>2375790.0300000003</v>
      </c>
    </row>
    <row r="71" spans="1:15">
      <c r="A71" s="927"/>
      <c r="B71" s="1477" t="s">
        <v>112</v>
      </c>
      <c r="C71" s="1669">
        <f>ROUND(3%*('DEVIZ GENERAL'!C$17+'DEVIZ GENERAL'!C$20+'DEVIZ GENERAL'!C$23+'DEVIZ GENERAL'!C$27+'DEVIZ GENERAL'!C$79+'DEVIZ GENERAL'!C$84+C$116+C89+C95),0)</f>
        <v>9933997</v>
      </c>
      <c r="D71" s="1489">
        <f>ROUND(C71/E168,2)</f>
        <v>1996462.28</v>
      </c>
      <c r="E71" s="1489">
        <f t="shared" si="8"/>
        <v>1887459</v>
      </c>
      <c r="F71" s="1489">
        <f>ROUNDUP(E71/euro,2)</f>
        <v>379327.75</v>
      </c>
      <c r="G71" s="1490">
        <f>C71+E71</f>
        <v>11821456</v>
      </c>
      <c r="H71" s="1491">
        <f>D71+F71</f>
        <v>2375790.0300000003</v>
      </c>
      <c r="M71" s="274" t="s">
        <v>9</v>
      </c>
      <c r="N71" t="s">
        <v>9</v>
      </c>
      <c r="O71" t="s">
        <v>9</v>
      </c>
    </row>
    <row r="72" spans="1:15">
      <c r="A72" s="927"/>
      <c r="B72" s="1477"/>
      <c r="C72" s="1502"/>
      <c r="D72" s="1489"/>
      <c r="E72" s="1489">
        <f t="shared" si="8"/>
        <v>0</v>
      </c>
      <c r="F72" s="1489"/>
      <c r="G72" s="1490"/>
      <c r="H72" s="1491"/>
      <c r="M72" s="274"/>
    </row>
    <row r="73" spans="1:15" ht="38.25">
      <c r="A73" s="927"/>
      <c r="B73" s="928" t="s">
        <v>157</v>
      </c>
      <c r="C73" s="1502"/>
      <c r="D73" s="1489"/>
      <c r="E73" s="1489">
        <f t="shared" si="8"/>
        <v>0</v>
      </c>
      <c r="F73" s="1489"/>
      <c r="G73" s="1490"/>
      <c r="H73" s="1491"/>
      <c r="M73" s="274"/>
    </row>
    <row r="74" spans="1:15">
      <c r="A74" s="927"/>
      <c r="B74" s="1477" t="s">
        <v>158</v>
      </c>
      <c r="C74" s="1502"/>
      <c r="D74" s="1489"/>
      <c r="E74" s="1502"/>
      <c r="F74" s="1489"/>
      <c r="G74" s="1490"/>
      <c r="H74" s="1491"/>
      <c r="M74" s="274"/>
    </row>
    <row r="75" spans="1:15">
      <c r="A75" s="927"/>
      <c r="B75" s="1477" t="s">
        <v>9</v>
      </c>
      <c r="C75" s="1502">
        <v>0</v>
      </c>
      <c r="D75" s="1489">
        <f>ROUND(C75/euro,2)</f>
        <v>0</v>
      </c>
      <c r="E75" s="1502">
        <f>ROUND(C75*TVA,2)</f>
        <v>0</v>
      </c>
      <c r="F75" s="1489">
        <f>ROUNDDOWN(E75/euro,2)</f>
        <v>0</v>
      </c>
      <c r="G75" s="1490">
        <f>C75+E75</f>
        <v>0</v>
      </c>
      <c r="H75" s="1491">
        <f>D75+F75</f>
        <v>0</v>
      </c>
    </row>
    <row r="76" spans="1:15">
      <c r="A76" s="1764" t="s">
        <v>159</v>
      </c>
      <c r="B76" s="1765"/>
      <c r="C76" s="1516">
        <f t="shared" ref="C76:H76" si="22">C62+C59+C56+C42+C39+C32</f>
        <v>20090195</v>
      </c>
      <c r="D76" s="1480">
        <f t="shared" si="22"/>
        <v>4037580.9</v>
      </c>
      <c r="E76" s="1516">
        <f t="shared" si="22"/>
        <v>3817135</v>
      </c>
      <c r="F76" s="1517">
        <f t="shared" si="22"/>
        <v>767139.96</v>
      </c>
      <c r="G76" s="1481">
        <f t="shared" si="22"/>
        <v>23907330</v>
      </c>
      <c r="H76" s="1482">
        <f t="shared" si="22"/>
        <v>4804720.8599999994</v>
      </c>
      <c r="I76" s="900" t="s">
        <v>9</v>
      </c>
      <c r="M76" s="274" t="s">
        <v>9</v>
      </c>
    </row>
    <row r="77" spans="1:15">
      <c r="A77" s="1766" t="s">
        <v>160</v>
      </c>
      <c r="B77" s="1767"/>
      <c r="C77" s="1767"/>
      <c r="D77" s="1767"/>
      <c r="E77" s="1767"/>
      <c r="F77" s="1768"/>
      <c r="G77" s="1768"/>
      <c r="H77" s="1769"/>
    </row>
    <row r="78" spans="1:15">
      <c r="A78" s="1760" t="s">
        <v>161</v>
      </c>
      <c r="B78" s="1761"/>
      <c r="C78" s="1761"/>
      <c r="D78" s="1761"/>
      <c r="E78" s="1761"/>
      <c r="F78" s="1762"/>
      <c r="G78" s="1762"/>
      <c r="H78" s="1763"/>
    </row>
    <row r="79" spans="1:15">
      <c r="A79" s="1057" t="s">
        <v>162</v>
      </c>
      <c r="B79" s="1477" t="s">
        <v>112</v>
      </c>
      <c r="C79" s="1059">
        <f>'D2.Deviz ITDCS-summary '!C40</f>
        <v>117132921.765</v>
      </c>
      <c r="D79" s="1059">
        <f>'D2.Deviz ITDCS-summary '!D40</f>
        <v>23540520.460000001</v>
      </c>
      <c r="E79" s="1059">
        <f>'D2.Deviz ITDCS-summary '!E40</f>
        <v>22255255.16</v>
      </c>
      <c r="F79" s="1059">
        <f>'D2.Deviz ITDCS-summary '!F40</f>
        <v>4472698.8899999997</v>
      </c>
      <c r="G79" s="1059">
        <f>'D2.Deviz ITDCS-summary '!G40</f>
        <v>139388176.92500001</v>
      </c>
      <c r="H79" s="1059">
        <f>'D2.Deviz ITDCS-summary '!H40</f>
        <v>28013219.350000001</v>
      </c>
    </row>
    <row r="80" spans="1:15">
      <c r="A80" s="1057" t="s">
        <v>9</v>
      </c>
      <c r="B80" s="1477" t="s">
        <v>9</v>
      </c>
      <c r="C80" s="1063">
        <v>0</v>
      </c>
      <c r="D80" s="1506">
        <v>0</v>
      </c>
      <c r="E80" s="1034">
        <v>0</v>
      </c>
      <c r="F80" s="1038">
        <v>0</v>
      </c>
      <c r="G80" s="1038">
        <v>0</v>
      </c>
      <c r="H80" s="1039">
        <v>0</v>
      </c>
    </row>
    <row r="81" spans="1:13">
      <c r="A81" s="1062" t="s">
        <v>9</v>
      </c>
      <c r="B81" s="1065" t="s">
        <v>9</v>
      </c>
      <c r="C81" s="1063" t="s">
        <v>9</v>
      </c>
      <c r="D81" s="1063" t="s">
        <v>9</v>
      </c>
      <c r="E81" s="1064" t="s">
        <v>9</v>
      </c>
      <c r="F81" s="1494"/>
      <c r="G81" s="1494"/>
      <c r="H81" s="1518" t="s">
        <v>9</v>
      </c>
      <c r="I81" s="1100"/>
      <c r="J81" s="53"/>
    </row>
    <row r="82" spans="1:13">
      <c r="A82" s="1777" t="s">
        <v>163</v>
      </c>
      <c r="B82" s="1778"/>
      <c r="C82" s="1516">
        <f>C79</f>
        <v>117132921.765</v>
      </c>
      <c r="D82" s="1516">
        <f t="shared" ref="D82:H82" si="23">D79</f>
        <v>23540520.460000001</v>
      </c>
      <c r="E82" s="1516">
        <f t="shared" si="23"/>
        <v>22255255.16</v>
      </c>
      <c r="F82" s="1516">
        <f t="shared" si="23"/>
        <v>4472698.8899999997</v>
      </c>
      <c r="G82" s="1516">
        <f t="shared" si="23"/>
        <v>139388176.92500001</v>
      </c>
      <c r="H82" s="1516">
        <f t="shared" si="23"/>
        <v>28013219.350000001</v>
      </c>
      <c r="I82" s="1101"/>
      <c r="J82" s="53"/>
      <c r="M82" s="1589" t="s">
        <v>9</v>
      </c>
    </row>
    <row r="83" spans="1:13">
      <c r="A83" s="1760" t="s">
        <v>164</v>
      </c>
      <c r="B83" s="1761"/>
      <c r="C83" s="1761"/>
      <c r="D83" s="1761"/>
      <c r="E83" s="1761"/>
      <c r="F83" s="1762"/>
      <c r="G83" s="1762"/>
      <c r="H83" s="1763"/>
    </row>
    <row r="84" spans="1:13">
      <c r="A84" s="1057" t="s">
        <v>165</v>
      </c>
      <c r="B84" s="1477" t="s">
        <v>112</v>
      </c>
      <c r="C84" s="1059">
        <f>'D2.Deviz ITDCS-summary '!C47</f>
        <v>19057901.760000002</v>
      </c>
      <c r="D84" s="1059">
        <f>'D2.Deviz ITDCS-summary '!D47</f>
        <v>3830118.14</v>
      </c>
      <c r="E84" s="1059">
        <f>'D2.Deviz ITDCS-summary '!E47</f>
        <v>3621001.34</v>
      </c>
      <c r="F84" s="1059">
        <f>'D2.Deviz ITDCS-summary '!F47</f>
        <v>727722.43</v>
      </c>
      <c r="G84" s="1059">
        <f>'D2.Deviz ITDCS-summary '!G47</f>
        <v>22678903.100000001</v>
      </c>
      <c r="H84" s="1059">
        <f>'D2.Deviz ITDCS-summary '!H47</f>
        <v>4557840.57</v>
      </c>
      <c r="I84" s="1059">
        <f>'D2.Deviz ITDCS-summary '!I47</f>
        <v>0</v>
      </c>
      <c r="J84" s="1059">
        <f>'D2.Deviz ITDCS-summary '!J47</f>
        <v>0</v>
      </c>
      <c r="K84" s="1059" t="str">
        <f>'D2.Deviz ITDCS-summary '!K47</f>
        <v xml:space="preserve"> </v>
      </c>
      <c r="L84" s="1059">
        <f>'D2.Deviz ITDCS-summary '!L47</f>
        <v>0</v>
      </c>
      <c r="M84" s="1589" t="s">
        <v>9</v>
      </c>
    </row>
    <row r="85" spans="1:13">
      <c r="A85" s="1057" t="s">
        <v>9</v>
      </c>
      <c r="B85" s="1477" t="s">
        <v>9</v>
      </c>
      <c r="C85" s="1063">
        <v>0</v>
      </c>
      <c r="D85" s="1506">
        <v>0</v>
      </c>
      <c r="E85" s="1034">
        <v>0</v>
      </c>
      <c r="F85" s="1038">
        <v>0</v>
      </c>
      <c r="G85" s="1038">
        <v>0</v>
      </c>
      <c r="H85" s="1039">
        <v>0</v>
      </c>
    </row>
    <row r="86" spans="1:13">
      <c r="A86" s="1062" t="s">
        <v>9</v>
      </c>
      <c r="B86" s="1521" t="s">
        <v>9</v>
      </c>
      <c r="C86" s="1063" t="s">
        <v>9</v>
      </c>
      <c r="D86" s="1063"/>
      <c r="E86" s="1064" t="s">
        <v>9</v>
      </c>
      <c r="F86" s="1494"/>
      <c r="G86" s="1494"/>
      <c r="H86" s="1039" t="s">
        <v>9</v>
      </c>
    </row>
    <row r="87" spans="1:13" ht="12.95" customHeight="1">
      <c r="A87" s="1777" t="s">
        <v>166</v>
      </c>
      <c r="B87" s="1778"/>
      <c r="C87" s="1522">
        <f>SUM(C84:C86)</f>
        <v>19057901.760000002</v>
      </c>
      <c r="D87" s="1496">
        <f t="shared" ref="D87:H87" si="24">SUM(D84:D86)</f>
        <v>3830118.14</v>
      </c>
      <c r="E87" s="1522">
        <f t="shared" si="24"/>
        <v>3621001.34</v>
      </c>
      <c r="F87" s="1523">
        <f t="shared" si="24"/>
        <v>727722.43</v>
      </c>
      <c r="G87" s="1481">
        <f t="shared" si="24"/>
        <v>22678903.100000001</v>
      </c>
      <c r="H87" s="1482">
        <f t="shared" si="24"/>
        <v>4557840.57</v>
      </c>
      <c r="M87" s="1589" t="s">
        <v>9</v>
      </c>
    </row>
    <row r="88" spans="1:13">
      <c r="A88" s="1760" t="s">
        <v>167</v>
      </c>
      <c r="B88" s="1761"/>
      <c r="C88" s="1761"/>
      <c r="D88" s="1761"/>
      <c r="E88" s="1761"/>
      <c r="F88" s="1762"/>
      <c r="G88" s="1762"/>
      <c r="H88" s="1763"/>
    </row>
    <row r="89" spans="1:13">
      <c r="A89" s="1057" t="s">
        <v>168</v>
      </c>
      <c r="B89" s="1477" t="s">
        <v>112</v>
      </c>
      <c r="C89" s="1059">
        <f>'D2.Deviz ITDCS-summary '!C53</f>
        <v>168564342.40000001</v>
      </c>
      <c r="D89" s="1059">
        <f>'D2.Deviz ITDCS-summary '!D53</f>
        <v>33876832.329999998</v>
      </c>
      <c r="E89" s="1059">
        <f>'D2.Deviz ITDCS-summary '!E53</f>
        <v>32027225.07</v>
      </c>
      <c r="F89" s="1059">
        <f>'D2.Deviz ITDCS-summary '!F53</f>
        <v>6436598.1600000001</v>
      </c>
      <c r="G89" s="1059">
        <f>'D2.Deviz ITDCS-summary '!G53</f>
        <v>200591567.47</v>
      </c>
      <c r="H89" s="1059">
        <f>'D2.Deviz ITDCS-summary '!H53</f>
        <v>40313430.490000002</v>
      </c>
    </row>
    <row r="90" spans="1:13">
      <c r="A90" s="1057" t="s">
        <v>9</v>
      </c>
      <c r="B90" s="1477" t="s">
        <v>9</v>
      </c>
      <c r="C90" s="1063">
        <v>0</v>
      </c>
      <c r="D90" s="1506">
        <v>0</v>
      </c>
      <c r="E90" s="1034">
        <v>0</v>
      </c>
      <c r="F90" s="1038">
        <v>0</v>
      </c>
      <c r="G90" s="1038">
        <v>0</v>
      </c>
      <c r="H90" s="1039">
        <v>0</v>
      </c>
    </row>
    <row r="91" spans="1:13">
      <c r="A91" s="1062" t="s">
        <v>9</v>
      </c>
      <c r="B91" s="1524" t="s">
        <v>9</v>
      </c>
      <c r="C91" s="1063" t="s">
        <v>9</v>
      </c>
      <c r="D91" s="1063"/>
      <c r="E91" s="1525" t="s">
        <v>9</v>
      </c>
      <c r="F91" s="1526"/>
      <c r="G91" s="1526"/>
      <c r="H91" s="1518" t="s">
        <v>9</v>
      </c>
    </row>
    <row r="92" spans="1:13" ht="12.95" customHeight="1">
      <c r="A92" s="1777" t="s">
        <v>169</v>
      </c>
      <c r="B92" s="1778"/>
      <c r="C92" s="1522">
        <f>SUM(C89:C91)</f>
        <v>168564342.40000001</v>
      </c>
      <c r="D92" s="1496">
        <f t="shared" ref="D92:H92" si="25">SUM(D89:D91)</f>
        <v>33876832.329999998</v>
      </c>
      <c r="E92" s="1522">
        <f t="shared" si="25"/>
        <v>32027225.07</v>
      </c>
      <c r="F92" s="1523">
        <f t="shared" si="25"/>
        <v>6436598.1600000001</v>
      </c>
      <c r="G92" s="1481">
        <f t="shared" si="25"/>
        <v>200591567.47</v>
      </c>
      <c r="H92" s="1482">
        <f t="shared" si="25"/>
        <v>40313430.490000002</v>
      </c>
      <c r="M92" s="1589" t="s">
        <v>9</v>
      </c>
    </row>
    <row r="93" spans="1:13" ht="12.95" customHeight="1">
      <c r="A93" s="1519"/>
      <c r="B93" s="1520"/>
      <c r="C93" s="54"/>
      <c r="D93" s="54"/>
      <c r="E93" s="54"/>
      <c r="F93" s="1527"/>
      <c r="G93" s="1527"/>
      <c r="H93" s="69"/>
    </row>
    <row r="94" spans="1:13" ht="12.75" customHeight="1">
      <c r="A94" s="1773" t="s">
        <v>170</v>
      </c>
      <c r="B94" s="1774"/>
      <c r="C94" s="1774"/>
      <c r="D94" s="1774"/>
      <c r="E94" s="1774"/>
      <c r="F94" s="1775"/>
      <c r="G94" s="1775"/>
      <c r="H94" s="1776"/>
    </row>
    <row r="95" spans="1:13" ht="12.95" customHeight="1">
      <c r="A95" s="1057" t="s">
        <v>171</v>
      </c>
      <c r="B95" s="1477" t="s">
        <v>112</v>
      </c>
      <c r="C95" s="1059">
        <f>'D2.Deviz ITDCS-summary '!C60</f>
        <v>12278040.800000001</v>
      </c>
      <c r="D95" s="1059">
        <f>'D2.Deviz ITDCS-summary '!D60</f>
        <v>2467551.1</v>
      </c>
      <c r="E95" s="1059">
        <f>'D2.Deviz ITDCS-summary '!E60</f>
        <v>2332827.7599999998</v>
      </c>
      <c r="F95" s="1059">
        <f>'D2.Deviz ITDCS-summary '!F60</f>
        <v>468834.71</v>
      </c>
      <c r="G95" s="1059">
        <f>'D2.Deviz ITDCS-summary '!G60</f>
        <v>14610868.560000001</v>
      </c>
      <c r="H95" s="1059">
        <f>'D2.Deviz ITDCS-summary '!H60</f>
        <v>2936385.81</v>
      </c>
    </row>
    <row r="96" spans="1:13" ht="5.85" customHeight="1">
      <c r="A96" s="1057" t="s">
        <v>9</v>
      </c>
      <c r="B96" s="1477" t="s">
        <v>9</v>
      </c>
      <c r="C96" s="1063">
        <v>0</v>
      </c>
      <c r="D96" s="1506">
        <v>0</v>
      </c>
      <c r="E96" s="1034">
        <v>0</v>
      </c>
      <c r="F96" s="1038">
        <v>0</v>
      </c>
      <c r="G96" s="1038">
        <v>0</v>
      </c>
      <c r="H96" s="1039">
        <v>0</v>
      </c>
    </row>
    <row r="97" spans="1:13" ht="12.95" customHeight="1">
      <c r="A97" s="1062" t="s">
        <v>172</v>
      </c>
      <c r="B97" s="1065" t="s">
        <v>173</v>
      </c>
      <c r="C97" s="1063">
        <f>'D7.C&amp;T'!E32</f>
        <v>0</v>
      </c>
      <c r="D97" s="1034">
        <f>ROUND(C97/euro,2)</f>
        <v>0</v>
      </c>
      <c r="E97" s="1034">
        <f>ROUND(C97*TVA,0)</f>
        <v>0</v>
      </c>
      <c r="F97" s="1038">
        <f>ROUND(E97/euro,2)</f>
        <v>0</v>
      </c>
      <c r="G97" s="1038">
        <f>C97+E97</f>
        <v>0</v>
      </c>
      <c r="H97" s="1039">
        <f>D97+F97</f>
        <v>0</v>
      </c>
      <c r="I97" t="s">
        <v>9</v>
      </c>
    </row>
    <row r="98" spans="1:13" ht="36" hidden="1" customHeight="1">
      <c r="A98" s="1062" t="s">
        <v>9</v>
      </c>
      <c r="B98" s="1528" t="s">
        <v>9</v>
      </c>
      <c r="C98" s="1529" t="s">
        <v>9</v>
      </c>
      <c r="D98" s="1506" t="e">
        <f t="shared" ref="D98" si="26">C98/euro</f>
        <v>#VALUE!</v>
      </c>
      <c r="E98" s="1530" t="s">
        <v>9</v>
      </c>
      <c r="F98" s="1531"/>
      <c r="G98" s="1038" t="e">
        <f>C98+E98</f>
        <v>#VALUE!</v>
      </c>
      <c r="H98" s="1039" t="e">
        <f>D98+#REF!</f>
        <v>#VALUE!</v>
      </c>
    </row>
    <row r="99" spans="1:13" ht="16.350000000000001" customHeight="1">
      <c r="A99" s="1062" t="s">
        <v>9</v>
      </c>
      <c r="B99" s="1065" t="s">
        <v>9</v>
      </c>
      <c r="C99" s="1529"/>
      <c r="D99" s="1506"/>
      <c r="E99" s="1530"/>
      <c r="F99" s="1531"/>
      <c r="G99" s="1038"/>
      <c r="H99" s="1039"/>
    </row>
    <row r="100" spans="1:13" ht="12.95" customHeight="1">
      <c r="A100" s="1777" t="s">
        <v>174</v>
      </c>
      <c r="B100" s="1778"/>
      <c r="C100" s="1522">
        <f>SUM(C95:C98)</f>
        <v>12278040.800000001</v>
      </c>
      <c r="D100" s="1496">
        <f>SUM(D95:D97)</f>
        <v>2467551.1</v>
      </c>
      <c r="E100" s="1522">
        <f t="shared" ref="E100:F100" si="27">SUM(E95:E98)</f>
        <v>2332827.7599999998</v>
      </c>
      <c r="F100" s="1523">
        <f t="shared" si="27"/>
        <v>468834.71</v>
      </c>
      <c r="G100" s="1496">
        <f>SUM(G95:G97)</f>
        <v>14610868.560000001</v>
      </c>
      <c r="H100" s="1482">
        <f>SUM(H95:H97)</f>
        <v>2936385.81</v>
      </c>
      <c r="M100" s="1589" t="s">
        <v>9</v>
      </c>
    </row>
    <row r="101" spans="1:13">
      <c r="A101" s="1773" t="s">
        <v>175</v>
      </c>
      <c r="B101" s="1774"/>
      <c r="C101" s="1774"/>
      <c r="D101" s="1774"/>
      <c r="E101" s="1774"/>
      <c r="F101" s="1775"/>
      <c r="G101" s="1775"/>
      <c r="H101" s="1776"/>
    </row>
    <row r="102" spans="1:13">
      <c r="A102" s="1057" t="s">
        <v>176</v>
      </c>
      <c r="B102" s="1477" t="s">
        <v>112</v>
      </c>
      <c r="C102" s="1059">
        <f>'D2.Deviz ITDCS-summary '!C66</f>
        <v>69920.100000000006</v>
      </c>
      <c r="D102" s="1059">
        <f>'D2.Deviz ITDCS-summary '!D66</f>
        <v>14052.03</v>
      </c>
      <c r="E102" s="1059">
        <f>'D2.Deviz ITDCS-summary '!E66</f>
        <v>13284.82</v>
      </c>
      <c r="F102" s="1059">
        <f>'D2.Deviz ITDCS-summary '!F66</f>
        <v>2669.89</v>
      </c>
      <c r="G102" s="1059">
        <f>'D2.Deviz ITDCS-summary '!G66</f>
        <v>83204.92</v>
      </c>
      <c r="H102" s="1059">
        <f>'D2.Deviz ITDCS-summary '!H66</f>
        <v>16721.919999999998</v>
      </c>
    </row>
    <row r="103" spans="1:13" ht="2.85" customHeight="1">
      <c r="A103" s="1057" t="s">
        <v>9</v>
      </c>
      <c r="B103" s="1477" t="s">
        <v>9</v>
      </c>
      <c r="C103" s="1063">
        <v>0</v>
      </c>
      <c r="D103" s="1506">
        <v>0</v>
      </c>
      <c r="E103" s="1034">
        <v>0</v>
      </c>
      <c r="F103" s="1038">
        <v>0</v>
      </c>
      <c r="G103" s="1038">
        <v>0</v>
      </c>
      <c r="H103" s="1039">
        <v>0</v>
      </c>
    </row>
    <row r="104" spans="1:13" ht="25.5">
      <c r="A104" s="1062" t="s">
        <v>177</v>
      </c>
      <c r="B104" s="1065" t="s">
        <v>178</v>
      </c>
      <c r="C104" s="1063">
        <f>'D7.C&amp;T'!E46</f>
        <v>27493690</v>
      </c>
      <c r="D104" s="1063">
        <f>'D7.C&amp;T'!F46</f>
        <v>5525481.3399999999</v>
      </c>
      <c r="E104" s="1063">
        <f>'D7.C&amp;T'!G46</f>
        <v>5223801.0999999996</v>
      </c>
      <c r="F104" s="1063">
        <f>'D7.C&amp;T'!H46</f>
        <v>1049841.44</v>
      </c>
      <c r="G104" s="1063">
        <f>'D7.C&amp;T'!I46</f>
        <v>32717491.100000001</v>
      </c>
      <c r="H104" s="1063">
        <f>'D7.C&amp;T'!J46</f>
        <v>6575322.7800000003</v>
      </c>
      <c r="I104" s="57">
        <f>C104/euro</f>
        <v>5525481.3296354357</v>
      </c>
    </row>
    <row r="105" spans="1:13">
      <c r="A105" s="1062" t="s">
        <v>179</v>
      </c>
      <c r="B105" s="1065" t="s">
        <v>180</v>
      </c>
      <c r="C105" s="1063">
        <f>'D8.compostoare individuale'!E24</f>
        <v>17812739.16</v>
      </c>
      <c r="D105" s="1063">
        <f>'D8.compostoare individuale'!F24</f>
        <v>3579874.42</v>
      </c>
      <c r="E105" s="1063">
        <f>'D8.compostoare individuale'!G24</f>
        <v>3384420.44</v>
      </c>
      <c r="F105" s="1063">
        <f>'D8.compostoare individuale'!H24</f>
        <v>680176.14052011701</v>
      </c>
      <c r="G105" s="1063">
        <f>'D8.compostoare individuale'!I24</f>
        <v>21197159.600000001</v>
      </c>
      <c r="H105" s="1063">
        <f>'D8.compostoare individuale'!J24</f>
        <v>4260050.56052012</v>
      </c>
    </row>
    <row r="106" spans="1:13" ht="14.25" customHeight="1">
      <c r="A106" s="1777" t="s">
        <v>181</v>
      </c>
      <c r="B106" s="1778"/>
      <c r="C106" s="1522">
        <f>SUM(C102:C105)</f>
        <v>45376349.260000005</v>
      </c>
      <c r="D106" s="1496">
        <f t="shared" ref="D106:H106" si="28">SUM(D102:D105)</f>
        <v>9119407.7899999991</v>
      </c>
      <c r="E106" s="1522">
        <f t="shared" si="28"/>
        <v>8621506.3599999994</v>
      </c>
      <c r="F106" s="1523">
        <f t="shared" si="28"/>
        <v>1732687.4705201169</v>
      </c>
      <c r="G106" s="1481">
        <f t="shared" si="28"/>
        <v>53997855.620000005</v>
      </c>
      <c r="H106" s="1482">
        <f t="shared" si="28"/>
        <v>10852095.260520119</v>
      </c>
      <c r="M106" s="1589" t="s">
        <v>9</v>
      </c>
    </row>
    <row r="107" spans="1:13" ht="14.25" customHeight="1">
      <c r="A107" s="1773" t="s">
        <v>182</v>
      </c>
      <c r="B107" s="1774"/>
      <c r="C107" s="1774"/>
      <c r="D107" s="1774"/>
      <c r="E107" s="1774"/>
      <c r="F107" s="1775"/>
      <c r="G107" s="1775"/>
      <c r="H107" s="1776"/>
    </row>
    <row r="108" spans="1:13" ht="14.25" hidden="1" customHeight="1">
      <c r="A108" s="1062"/>
      <c r="B108" s="1065"/>
      <c r="C108" s="1537">
        <v>0</v>
      </c>
      <c r="D108" s="1537"/>
      <c r="E108" s="1538">
        <v>0</v>
      </c>
      <c r="F108" s="1539"/>
      <c r="G108" s="1539"/>
      <c r="H108" s="1540">
        <v>0</v>
      </c>
    </row>
    <row r="109" spans="1:13" ht="14.25" customHeight="1">
      <c r="A109" s="1062" t="s">
        <v>183</v>
      </c>
      <c r="B109" s="888" t="s">
        <v>184</v>
      </c>
      <c r="C109" s="1537">
        <f>'D7.C&amp;T'!E48</f>
        <v>0</v>
      </c>
      <c r="D109" s="1034">
        <f>ROUND(C109/euro,2)</f>
        <v>0</v>
      </c>
      <c r="E109" s="1034">
        <f>ROUND(C109*TVA,0)</f>
        <v>0</v>
      </c>
      <c r="F109" s="1038">
        <f>ROUNDDOWN(E109/euro,2)</f>
        <v>0</v>
      </c>
      <c r="G109" s="1038">
        <f>C109+E109</f>
        <v>0</v>
      </c>
      <c r="H109" s="1039">
        <f>D109+F109</f>
        <v>0</v>
      </c>
    </row>
    <row r="110" spans="1:13" ht="14.25" customHeight="1">
      <c r="A110" s="1777" t="s">
        <v>185</v>
      </c>
      <c r="B110" s="1778"/>
      <c r="C110" s="1496">
        <f>C109</f>
        <v>0</v>
      </c>
      <c r="D110" s="1496">
        <f t="shared" ref="D110:H110" si="29">D109</f>
        <v>0</v>
      </c>
      <c r="E110" s="1541">
        <f t="shared" si="29"/>
        <v>0</v>
      </c>
      <c r="F110" s="1542">
        <f t="shared" si="29"/>
        <v>0</v>
      </c>
      <c r="G110" s="1542">
        <f t="shared" si="29"/>
        <v>0</v>
      </c>
      <c r="H110" s="1543">
        <f t="shared" si="29"/>
        <v>0</v>
      </c>
    </row>
    <row r="111" spans="1:13" ht="12.95" customHeight="1">
      <c r="A111" s="1764" t="s">
        <v>186</v>
      </c>
      <c r="B111" s="1765"/>
      <c r="C111" s="1495">
        <f>SUM(C82,C87,C92,C100,C106,C110)</f>
        <v>362409555.98500001</v>
      </c>
      <c r="D111" s="1495">
        <f t="shared" ref="D111:H111" si="30">SUM(D82,D87,D92,D100,D106,D110)</f>
        <v>72834429.819999993</v>
      </c>
      <c r="E111" s="1495">
        <f t="shared" si="30"/>
        <v>68857815.689999998</v>
      </c>
      <c r="F111" s="1495">
        <f t="shared" si="30"/>
        <v>13838541.660520118</v>
      </c>
      <c r="G111" s="1495">
        <f t="shared" si="30"/>
        <v>431267371.67500001</v>
      </c>
      <c r="H111" s="1495">
        <f t="shared" si="30"/>
        <v>86672971.480520114</v>
      </c>
      <c r="I111" s="1140"/>
      <c r="M111" s="1589" t="s">
        <v>9</v>
      </c>
    </row>
    <row r="112" spans="1:13" ht="12.95" hidden="1" customHeight="1">
      <c r="A112" s="1478"/>
      <c r="B112" s="1479"/>
      <c r="C112" s="54"/>
      <c r="D112" s="54"/>
      <c r="E112" s="54"/>
      <c r="F112" s="1527"/>
      <c r="G112" s="1527"/>
      <c r="H112" s="69"/>
    </row>
    <row r="113" spans="1:15" ht="12.95" customHeight="1">
      <c r="A113" s="1766" t="s">
        <v>187</v>
      </c>
      <c r="B113" s="1767"/>
      <c r="C113" s="1767"/>
      <c r="D113" s="1767"/>
      <c r="E113" s="1767"/>
      <c r="F113" s="1768"/>
      <c r="G113" s="1768"/>
      <c r="H113" s="1769"/>
    </row>
    <row r="114" spans="1:15" ht="12.95" customHeight="1">
      <c r="A114" s="1794" t="s">
        <v>57</v>
      </c>
      <c r="B114" s="1483" t="s">
        <v>188</v>
      </c>
      <c r="C114" s="1492">
        <f>C115+C119</f>
        <v>3683600</v>
      </c>
      <c r="D114" s="1496">
        <f t="shared" ref="D114:H114" si="31">D115+D119</f>
        <v>740303.05999999994</v>
      </c>
      <c r="E114" s="1492">
        <f t="shared" si="31"/>
        <v>699884</v>
      </c>
      <c r="F114" s="1493">
        <f t="shared" si="31"/>
        <v>140657.59</v>
      </c>
      <c r="G114" s="1481">
        <f t="shared" si="31"/>
        <v>4383484</v>
      </c>
      <c r="H114" s="1482">
        <f t="shared" si="31"/>
        <v>880960.64999999991</v>
      </c>
    </row>
    <row r="115" spans="1:15" ht="12.95" customHeight="1">
      <c r="A115" s="1794"/>
      <c r="B115" s="1483" t="s">
        <v>189</v>
      </c>
      <c r="C115" s="1544">
        <f>SUM(C116:C117)</f>
        <v>2946880</v>
      </c>
      <c r="D115" s="1506">
        <f t="shared" ref="D115:H115" si="32">SUM(D116:D117)</f>
        <v>592242.44999999995</v>
      </c>
      <c r="E115" s="1544">
        <f t="shared" si="32"/>
        <v>559907</v>
      </c>
      <c r="F115" s="1506">
        <f t="shared" si="32"/>
        <v>112526.03</v>
      </c>
      <c r="G115" s="1038">
        <f t="shared" si="32"/>
        <v>3506787</v>
      </c>
      <c r="H115" s="1039">
        <f t="shared" si="32"/>
        <v>704768.48</v>
      </c>
    </row>
    <row r="116" spans="1:15" ht="12.95" customHeight="1">
      <c r="A116" s="1794"/>
      <c r="B116" s="1477" t="s">
        <v>112</v>
      </c>
      <c r="C116" s="1546">
        <f>ROUND('Info gen'!$C$48*('DEVIZ GENERAL'!C$17+'DEVIZ GENERAL'!C$20+'DEVIZ GENERAL'!C$23+'DEVIZ GENERAL'!C$27+'DEVIZ GENERAL'!C$79+'DEVIZ GENERAL'!C$84),0)</f>
        <v>2946880</v>
      </c>
      <c r="D116" s="1502">
        <f>ROUND(C116/euro,2)</f>
        <v>592242.44999999995</v>
      </c>
      <c r="E116" s="1489">
        <f>ROUND(C116*$C$169,0)</f>
        <v>559907</v>
      </c>
      <c r="F116" s="1502">
        <f>ROUND(E116/euro,2)</f>
        <v>112526.03</v>
      </c>
      <c r="G116" s="1490">
        <f>C116+E116</f>
        <v>3506787</v>
      </c>
      <c r="H116" s="1491">
        <f>D116+F116</f>
        <v>704768.48</v>
      </c>
      <c r="M116" s="274" t="s">
        <v>9</v>
      </c>
      <c r="N116" s="274"/>
      <c r="O116" s="274" t="s">
        <v>9</v>
      </c>
    </row>
    <row r="117" spans="1:15" ht="12.95" customHeight="1">
      <c r="A117" s="1794"/>
      <c r="B117" s="1477" t="s">
        <v>9</v>
      </c>
      <c r="C117" s="1546">
        <f>ROUND('Info gen'!$C$48*('DEVIZ GENERAL'!C$18+'DEVIZ GENERAL'!C$21+'DEVIZ GENERAL'!C$24+'DEVIZ GENERAL'!C$28+'DEVIZ GENERAL'!C$80+'DEVIZ GENERAL'!C$85),0)</f>
        <v>0</v>
      </c>
      <c r="D117" s="1502">
        <f>ROUND(C117/euro,2)</f>
        <v>0</v>
      </c>
      <c r="E117" s="1489">
        <f>ROUND(C117*$C$169,2)</f>
        <v>0</v>
      </c>
      <c r="F117" s="1502">
        <f>ROUND(E117/euro,2)</f>
        <v>0</v>
      </c>
      <c r="G117" s="1490">
        <f>C117+E117</f>
        <v>0</v>
      </c>
      <c r="H117" s="1491">
        <f>D117+F117</f>
        <v>0</v>
      </c>
      <c r="M117" s="274" t="s">
        <v>9</v>
      </c>
      <c r="N117" s="274"/>
    </row>
    <row r="118" spans="1:15" ht="12.95" customHeight="1">
      <c r="A118" s="1794"/>
      <c r="B118" s="1483"/>
      <c r="C118" s="52"/>
      <c r="D118" s="52"/>
      <c r="E118" s="52"/>
      <c r="F118" s="52"/>
      <c r="G118" s="1548"/>
      <c r="H118" s="63"/>
    </row>
    <row r="119" spans="1:15" ht="12.95" customHeight="1">
      <c r="A119" s="1794"/>
      <c r="B119" s="1483" t="s">
        <v>190</v>
      </c>
      <c r="C119" s="1544">
        <f>SUM(C120:C121)</f>
        <v>736720</v>
      </c>
      <c r="D119" s="1502">
        <f>ROUND(C119/euro,2)</f>
        <v>148060.60999999999</v>
      </c>
      <c r="E119" s="1544">
        <f>SUM(E120:E121)</f>
        <v>139977</v>
      </c>
      <c r="F119" s="1502">
        <f>ROUND(E119/euro,2)</f>
        <v>28131.56</v>
      </c>
      <c r="G119" s="1038">
        <f t="shared" ref="G119:H121" si="33">C119+E119</f>
        <v>876697</v>
      </c>
      <c r="H119" s="1039">
        <f t="shared" si="33"/>
        <v>176192.16999999998</v>
      </c>
    </row>
    <row r="120" spans="1:15" ht="12.95" customHeight="1">
      <c r="A120" s="1794"/>
      <c r="B120" s="1477" t="s">
        <v>112</v>
      </c>
      <c r="C120" s="1546">
        <f>ROUND('Info gen'!$C$49*('DEVIZ GENERAL'!C$17+'DEVIZ GENERAL'!C$20+'DEVIZ GENERAL'!C$23+'DEVIZ GENERAL'!C$27+'DEVIZ GENERAL'!C$79+'DEVIZ GENERAL'!C$84),0)</f>
        <v>736720</v>
      </c>
      <c r="D120" s="1502">
        <f>ROUND(C120/euro,2)</f>
        <v>148060.60999999999</v>
      </c>
      <c r="E120" s="1489">
        <f>ROUND(C120*$C$169,0)</f>
        <v>139977</v>
      </c>
      <c r="F120" s="1502">
        <f>ROUND(E120/euro,2)</f>
        <v>28131.56</v>
      </c>
      <c r="G120" s="1490">
        <f t="shared" si="33"/>
        <v>876697</v>
      </c>
      <c r="H120" s="1039">
        <f t="shared" si="33"/>
        <v>176192.16999999998</v>
      </c>
    </row>
    <row r="121" spans="1:15" ht="12.95" customHeight="1">
      <c r="A121" s="1794"/>
      <c r="B121" s="1477" t="s">
        <v>9</v>
      </c>
      <c r="C121" s="1546">
        <f>ROUND('Info gen'!$C$49*('DEVIZ GENERAL'!C$18+'DEVIZ GENERAL'!C$21+'DEVIZ GENERAL'!C$24+'DEVIZ GENERAL'!C$28+'DEVIZ GENERAL'!C$80+'DEVIZ GENERAL'!C$85),0)</f>
        <v>0</v>
      </c>
      <c r="D121" s="1502">
        <f>ROUND(C121/euro,2)</f>
        <v>0</v>
      </c>
      <c r="E121" s="1489">
        <f>ROUND(C121*$C$169,2)</f>
        <v>0</v>
      </c>
      <c r="F121" s="1502">
        <f>ROUND(E121/euro,2)</f>
        <v>0</v>
      </c>
      <c r="G121" s="1490">
        <f t="shared" si="33"/>
        <v>0</v>
      </c>
      <c r="H121" s="1039">
        <f t="shared" si="33"/>
        <v>0</v>
      </c>
    </row>
    <row r="122" spans="1:15" ht="12.95" customHeight="1">
      <c r="A122" s="1794"/>
      <c r="B122" s="1483"/>
      <c r="C122" s="52"/>
      <c r="D122" s="52"/>
      <c r="E122" s="52"/>
      <c r="F122" s="52"/>
      <c r="G122" s="1548"/>
      <c r="H122" s="63"/>
    </row>
    <row r="123" spans="1:15" ht="15.95" customHeight="1">
      <c r="A123" s="1478" t="s">
        <v>62</v>
      </c>
      <c r="B123" s="1483" t="s">
        <v>191</v>
      </c>
      <c r="C123" s="1492">
        <f>C124+C125+C128+C134+C131</f>
        <v>3306398</v>
      </c>
      <c r="D123" s="1496">
        <f t="shared" ref="D123:H123" si="34">D124+D125+D128+D134+D131</f>
        <v>664495.77</v>
      </c>
      <c r="E123" s="1492">
        <f t="shared" si="34"/>
        <v>0</v>
      </c>
      <c r="F123" s="1496">
        <f t="shared" si="34"/>
        <v>0</v>
      </c>
      <c r="G123" s="1481">
        <f t="shared" si="34"/>
        <v>3306398</v>
      </c>
      <c r="H123" s="1039">
        <f t="shared" si="34"/>
        <v>664495.77</v>
      </c>
    </row>
    <row r="124" spans="1:15" ht="18" customHeight="1">
      <c r="A124" s="1478"/>
      <c r="B124" s="1483" t="s">
        <v>192</v>
      </c>
      <c r="C124" s="1544">
        <v>0</v>
      </c>
      <c r="D124" s="1544">
        <v>0</v>
      </c>
      <c r="E124" s="1544">
        <v>0</v>
      </c>
      <c r="F124" s="1545">
        <v>0</v>
      </c>
      <c r="G124" s="1545">
        <v>0</v>
      </c>
      <c r="H124" s="1547">
        <v>0</v>
      </c>
    </row>
    <row r="125" spans="1:15" ht="25.5">
      <c r="A125" s="1478"/>
      <c r="B125" s="1483" t="s">
        <v>193</v>
      </c>
      <c r="C125" s="1525">
        <f>SUM(C126:C127)</f>
        <v>751454</v>
      </c>
      <c r="D125" s="1506">
        <f t="shared" ref="D125:H125" si="35">SUM(D126:D127)</f>
        <v>151021.75</v>
      </c>
      <c r="E125" s="1063">
        <f t="shared" si="35"/>
        <v>0</v>
      </c>
      <c r="F125" s="1500">
        <f t="shared" si="35"/>
        <v>0</v>
      </c>
      <c r="G125" s="1038">
        <f t="shared" si="35"/>
        <v>751454</v>
      </c>
      <c r="H125" s="1039">
        <f t="shared" si="35"/>
        <v>151021.75</v>
      </c>
    </row>
    <row r="126" spans="1:15">
      <c r="A126" s="1478"/>
      <c r="B126" s="1477" t="s">
        <v>112</v>
      </c>
      <c r="C126" s="1546">
        <f>ROUND(0.5%*('DEVIZ GENERAL'!C$17+'DEVIZ GENERAL'!C$20+'DEVIZ GENERAL'!C$23+'DEVIZ GENERAL'!C$27+'DEVIZ GENERAL'!C$79+'DEVIZ GENERAL'!C$84+C$116),0)</f>
        <v>751454</v>
      </c>
      <c r="D126" s="1502">
        <f>ROUND(C126/euro,2)</f>
        <v>151021.75</v>
      </c>
      <c r="E126" s="1534">
        <v>0</v>
      </c>
      <c r="F126" s="1535">
        <v>0</v>
      </c>
      <c r="G126" s="1490">
        <f t="shared" ref="G126:H142" si="36">C126+E126</f>
        <v>751454</v>
      </c>
      <c r="H126" s="1491">
        <f t="shared" si="36"/>
        <v>151021.75</v>
      </c>
    </row>
    <row r="127" spans="1:15">
      <c r="A127" s="1478"/>
      <c r="B127" s="1477" t="s">
        <v>9</v>
      </c>
      <c r="C127" s="1546">
        <f>ROUND(0.5%*('DEVIZ GENERAL'!C$18+'DEVIZ GENERAL'!C$21+'DEVIZ GENERAL'!C$24+'DEVIZ GENERAL'!C$28+'DEVIZ GENERAL'!C$80+'DEVIZ GENERAL'!C$85+C$117),0)</f>
        <v>0</v>
      </c>
      <c r="D127" s="1502">
        <f>ROUND(C127/euro,2)</f>
        <v>0</v>
      </c>
      <c r="E127" s="1534">
        <v>0</v>
      </c>
      <c r="F127" s="1535">
        <v>0</v>
      </c>
      <c r="G127" s="1490">
        <f t="shared" si="36"/>
        <v>0</v>
      </c>
      <c r="H127" s="1491">
        <f t="shared" si="36"/>
        <v>0</v>
      </c>
    </row>
    <row r="128" spans="1:15" ht="38.25">
      <c r="A128" s="1478"/>
      <c r="B128" s="1483" t="s">
        <v>194</v>
      </c>
      <c r="C128" s="1525">
        <f>SUM(C129:C130)</f>
        <v>150291</v>
      </c>
      <c r="D128" s="1506">
        <f t="shared" ref="D128:H128" si="37">SUM(D129:D130)</f>
        <v>30204.39</v>
      </c>
      <c r="E128" s="1063">
        <f t="shared" si="37"/>
        <v>0</v>
      </c>
      <c r="F128" s="1500">
        <f t="shared" si="37"/>
        <v>0</v>
      </c>
      <c r="G128" s="1038">
        <f t="shared" si="37"/>
        <v>150291</v>
      </c>
      <c r="H128" s="1039">
        <f t="shared" si="37"/>
        <v>30204.39</v>
      </c>
    </row>
    <row r="129" spans="1:10">
      <c r="A129" s="1478"/>
      <c r="B129" s="1477" t="s">
        <v>112</v>
      </c>
      <c r="C129" s="1546">
        <f>ROUND(0.1%*('DEVIZ GENERAL'!C$17+'DEVIZ GENERAL'!C$20+'DEVIZ GENERAL'!C$23+'DEVIZ GENERAL'!C$27+'DEVIZ GENERAL'!C$79+'DEVIZ GENERAL'!C$84+C$116),0)</f>
        <v>150291</v>
      </c>
      <c r="D129" s="1502">
        <f>ROUND(C129/euro,2)</f>
        <v>30204.39</v>
      </c>
      <c r="E129" s="1063">
        <v>0</v>
      </c>
      <c r="F129" s="1500">
        <v>0</v>
      </c>
      <c r="G129" s="1490">
        <f>C129+E129</f>
        <v>150291</v>
      </c>
      <c r="H129" s="1039">
        <f>D129+F129</f>
        <v>30204.39</v>
      </c>
    </row>
    <row r="130" spans="1:10">
      <c r="A130" s="1478"/>
      <c r="B130" s="1477" t="s">
        <v>9</v>
      </c>
      <c r="C130" s="1546">
        <f>ROUND(0.1%*('DEVIZ GENERAL'!C$18+'DEVIZ GENERAL'!C$21+'DEVIZ GENERAL'!C$24+'DEVIZ GENERAL'!C$28+'DEVIZ GENERAL'!C$80+'DEVIZ GENERAL'!C$85+C$117),0)</f>
        <v>0</v>
      </c>
      <c r="D130" s="1502">
        <f>ROUND(C130/euro,2)</f>
        <v>0</v>
      </c>
      <c r="E130" s="1063">
        <v>0</v>
      </c>
      <c r="F130" s="1500">
        <v>0</v>
      </c>
      <c r="G130" s="1490">
        <f>C130+E130</f>
        <v>0</v>
      </c>
      <c r="H130" s="1039">
        <f>D130+F130</f>
        <v>0</v>
      </c>
    </row>
    <row r="131" spans="1:10">
      <c r="A131" s="1478"/>
      <c r="B131" s="1483" t="s">
        <v>195</v>
      </c>
      <c r="C131" s="1525">
        <f>SUM(C132:C133)</f>
        <v>751454</v>
      </c>
      <c r="D131" s="1506">
        <f t="shared" ref="D131:H131" si="38">SUM(D132:D133)</f>
        <v>151021.75</v>
      </c>
      <c r="E131" s="1063">
        <f t="shared" si="38"/>
        <v>0</v>
      </c>
      <c r="F131" s="1500">
        <f t="shared" si="38"/>
        <v>0</v>
      </c>
      <c r="G131" s="1038">
        <f t="shared" si="38"/>
        <v>751454</v>
      </c>
      <c r="H131" s="1039">
        <f t="shared" si="38"/>
        <v>151021.75</v>
      </c>
    </row>
    <row r="132" spans="1:10">
      <c r="A132" s="1478"/>
      <c r="B132" s="1477" t="s">
        <v>112</v>
      </c>
      <c r="C132" s="1546">
        <f>ROUND(0.5%*('DEVIZ GENERAL'!C$17+'DEVIZ GENERAL'!C$20+'DEVIZ GENERAL'!C$23+'DEVIZ GENERAL'!C$27+'DEVIZ GENERAL'!C$79+'DEVIZ GENERAL'!C$84+C$116),0)</f>
        <v>751454</v>
      </c>
      <c r="D132" s="1506">
        <f>ROUND(C132/euro,2)</f>
        <v>151021.75</v>
      </c>
      <c r="E132" s="1063">
        <v>0</v>
      </c>
      <c r="F132" s="1500">
        <v>0</v>
      </c>
      <c r="G132" s="1490">
        <f>C132+E132</f>
        <v>751454</v>
      </c>
      <c r="H132" s="1039">
        <f>D132+F132</f>
        <v>151021.75</v>
      </c>
    </row>
    <row r="133" spans="1:10">
      <c r="A133" s="1478"/>
      <c r="B133" s="1477" t="s">
        <v>9</v>
      </c>
      <c r="C133" s="1546">
        <f>ROUND(0.5%*('DEVIZ GENERAL'!C$18+'DEVIZ GENERAL'!C$21+'DEVIZ GENERAL'!C$24+'DEVIZ GENERAL'!C$28+'DEVIZ GENERAL'!C$80+'DEVIZ GENERAL'!C$85+C$117),0)</f>
        <v>0</v>
      </c>
      <c r="D133" s="1506">
        <f>ROUND(C133/euro,2)</f>
        <v>0</v>
      </c>
      <c r="E133" s="1063">
        <v>0</v>
      </c>
      <c r="F133" s="1500">
        <v>0</v>
      </c>
      <c r="G133" s="1490">
        <f>C133+E133</f>
        <v>0</v>
      </c>
      <c r="H133" s="1039">
        <f>D133+F133</f>
        <v>0</v>
      </c>
    </row>
    <row r="134" spans="1:10" ht="33" customHeight="1">
      <c r="A134" s="1478"/>
      <c r="B134" s="1483" t="s">
        <v>196</v>
      </c>
      <c r="C134" s="1525">
        <f>SUM(C135:C136)</f>
        <v>1653199</v>
      </c>
      <c r="D134" s="1506">
        <f t="shared" ref="D134:H134" si="39">SUM(D135:D136)</f>
        <v>332247.88</v>
      </c>
      <c r="E134" s="1063">
        <f t="shared" si="39"/>
        <v>0</v>
      </c>
      <c r="F134" s="1500">
        <f t="shared" si="39"/>
        <v>0</v>
      </c>
      <c r="G134" s="1507">
        <f t="shared" si="39"/>
        <v>1653199</v>
      </c>
      <c r="H134" s="1549">
        <f t="shared" si="39"/>
        <v>332247.88</v>
      </c>
    </row>
    <row r="135" spans="1:10">
      <c r="A135" s="1478"/>
      <c r="B135" s="1477" t="s">
        <v>112</v>
      </c>
      <c r="C135" s="1546">
        <f>ROUND('Info gen'!C50*('DEVIZ GENERAL'!C$17+'DEVIZ GENERAL'!C$20+'DEVIZ GENERAL'!C$23+'DEVIZ GENERAL'!C$27+'DEVIZ GENERAL'!C$79+'DEVIZ GENERAL'!C$84+C$116),0)</f>
        <v>1653199</v>
      </c>
      <c r="D135" s="1506">
        <f>ROUND(C135/euro,2)</f>
        <v>332247.88</v>
      </c>
      <c r="E135" s="1063">
        <v>0</v>
      </c>
      <c r="F135" s="1500">
        <v>0</v>
      </c>
      <c r="G135" s="1490">
        <f t="shared" si="36"/>
        <v>1653199</v>
      </c>
      <c r="H135" s="1039">
        <f t="shared" si="36"/>
        <v>332247.88</v>
      </c>
    </row>
    <row r="136" spans="1:10">
      <c r="A136" s="1478"/>
      <c r="B136" s="1477" t="s">
        <v>9</v>
      </c>
      <c r="C136" s="1546">
        <f>ROUND('Info gen'!C50*('DEVIZ GENERAL'!C$18+'DEVIZ GENERAL'!C$21+'DEVIZ GENERAL'!C$24+'DEVIZ GENERAL'!C$28+'DEVIZ GENERAL'!C$80+'DEVIZ GENERAL'!C$85+C$117),0)</f>
        <v>0</v>
      </c>
      <c r="D136" s="1506">
        <f>ROUND(C136/euro,2)</f>
        <v>0</v>
      </c>
      <c r="E136" s="1063">
        <v>0</v>
      </c>
      <c r="F136" s="1500">
        <v>0</v>
      </c>
      <c r="G136" s="1490">
        <f t="shared" si="36"/>
        <v>0</v>
      </c>
      <c r="H136" s="1039">
        <f t="shared" si="36"/>
        <v>0</v>
      </c>
    </row>
    <row r="137" spans="1:10" ht="18.95" customHeight="1">
      <c r="A137" s="1478" t="s">
        <v>64</v>
      </c>
      <c r="B137" s="1483" t="s">
        <v>197</v>
      </c>
      <c r="C137" s="1522">
        <f>SUM(C138:C139)</f>
        <v>38792083</v>
      </c>
      <c r="D137" s="1496">
        <f t="shared" ref="D137:H137" si="40">SUM(D138:D139)</f>
        <v>7796149.9699999997</v>
      </c>
      <c r="E137" s="1496">
        <f t="shared" si="40"/>
        <v>7370496</v>
      </c>
      <c r="F137" s="1498">
        <f t="shared" si="40"/>
        <v>1481268.54</v>
      </c>
      <c r="G137" s="1498">
        <f t="shared" si="40"/>
        <v>46162579</v>
      </c>
      <c r="H137" s="1482">
        <f t="shared" si="40"/>
        <v>9277418.5099999998</v>
      </c>
    </row>
    <row r="138" spans="1:10">
      <c r="A138" s="1478"/>
      <c r="B138" s="1477" t="s">
        <v>112</v>
      </c>
      <c r="C138" s="1546">
        <f>ROUND('Info gen'!$C$51*('DEVIZ GENERAL'!C$17+'DEVIZ GENERAL'!C$20+'DEVIZ GENERAL'!C$23+'DEVIZ GENERAL'!C$27+C$42+C$62+C$111),0)</f>
        <v>38792083</v>
      </c>
      <c r="D138" s="1506">
        <f>ROUND(C138/euro,2)</f>
        <v>7796149.9699999997</v>
      </c>
      <c r="E138" s="1506">
        <f>ROUND(C138*TVA,0)</f>
        <v>7370496</v>
      </c>
      <c r="F138" s="1506">
        <f>ROUND(E138/euro,2)</f>
        <v>1481268.54</v>
      </c>
      <c r="G138" s="1507">
        <f t="shared" si="36"/>
        <v>46162579</v>
      </c>
      <c r="H138" s="1039">
        <f t="shared" si="36"/>
        <v>9277418.5099999998</v>
      </c>
    </row>
    <row r="139" spans="1:10">
      <c r="A139" s="1478"/>
      <c r="B139" s="1477" t="s">
        <v>9</v>
      </c>
      <c r="C139" s="1546">
        <f>ROUND('Info gen'!$C$51*('DEVIZ GENERAL'!C$18+'DEVIZ GENERAL'!C$21+'DEVIZ GENERAL'!C$24+'DEVIZ GENERAL'!C$28+'DEVIZ GENERAL'!C$80+'DEVIZ GENERAL'!C$85),0)</f>
        <v>0</v>
      </c>
      <c r="D139" s="1506">
        <f>ROUND(C139/euro,2)</f>
        <v>0</v>
      </c>
      <c r="E139" s="1506">
        <f>ROUND(C139*TVA,2)</f>
        <v>0</v>
      </c>
      <c r="F139" s="1506">
        <f>ROUNDDOWN(E139/euro,2)</f>
        <v>0</v>
      </c>
      <c r="G139" s="1507">
        <f>C139+E139</f>
        <v>0</v>
      </c>
      <c r="H139" s="1039">
        <f>D139+F139</f>
        <v>0</v>
      </c>
    </row>
    <row r="140" spans="1:10" ht="18.95" customHeight="1">
      <c r="A140" s="1478" t="s">
        <v>198</v>
      </c>
      <c r="B140" s="1483" t="s">
        <v>199</v>
      </c>
      <c r="C140" s="1522">
        <f>C141+C142</f>
        <v>1709476</v>
      </c>
      <c r="D140" s="1496">
        <f t="shared" ref="D140:H140" si="41">D141+D142</f>
        <v>343558.02</v>
      </c>
      <c r="E140" s="1522">
        <f t="shared" si="41"/>
        <v>324800</v>
      </c>
      <c r="F140" s="1523">
        <f t="shared" si="41"/>
        <v>65275.94</v>
      </c>
      <c r="G140" s="1498">
        <f t="shared" si="41"/>
        <v>2034276</v>
      </c>
      <c r="H140" s="1482">
        <f t="shared" si="41"/>
        <v>408833.95999999996</v>
      </c>
    </row>
    <row r="141" spans="1:10" ht="30.95" customHeight="1">
      <c r="A141" s="1478"/>
      <c r="B141" s="1550" t="s">
        <v>87</v>
      </c>
      <c r="C141" s="1525">
        <f>ROUND('Info gen'!C64*euro,0)</f>
        <v>497580</v>
      </c>
      <c r="D141" s="1506">
        <f>ROUND(C141/euro,2)</f>
        <v>100000</v>
      </c>
      <c r="E141" s="1063">
        <f>ROUND(C141*TVA,0)</f>
        <v>94540</v>
      </c>
      <c r="F141" s="1506">
        <f>ROUND(E141/euro,2)</f>
        <v>18999.96</v>
      </c>
      <c r="G141" s="1507">
        <f t="shared" si="36"/>
        <v>592120</v>
      </c>
      <c r="H141" s="1039">
        <f t="shared" si="36"/>
        <v>118999.95999999999</v>
      </c>
    </row>
    <row r="142" spans="1:10" ht="31.7" customHeight="1">
      <c r="A142" s="1478"/>
      <c r="B142" s="1550" t="s">
        <v>89</v>
      </c>
      <c r="C142" s="1525">
        <f>ROUND('Info gen'!C65*euro,0)</f>
        <v>1211896</v>
      </c>
      <c r="D142" s="1506">
        <f>ROUND(C142/euro,2)</f>
        <v>243558.02</v>
      </c>
      <c r="E142" s="1063">
        <f>ROUND(C142*TVA,0)</f>
        <v>230260</v>
      </c>
      <c r="F142" s="1506">
        <f>ROUND(E142/euro,2)</f>
        <v>46275.98</v>
      </c>
      <c r="G142" s="1507">
        <f t="shared" si="36"/>
        <v>1442156</v>
      </c>
      <c r="H142" s="1039">
        <f t="shared" si="36"/>
        <v>289834</v>
      </c>
    </row>
    <row r="143" spans="1:10" ht="12.95" customHeight="1">
      <c r="A143" s="1764" t="s">
        <v>200</v>
      </c>
      <c r="B143" s="1765"/>
      <c r="C143" s="1516">
        <f>C140+C137+C123+C114</f>
        <v>47491557</v>
      </c>
      <c r="D143" s="1496">
        <f t="shared" ref="D143:H143" si="42">D140+D137+D123+D114</f>
        <v>9544506.8200000003</v>
      </c>
      <c r="E143" s="1516">
        <f t="shared" si="42"/>
        <v>8395180</v>
      </c>
      <c r="F143" s="1496">
        <f t="shared" si="42"/>
        <v>1687202.07</v>
      </c>
      <c r="G143" s="1498">
        <f t="shared" si="42"/>
        <v>55886737</v>
      </c>
      <c r="H143" s="1482">
        <f t="shared" si="42"/>
        <v>11231708.889999999</v>
      </c>
      <c r="I143" s="1140"/>
      <c r="J143" s="53"/>
    </row>
    <row r="144" spans="1:10" ht="12.95" customHeight="1">
      <c r="A144" s="1766" t="s">
        <v>201</v>
      </c>
      <c r="B144" s="1767"/>
      <c r="C144" s="1767"/>
      <c r="D144" s="1767"/>
      <c r="E144" s="1767"/>
      <c r="F144" s="1768"/>
      <c r="G144" s="1768"/>
      <c r="H144" s="1769"/>
    </row>
    <row r="145" spans="1:14" ht="12.95" customHeight="1">
      <c r="A145" s="1478" t="s">
        <v>69</v>
      </c>
      <c r="B145" s="1483" t="s">
        <v>202</v>
      </c>
      <c r="C145" s="1492">
        <f>SUM(C146:C147)</f>
        <v>6742574</v>
      </c>
      <c r="D145" s="1496">
        <f t="shared" ref="D145:H145" si="43">SUM(D146:D147)</f>
        <v>1355073.36</v>
      </c>
      <c r="E145" s="1492">
        <f t="shared" si="43"/>
        <v>1281089</v>
      </c>
      <c r="F145" s="1493">
        <f t="shared" si="43"/>
        <v>257463.93</v>
      </c>
      <c r="G145" s="1498">
        <f t="shared" si="43"/>
        <v>8023663</v>
      </c>
      <c r="H145" s="1482">
        <f t="shared" si="43"/>
        <v>1612537.29</v>
      </c>
      <c r="I145" s="1140"/>
    </row>
    <row r="146" spans="1:14" ht="12.95" customHeight="1">
      <c r="A146" s="1478"/>
      <c r="B146" s="1477" t="s">
        <v>112</v>
      </c>
      <c r="C146" s="1544">
        <f>ROUND('Info gen'!C54*'DEVIZ GENERAL'!C92,0)</f>
        <v>6742574</v>
      </c>
      <c r="D146" s="1506">
        <f>ROUND(C146/euro,2)</f>
        <v>1355073.36</v>
      </c>
      <c r="E146" s="1544">
        <f>ROUND(C146*TVA,0)</f>
        <v>1281089</v>
      </c>
      <c r="F146" s="1506">
        <f>ROUND(E146/euro,2)</f>
        <v>257463.93</v>
      </c>
      <c r="G146" s="1507">
        <f>C146+E146</f>
        <v>8023663</v>
      </c>
      <c r="H146" s="1039">
        <f>D146+F146</f>
        <v>1612537.29</v>
      </c>
      <c r="I146" s="1140"/>
      <c r="M146" s="53" t="s">
        <v>9</v>
      </c>
      <c r="N146" s="53"/>
    </row>
    <row r="147" spans="1:14" ht="12.95" customHeight="1">
      <c r="A147" s="1478"/>
      <c r="B147" s="1483"/>
      <c r="C147" s="52" t="s">
        <v>9</v>
      </c>
      <c r="D147" s="52"/>
      <c r="E147" s="52"/>
      <c r="F147" s="1548"/>
      <c r="G147" s="1548"/>
      <c r="H147" s="63"/>
      <c r="I147" s="1140"/>
    </row>
    <row r="148" spans="1:14" ht="12.95" customHeight="1">
      <c r="A148" s="1478" t="s">
        <v>72</v>
      </c>
      <c r="B148" s="1483" t="s">
        <v>203</v>
      </c>
      <c r="C148" s="1492">
        <f>SUM(C149:C150)</f>
        <v>13485147</v>
      </c>
      <c r="D148" s="1496">
        <f t="shared" ref="D148:H148" si="44">SUM(D149:D150)</f>
        <v>2710146.51</v>
      </c>
      <c r="E148" s="1492">
        <f t="shared" si="44"/>
        <v>2562178</v>
      </c>
      <c r="F148" s="1493">
        <f t="shared" si="44"/>
        <v>514927.85</v>
      </c>
      <c r="G148" s="1498">
        <f t="shared" si="44"/>
        <v>16047325</v>
      </c>
      <c r="H148" s="1482">
        <f t="shared" si="44"/>
        <v>3225074.36</v>
      </c>
    </row>
    <row r="149" spans="1:14" ht="12.95" customHeight="1">
      <c r="A149" s="1478"/>
      <c r="B149" s="1477" t="s">
        <v>112</v>
      </c>
      <c r="C149" s="1544">
        <f>ROUND('Info gen'!C55*'DEVIZ GENERAL'!C92,0)</f>
        <v>13485147</v>
      </c>
      <c r="D149" s="1506">
        <f>ROUND(C149/euro,2)</f>
        <v>2710146.51</v>
      </c>
      <c r="E149" s="1544">
        <f>ROUND(C149*TVA,0)</f>
        <v>2562178</v>
      </c>
      <c r="F149" s="1506">
        <f>ROUND(E149/euro,2)</f>
        <v>514927.85</v>
      </c>
      <c r="G149" s="1507">
        <f>C149+E149</f>
        <v>16047325</v>
      </c>
      <c r="H149" s="1039">
        <f>D149+F149</f>
        <v>3225074.36</v>
      </c>
    </row>
    <row r="150" spans="1:14" ht="12.95" customHeight="1">
      <c r="A150" s="1478"/>
      <c r="B150" s="1483"/>
      <c r="C150" s="52" t="s">
        <v>9</v>
      </c>
      <c r="D150" s="52"/>
      <c r="E150" s="52"/>
      <c r="F150" s="1548"/>
      <c r="G150" s="1548"/>
      <c r="H150" s="63"/>
    </row>
    <row r="151" spans="1:14" ht="12.95" customHeight="1">
      <c r="A151" s="1764" t="s">
        <v>204</v>
      </c>
      <c r="B151" s="1765"/>
      <c r="C151" s="1516">
        <f>C145+C148</f>
        <v>20227721</v>
      </c>
      <c r="D151" s="1496">
        <f t="shared" ref="D151:H151" si="45">D145+D148</f>
        <v>4065219.87</v>
      </c>
      <c r="E151" s="1522">
        <f t="shared" si="45"/>
        <v>3843267</v>
      </c>
      <c r="F151" s="1523">
        <f t="shared" si="45"/>
        <v>772391.78</v>
      </c>
      <c r="G151" s="1498">
        <f t="shared" si="45"/>
        <v>24070988</v>
      </c>
      <c r="H151" s="1482">
        <f t="shared" si="45"/>
        <v>4837611.6500000004</v>
      </c>
      <c r="I151" s="1140"/>
    </row>
    <row r="152" spans="1:14" ht="12.95" customHeight="1">
      <c r="A152" s="1770" t="s">
        <v>205</v>
      </c>
      <c r="B152" s="1771"/>
      <c r="C152" s="1771"/>
      <c r="D152" s="1771"/>
      <c r="E152" s="1771"/>
      <c r="F152" s="1771"/>
      <c r="G152" s="1771"/>
      <c r="H152" s="1772"/>
      <c r="I152" s="1140"/>
    </row>
    <row r="153" spans="1:14" ht="26.85" customHeight="1">
      <c r="A153" s="1478" t="s">
        <v>206</v>
      </c>
      <c r="B153" s="1483" t="s">
        <v>207</v>
      </c>
      <c r="C153" s="1060">
        <v>0</v>
      </c>
      <c r="D153" s="1590">
        <v>0</v>
      </c>
      <c r="E153" s="1591">
        <v>0</v>
      </c>
      <c r="F153" s="1526">
        <v>0</v>
      </c>
      <c r="G153" s="1507">
        <v>0</v>
      </c>
      <c r="H153" s="1039">
        <v>0</v>
      </c>
      <c r="I153" s="1140"/>
    </row>
    <row r="154" spans="1:14" ht="24.95" customHeight="1">
      <c r="A154" s="1478" t="s">
        <v>208</v>
      </c>
      <c r="B154" s="1592" t="s">
        <v>209</v>
      </c>
      <c r="C154" s="1060">
        <f>D154*euro</f>
        <v>49989225.425999999</v>
      </c>
      <c r="D154" s="1506">
        <f>'esalonare investitie'!M87</f>
        <v>10046470</v>
      </c>
      <c r="E154" s="1525">
        <f>'esalonare investitie'!H77-'esalonare investitie'!H70-0.01</f>
        <v>9408575.610000005</v>
      </c>
      <c r="F154" s="1526">
        <f>'esalonare investitie'!H63-'esalonare investitie'!H49</f>
        <v>1890866.9900000021</v>
      </c>
      <c r="G154" s="1507">
        <f>C154+E154</f>
        <v>59397801.036000006</v>
      </c>
      <c r="H154" s="1549">
        <f>D154+F154</f>
        <v>11937336.990000002</v>
      </c>
      <c r="I154" s="1140"/>
    </row>
    <row r="155" spans="1:14" ht="12.95" customHeight="1">
      <c r="A155" s="1478"/>
      <c r="B155" s="1479" t="s">
        <v>210</v>
      </c>
      <c r="C155" s="1516">
        <f>C154+C153</f>
        <v>49989225.425999999</v>
      </c>
      <c r="D155" s="1516">
        <f t="shared" ref="D155:H155" si="46">D154+D153</f>
        <v>10046470</v>
      </c>
      <c r="E155" s="1516">
        <f t="shared" si="46"/>
        <v>9408575.610000005</v>
      </c>
      <c r="F155" s="1516">
        <f t="shared" si="46"/>
        <v>1890866.9900000021</v>
      </c>
      <c r="G155" s="1516">
        <f t="shared" si="46"/>
        <v>59397801.036000006</v>
      </c>
      <c r="H155" s="1593">
        <f t="shared" si="46"/>
        <v>11937336.990000002</v>
      </c>
      <c r="I155" s="1140"/>
    </row>
    <row r="156" spans="1:14" ht="16.5" customHeight="1">
      <c r="A156" s="1779" t="s">
        <v>211</v>
      </c>
      <c r="B156" s="1780"/>
      <c r="C156" s="1552">
        <f t="shared" ref="C156:H156" si="47">C151+C143+C111+C76+C30+C25</f>
        <v>461372188.48500001</v>
      </c>
      <c r="D156" s="1496">
        <f t="shared" si="47"/>
        <v>92723218.069999993</v>
      </c>
      <c r="E156" s="1552">
        <f t="shared" si="47"/>
        <v>87032497.689999998</v>
      </c>
      <c r="F156" s="1553">
        <f t="shared" si="47"/>
        <v>17491156.740520116</v>
      </c>
      <c r="G156" s="1498">
        <f t="shared" si="47"/>
        <v>548404686.17499995</v>
      </c>
      <c r="H156" s="1482">
        <f t="shared" si="47"/>
        <v>110214374.81052013</v>
      </c>
      <c r="I156" s="1582"/>
      <c r="M156" t="s">
        <v>76</v>
      </c>
    </row>
    <row r="157" spans="1:14" ht="16.5" customHeight="1">
      <c r="A157" s="1781" t="s">
        <v>212</v>
      </c>
      <c r="B157" s="1782"/>
      <c r="C157" s="1552">
        <f>C154+C156</f>
        <v>511361413.91100001</v>
      </c>
      <c r="D157" s="1552">
        <f t="shared" ref="D157:H157" si="48">D154+D156</f>
        <v>102769688.06999999</v>
      </c>
      <c r="E157" s="1552">
        <f t="shared" si="48"/>
        <v>96441073.299999997</v>
      </c>
      <c r="F157" s="1552">
        <f t="shared" si="48"/>
        <v>19382023.730520118</v>
      </c>
      <c r="G157" s="1552">
        <f t="shared" si="48"/>
        <v>607802487.21099997</v>
      </c>
      <c r="H157" s="1594">
        <f t="shared" si="48"/>
        <v>122151711.80052012</v>
      </c>
      <c r="I157" s="1582"/>
    </row>
    <row r="158" spans="1:14">
      <c r="A158" s="1783" t="s">
        <v>213</v>
      </c>
      <c r="B158" s="1784"/>
      <c r="C158" s="1516">
        <f t="shared" ref="C158:H158" si="49">C82+C87+C115+C30+C25</f>
        <v>150290863.02500001</v>
      </c>
      <c r="D158" s="1496">
        <f t="shared" si="49"/>
        <v>30204361.710000001</v>
      </c>
      <c r="E158" s="1516">
        <f t="shared" si="49"/>
        <v>28555263.5</v>
      </c>
      <c r="F158" s="1517">
        <f t="shared" si="49"/>
        <v>5738828.6200000001</v>
      </c>
      <c r="G158" s="1498">
        <f t="shared" si="49"/>
        <v>178846126.52500001</v>
      </c>
      <c r="H158" s="1482">
        <f t="shared" si="49"/>
        <v>35943190.329999998</v>
      </c>
      <c r="I158" s="1582"/>
      <c r="J158" s="53"/>
    </row>
    <row r="159" spans="1:14">
      <c r="A159" s="1766" t="s">
        <v>214</v>
      </c>
      <c r="B159" s="1767"/>
      <c r="C159" s="1767"/>
      <c r="D159" s="1767"/>
      <c r="E159" s="1767"/>
      <c r="F159" s="1768"/>
      <c r="G159" s="1768"/>
      <c r="H159" s="1769"/>
    </row>
    <row r="160" spans="1:14">
      <c r="A160" s="71"/>
      <c r="B160" s="55" t="s">
        <v>215</v>
      </c>
      <c r="C160" s="1544">
        <f>'Info gen'!C57</f>
        <v>876130</v>
      </c>
      <c r="D160" s="1506">
        <f>ROUND(C160/euro,2)</f>
        <v>176078.22</v>
      </c>
      <c r="E160" s="1544">
        <v>0</v>
      </c>
      <c r="F160" s="1545">
        <v>0</v>
      </c>
      <c r="G160" s="1507">
        <f t="shared" ref="G160:H163" si="50">C160+E160</f>
        <v>876130</v>
      </c>
      <c r="H160" s="1039">
        <f t="shared" si="50"/>
        <v>176078.22</v>
      </c>
    </row>
    <row r="161" spans="1:15" ht="38.25">
      <c r="A161" s="71"/>
      <c r="B161" s="50" t="s">
        <v>78</v>
      </c>
      <c r="C161" s="1525">
        <f>38000-0.0216</f>
        <v>37999.9784</v>
      </c>
      <c r="D161" s="1506">
        <f>ROUND(C161/euro,2)</f>
        <v>7636.96</v>
      </c>
      <c r="E161" s="1525">
        <f>C161*TVA+1.71</f>
        <v>7221.7058960000004</v>
      </c>
      <c r="F161" s="1506">
        <f>ROUND(E161/euro,2)-0.08</f>
        <v>1451.29</v>
      </c>
      <c r="G161" s="1507">
        <f t="shared" si="50"/>
        <v>45221.684295999999</v>
      </c>
      <c r="H161" s="1549">
        <f t="shared" si="50"/>
        <v>9088.25</v>
      </c>
      <c r="O161" s="163" t="s">
        <v>9</v>
      </c>
    </row>
    <row r="162" spans="1:15">
      <c r="A162" s="71"/>
      <c r="B162" s="55"/>
      <c r="C162" s="1554"/>
      <c r="D162" s="1506">
        <f t="shared" ref="D162:D163" si="51">C162/euro</f>
        <v>0</v>
      </c>
      <c r="E162" s="1554"/>
      <c r="F162" s="1555"/>
      <c r="G162" s="1507">
        <f t="shared" si="50"/>
        <v>0</v>
      </c>
      <c r="H162" s="1549">
        <f>D162</f>
        <v>0</v>
      </c>
    </row>
    <row r="163" spans="1:15">
      <c r="A163" s="1595"/>
      <c r="B163" s="1596"/>
      <c r="C163" s="1597"/>
      <c r="D163" s="1105">
        <f t="shared" si="51"/>
        <v>0</v>
      </c>
      <c r="E163" s="1597"/>
      <c r="F163" s="1598"/>
      <c r="G163" s="1599">
        <f t="shared" si="50"/>
        <v>0</v>
      </c>
      <c r="H163" s="1600">
        <f>D163</f>
        <v>0</v>
      </c>
    </row>
    <row r="164" spans="1:15" s="729" customFormat="1" ht="27.75" customHeight="1">
      <c r="A164" s="1785" t="s">
        <v>216</v>
      </c>
      <c r="B164" s="1786"/>
      <c r="C164" s="1601">
        <f>C156+C160+C161</f>
        <v>462286318.46340001</v>
      </c>
      <c r="D164" s="1601">
        <f t="shared" ref="D164:H164" si="52">D156+D160+D161</f>
        <v>92906933.249999985</v>
      </c>
      <c r="E164" s="1601">
        <f t="shared" si="52"/>
        <v>87039719.395896003</v>
      </c>
      <c r="F164" s="1601">
        <f t="shared" si="52"/>
        <v>17492608.030520115</v>
      </c>
      <c r="G164" s="1601">
        <f t="shared" si="52"/>
        <v>549326037.85929596</v>
      </c>
      <c r="H164" s="1602">
        <f t="shared" si="52"/>
        <v>110399541.28052013</v>
      </c>
    </row>
    <row r="165" spans="1:15" s="729" customFormat="1" ht="24.75" customHeight="1">
      <c r="A165" s="1787" t="s">
        <v>217</v>
      </c>
      <c r="B165" s="1788"/>
      <c r="C165" s="1603">
        <f>C164+C154</f>
        <v>512275543.88940001</v>
      </c>
      <c r="D165" s="1601">
        <f t="shared" ref="D165:H165" si="53">D164+D154</f>
        <v>102953403.24999999</v>
      </c>
      <c r="E165" s="1601">
        <f t="shared" si="53"/>
        <v>96448295.005896002</v>
      </c>
      <c r="F165" s="1601">
        <f t="shared" si="53"/>
        <v>19383475.020520117</v>
      </c>
      <c r="G165" s="1601">
        <f t="shared" si="53"/>
        <v>608723838.89529598</v>
      </c>
      <c r="H165" s="1604">
        <f t="shared" si="53"/>
        <v>122336878.27052012</v>
      </c>
    </row>
    <row r="166" spans="1:15" s="58" customFormat="1">
      <c r="A166" s="58" t="s">
        <v>218</v>
      </c>
      <c r="C166" s="1165" t="s">
        <v>9</v>
      </c>
      <c r="D166" s="1165">
        <v>102953403.25</v>
      </c>
    </row>
    <row r="167" spans="1:15" s="58" customFormat="1">
      <c r="A167" s="58" t="s">
        <v>9</v>
      </c>
      <c r="C167" s="90" t="s">
        <v>9</v>
      </c>
      <c r="D167" s="90" t="s">
        <v>9</v>
      </c>
      <c r="E167" s="90"/>
      <c r="F167" s="42"/>
      <c r="G167" s="90"/>
      <c r="H167" s="90"/>
      <c r="N167" s="58" t="s">
        <v>9</v>
      </c>
    </row>
    <row r="168" spans="1:15" s="58" customFormat="1">
      <c r="A168" s="1557"/>
      <c r="B168" s="1558" t="s">
        <v>219</v>
      </c>
      <c r="C168" s="1605" t="str">
        <f>data_valuta</f>
        <v>inforeuro februarie 2025</v>
      </c>
      <c r="D168" s="1559" t="s">
        <v>220</v>
      </c>
      <c r="E168" s="1560">
        <f>euro</f>
        <v>4.9757999999999996</v>
      </c>
      <c r="F168" s="1606"/>
      <c r="G168" s="1560"/>
      <c r="H168" s="59" t="s">
        <v>9</v>
      </c>
    </row>
    <row r="169" spans="1:15" s="58" customFormat="1">
      <c r="A169" s="1561"/>
      <c r="B169" s="1558" t="s">
        <v>221</v>
      </c>
      <c r="C169" s="1562">
        <f>TVA</f>
        <v>0.19</v>
      </c>
      <c r="D169" s="1562"/>
      <c r="O169" s="58" t="s">
        <v>9</v>
      </c>
    </row>
    <row r="170" spans="1:15" s="58" customFormat="1">
      <c r="A170" s="1561"/>
      <c r="B170" s="1563" t="s">
        <v>222</v>
      </c>
      <c r="C170" s="1559"/>
      <c r="D170" s="1559"/>
      <c r="E170" s="1564" t="s">
        <v>223</v>
      </c>
      <c r="F170" s="1564"/>
      <c r="G170" s="1564"/>
      <c r="H170" s="1564"/>
    </row>
    <row r="171" spans="1:15" s="58" customFormat="1">
      <c r="A171" s="1561"/>
      <c r="B171" s="1565" t="s">
        <v>224</v>
      </c>
      <c r="C171" s="1559"/>
      <c r="D171" s="1559"/>
      <c r="E171" s="1789" t="s">
        <v>225</v>
      </c>
      <c r="F171" s="1789"/>
      <c r="G171" s="1789"/>
      <c r="H171" s="1789"/>
    </row>
    <row r="172" spans="1:15" s="58" customFormat="1">
      <c r="B172" s="1563" t="s">
        <v>226</v>
      </c>
      <c r="C172" s="1412"/>
      <c r="D172" s="1412"/>
      <c r="E172" s="1566"/>
      <c r="F172" s="1566"/>
      <c r="G172" s="1566"/>
      <c r="H172" s="1564"/>
    </row>
    <row r="173" spans="1:15" s="58" customFormat="1">
      <c r="B173" s="441" t="s">
        <v>227</v>
      </c>
      <c r="C173" s="1607"/>
      <c r="E173" s="1608"/>
      <c r="H173" s="1567" t="s">
        <v>228</v>
      </c>
    </row>
    <row r="174" spans="1:15" s="58" customFormat="1">
      <c r="A174" s="1557"/>
      <c r="B174" s="1561"/>
      <c r="C174" s="1564"/>
      <c r="D174" s="1564"/>
      <c r="H174" s="976" t="s">
        <v>229</v>
      </c>
    </row>
    <row r="175" spans="1:15" s="58" customFormat="1">
      <c r="A175" s="1557"/>
      <c r="B175" s="1561"/>
      <c r="C175" s="1564"/>
      <c r="D175" s="1564"/>
      <c r="H175" s="976"/>
    </row>
    <row r="176" spans="1:15">
      <c r="A176" s="1123"/>
      <c r="B176" s="1127" t="s">
        <v>230</v>
      </c>
      <c r="C176" s="707">
        <f>C164-C109-C105-C97</f>
        <v>444473579.30339998</v>
      </c>
      <c r="D176" s="707">
        <f>D164-D109-D105-D97</f>
        <v>89327058.829999983</v>
      </c>
      <c r="G176" s="707">
        <f>G164-G109-G105-G97</f>
        <v>528128878.25929594</v>
      </c>
      <c r="H176" s="707">
        <f>H164-H109-H105-H97</f>
        <v>106139490.72</v>
      </c>
    </row>
    <row r="177" spans="1:14">
      <c r="A177" s="1127"/>
      <c r="B177" s="1134" t="s">
        <v>231</v>
      </c>
      <c r="C177" s="1568">
        <f>ROUND(C164/euro,2)</f>
        <v>92906933.25</v>
      </c>
      <c r="D177" s="1568"/>
      <c r="E177" s="1568">
        <f>ROUND(E164/euro,2)</f>
        <v>17492608.100000001</v>
      </c>
      <c r="F177" s="1568"/>
      <c r="G177" s="1568"/>
      <c r="H177" s="1568">
        <f>ROUNDDOWN(G164/euro,2)</f>
        <v>110399541.34999999</v>
      </c>
    </row>
    <row r="178" spans="1:14">
      <c r="A178" s="1127"/>
      <c r="B178" s="1134"/>
      <c r="C178" s="1569"/>
      <c r="D178" s="1568"/>
      <c r="E178" s="1790" t="e">
        <f>'[6]D1.Deviz general constante'!$H$169</f>
        <v>#REF!</v>
      </c>
      <c r="F178" s="1790"/>
      <c r="G178" s="1790"/>
      <c r="H178" s="1790"/>
      <c r="M178" t="s">
        <v>232</v>
      </c>
    </row>
    <row r="179" spans="1:14">
      <c r="A179" s="1127"/>
      <c r="B179" s="1127" t="s">
        <v>233</v>
      </c>
      <c r="C179" s="901">
        <f>'Deviz general curente'!C145-C165</f>
        <v>1.1105999946594238</v>
      </c>
      <c r="D179" s="901">
        <f>'Deviz general curente'!D145-D165</f>
        <v>0.21000002324581146</v>
      </c>
      <c r="E179" s="901">
        <f>'Deviz general curente'!E145-E165</f>
        <v>1.6541039943695068</v>
      </c>
      <c r="F179" s="901">
        <f>'Deviz general curente'!F145-F165</f>
        <v>0.33947988227009773</v>
      </c>
      <c r="G179" s="901">
        <f>'Deviz general curente'!G145-G165</f>
        <v>2.7647039890289307</v>
      </c>
      <c r="H179" s="901">
        <f>'Deviz general curente'!H145-H165</f>
        <v>0.54947987198829651</v>
      </c>
    </row>
    <row r="180" spans="1:14">
      <c r="A180" s="1791"/>
      <c r="B180" s="1791"/>
      <c r="C180" s="53" t="s">
        <v>9</v>
      </c>
      <c r="D180" s="53"/>
    </row>
    <row r="181" spans="1:14">
      <c r="A181" s="1123"/>
      <c r="B181" s="82" t="s">
        <v>9</v>
      </c>
      <c r="C181" s="1129"/>
      <c r="D181" s="1129"/>
    </row>
    <row r="182" spans="1:14" ht="15.75" hidden="1">
      <c r="A182" s="1135"/>
      <c r="B182" s="1135"/>
      <c r="C182" s="273" t="s">
        <v>234</v>
      </c>
      <c r="D182" s="273"/>
      <c r="E182" s="273" t="s">
        <v>235</v>
      </c>
      <c r="F182" s="273"/>
      <c r="G182" s="273"/>
      <c r="H182" s="273" t="s">
        <v>236</v>
      </c>
    </row>
    <row r="183" spans="1:14" ht="30.75" hidden="1" customHeight="1">
      <c r="A183" s="1792"/>
      <c r="B183" s="1792"/>
      <c r="C183" s="1572">
        <v>3.5000000000000003E-2</v>
      </c>
      <c r="D183" s="1572"/>
      <c r="E183" s="1573">
        <f>C183*$C$111</f>
        <v>12684334.459475001</v>
      </c>
      <c r="F183" s="1573"/>
      <c r="G183" s="1573"/>
      <c r="H183" s="1574">
        <f>C32+C39+C42</f>
        <v>6162620</v>
      </c>
      <c r="I183" s="729"/>
      <c r="J183" s="729"/>
      <c r="K183" s="729"/>
      <c r="L183" s="729"/>
      <c r="M183" s="1571"/>
      <c r="N183" s="1571"/>
    </row>
    <row r="184" spans="1:14" ht="45" hidden="1" customHeight="1">
      <c r="A184" s="1575"/>
      <c r="B184" s="1131"/>
      <c r="C184" s="1576">
        <v>0.01</v>
      </c>
      <c r="D184" s="1576"/>
      <c r="E184" s="1573">
        <f>C184*$C$111</f>
        <v>3624095.5598500003</v>
      </c>
      <c r="F184" s="1573"/>
      <c r="G184" s="1573"/>
      <c r="H184" s="1574">
        <f>C59</f>
        <v>3930882</v>
      </c>
      <c r="I184" s="729"/>
      <c r="J184" s="729"/>
      <c r="K184" s="729"/>
      <c r="L184" s="729"/>
      <c r="M184" s="1587"/>
      <c r="N184" s="1587"/>
    </row>
    <row r="185" spans="1:14" s="1462" customFormat="1" ht="12.75" hidden="1" customHeight="1">
      <c r="A185" s="1577"/>
      <c r="B185" s="1578"/>
      <c r="C185" s="1579">
        <v>1.4999999999999999E-2</v>
      </c>
      <c r="D185" s="1579"/>
      <c r="E185" s="1580">
        <f>C185*$C$111</f>
        <v>5436143.3397749998</v>
      </c>
      <c r="F185" s="1580"/>
      <c r="G185" s="1580"/>
      <c r="H185" s="1581">
        <f>C62</f>
        <v>9996693</v>
      </c>
    </row>
    <row r="186" spans="1:14" s="1462" customFormat="1" hidden="1">
      <c r="A186" s="1577" t="s">
        <v>9</v>
      </c>
      <c r="B186" s="1577" t="s">
        <v>237</v>
      </c>
      <c r="C186" s="1577"/>
      <c r="D186" s="1577"/>
    </row>
    <row r="187" spans="1:14">
      <c r="A187" s="1137"/>
      <c r="B187" s="1138"/>
      <c r="C187" s="1137"/>
      <c r="D187" s="1137"/>
      <c r="E187" s="273"/>
      <c r="F187" s="273"/>
      <c r="G187" s="273"/>
      <c r="H187" s="273"/>
    </row>
    <row r="188" spans="1:14">
      <c r="A188" s="1137"/>
      <c r="B188" s="1138"/>
      <c r="C188" s="1137"/>
      <c r="D188" s="1137"/>
      <c r="E188" s="273"/>
      <c r="F188" s="273"/>
      <c r="G188" s="273"/>
      <c r="H188" s="273"/>
    </row>
    <row r="189" spans="1:14" ht="12.75" customHeight="1">
      <c r="A189" s="1137"/>
      <c r="B189" s="1138"/>
      <c r="C189" s="1138"/>
      <c r="D189" s="1138"/>
    </row>
    <row r="190" spans="1:14" ht="15" customHeight="1">
      <c r="A190" s="1137"/>
      <c r="B190" s="1138"/>
      <c r="C190" s="1138"/>
      <c r="D190" s="1138"/>
    </row>
    <row r="191" spans="1:14">
      <c r="A191" s="1138"/>
      <c r="B191" s="1138"/>
      <c r="C191" s="1138"/>
      <c r="D191" s="1138"/>
    </row>
    <row r="192" spans="1:14" ht="15.75">
      <c r="A192" s="1139"/>
      <c r="B192" s="1139"/>
      <c r="C192" s="1139"/>
      <c r="D192" s="1139"/>
    </row>
    <row r="193" spans="1:4" ht="15" customHeight="1">
      <c r="A193" s="1137"/>
      <c r="B193" s="1138"/>
      <c r="C193" s="1138"/>
      <c r="D193" s="1138"/>
    </row>
  </sheetData>
  <mergeCells count="48">
    <mergeCell ref="A83:H83"/>
    <mergeCell ref="A165:B165"/>
    <mergeCell ref="E171:H171"/>
    <mergeCell ref="E178:H178"/>
    <mergeCell ref="A180:B180"/>
    <mergeCell ref="A183:B183"/>
    <mergeCell ref="A156:B156"/>
    <mergeCell ref="A157:B157"/>
    <mergeCell ref="A158:B158"/>
    <mergeCell ref="A159:H159"/>
    <mergeCell ref="A164:B164"/>
    <mergeCell ref="A144:H144"/>
    <mergeCell ref="A151:B151"/>
    <mergeCell ref="A152:H152"/>
    <mergeCell ref="A101:H101"/>
    <mergeCell ref="A106:B106"/>
    <mergeCell ref="A107:H107"/>
    <mergeCell ref="A110:B110"/>
    <mergeCell ref="A111:B111"/>
    <mergeCell ref="A114:A122"/>
    <mergeCell ref="A113:H113"/>
    <mergeCell ref="A25:B25"/>
    <mergeCell ref="A26:H26"/>
    <mergeCell ref="A30:B30"/>
    <mergeCell ref="A31:H31"/>
    <mergeCell ref="A143:B143"/>
    <mergeCell ref="A33:A38"/>
    <mergeCell ref="A43:A49"/>
    <mergeCell ref="A87:B87"/>
    <mergeCell ref="A88:H88"/>
    <mergeCell ref="A92:B92"/>
    <mergeCell ref="A94:H94"/>
    <mergeCell ref="A100:B100"/>
    <mergeCell ref="A76:B76"/>
    <mergeCell ref="A77:H77"/>
    <mergeCell ref="A78:H78"/>
    <mergeCell ref="A82:B82"/>
    <mergeCell ref="C9:D9"/>
    <mergeCell ref="E9:F9"/>
    <mergeCell ref="G9:H9"/>
    <mergeCell ref="A9:A10"/>
    <mergeCell ref="A12:H12"/>
    <mergeCell ref="B9:B10"/>
    <mergeCell ref="B4:G4"/>
    <mergeCell ref="F1:H1"/>
    <mergeCell ref="A6:H6"/>
    <mergeCell ref="A7:H7"/>
    <mergeCell ref="A8:H8"/>
  </mergeCells>
  <printOptions horizontalCentered="1"/>
  <pageMargins left="0.59055118110236227" right="0.19685039370078741" top="0.39370078740157483" bottom="0.39370078740157483" header="0.11811023622047245" footer="0.11811023622047245"/>
  <pageSetup paperSize="9" scale="50" orientation="portrait" r:id="rId1"/>
  <headerFooter alignWithMargins="0"/>
  <rowBreaks count="2" manualBreakCount="2">
    <brk id="111" max="7" man="1"/>
    <brk id="176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32"/>
  <sheetViews>
    <sheetView view="pageBreakPreview" topLeftCell="B3" zoomScale="75" zoomScaleNormal="75" workbookViewId="0">
      <selection activeCell="E18" sqref="E18"/>
    </sheetView>
  </sheetViews>
  <sheetFormatPr defaultColWidth="8.85546875" defaultRowHeight="12.75"/>
  <cols>
    <col min="1" max="2" width="8.85546875" style="451"/>
    <col min="3" max="3" width="20.7109375" style="451" customWidth="1"/>
    <col min="4" max="4" width="46.28515625" style="451" customWidth="1"/>
    <col min="5" max="5" width="17.42578125" style="451" customWidth="1"/>
    <col min="6" max="6" width="21.85546875" style="451" customWidth="1"/>
    <col min="7" max="7" width="22.7109375" style="451" customWidth="1"/>
    <col min="8" max="8" width="22.42578125" style="451" customWidth="1"/>
    <col min="9" max="9" width="17.85546875" style="451" customWidth="1"/>
    <col min="10" max="10" width="24.42578125" style="451" customWidth="1"/>
    <col min="11" max="11" width="1.28515625" style="451" customWidth="1"/>
    <col min="12" max="12" width="8.85546875" style="451"/>
    <col min="13" max="13" width="29.28515625" style="451" customWidth="1"/>
    <col min="14" max="16384" width="8.85546875" style="451"/>
  </cols>
  <sheetData>
    <row r="2" spans="3:11">
      <c r="D2" s="452" t="s">
        <v>308</v>
      </c>
      <c r="E2" s="451">
        <f>euro</f>
        <v>4.9757999999999996</v>
      </c>
      <c r="H2" s="451" t="s">
        <v>8</v>
      </c>
      <c r="I2" s="451" t="s">
        <v>9</v>
      </c>
    </row>
    <row r="3" spans="3:11" ht="15">
      <c r="C3" s="453" t="s">
        <v>883</v>
      </c>
    </row>
    <row r="5" spans="3:11" ht="63.75">
      <c r="C5" s="454" t="s">
        <v>826</v>
      </c>
      <c r="D5" s="455" t="s">
        <v>827</v>
      </c>
      <c r="E5" s="456" t="s">
        <v>884</v>
      </c>
      <c r="F5" s="456" t="s">
        <v>885</v>
      </c>
      <c r="G5" s="456" t="s">
        <v>886</v>
      </c>
      <c r="H5" s="456" t="s">
        <v>887</v>
      </c>
      <c r="I5" s="488" t="s">
        <v>830</v>
      </c>
      <c r="J5" s="501" t="s">
        <v>831</v>
      </c>
    </row>
    <row r="6" spans="3:11" ht="49.5" customHeight="1">
      <c r="C6" s="457" t="s">
        <v>836</v>
      </c>
      <c r="D6" s="458" t="s">
        <v>840</v>
      </c>
      <c r="E6" s="459">
        <f>'centralizator contracte'!D6</f>
        <v>15126533</v>
      </c>
      <c r="F6" s="460">
        <f t="shared" ref="F6:F9" si="0">ROUND(E6*19%,2)</f>
        <v>2874041.27</v>
      </c>
      <c r="G6" s="461">
        <f t="shared" ref="G6:G9" si="1">E6+F6</f>
        <v>18000574.27</v>
      </c>
      <c r="H6" s="462">
        <f>'centralizator contracte'!E6</f>
        <v>3040020.3000000003</v>
      </c>
      <c r="I6" s="502" t="s">
        <v>838</v>
      </c>
      <c r="J6" s="503" t="s">
        <v>839</v>
      </c>
    </row>
    <row r="7" spans="3:11" ht="25.5">
      <c r="C7" s="457" t="s">
        <v>841</v>
      </c>
      <c r="D7" s="458" t="s">
        <v>842</v>
      </c>
      <c r="E7" s="459">
        <f>'centralizator contracte'!D7</f>
        <v>447822</v>
      </c>
      <c r="F7" s="460">
        <f t="shared" si="0"/>
        <v>85086.18</v>
      </c>
      <c r="G7" s="461">
        <f t="shared" si="1"/>
        <v>532908.17999999993</v>
      </c>
      <c r="H7" s="463">
        <f>'centralizator contracte'!E7</f>
        <v>90000</v>
      </c>
      <c r="I7" s="502" t="s">
        <v>838</v>
      </c>
      <c r="J7" s="503" t="s">
        <v>843</v>
      </c>
      <c r="K7" s="451" t="s">
        <v>9</v>
      </c>
    </row>
    <row r="8" spans="3:11" ht="51" customHeight="1">
      <c r="C8" s="457" t="s">
        <v>847</v>
      </c>
      <c r="D8" s="464" t="s">
        <v>888</v>
      </c>
      <c r="E8" s="465">
        <f>'centralizator contracte'!D17</f>
        <v>45306429.159999996</v>
      </c>
      <c r="F8" s="460">
        <f t="shared" si="0"/>
        <v>8608221.5399999991</v>
      </c>
      <c r="G8" s="461">
        <f t="shared" si="1"/>
        <v>53914650.699999996</v>
      </c>
      <c r="H8" s="463">
        <f>'centralizator contracte'!E17</f>
        <v>9105355.7599999998</v>
      </c>
      <c r="I8" s="502" t="s">
        <v>849</v>
      </c>
      <c r="J8" s="503" t="s">
        <v>889</v>
      </c>
    </row>
    <row r="9" spans="3:11" ht="51">
      <c r="C9" s="457" t="s">
        <v>856</v>
      </c>
      <c r="D9" s="464" t="s">
        <v>890</v>
      </c>
      <c r="E9" s="465">
        <f>'centralizator contracte'!D23</f>
        <v>356591726.32500005</v>
      </c>
      <c r="F9" s="460">
        <f t="shared" si="0"/>
        <v>67752428</v>
      </c>
      <c r="G9" s="461">
        <f t="shared" si="1"/>
        <v>424344154.32500005</v>
      </c>
      <c r="H9" s="463">
        <f>'centralizator contracte'!E23</f>
        <v>71665204.829999998</v>
      </c>
      <c r="I9" s="502" t="s">
        <v>858</v>
      </c>
      <c r="J9" s="503" t="s">
        <v>891</v>
      </c>
    </row>
    <row r="10" spans="3:11">
      <c r="C10" s="2057" t="s">
        <v>892</v>
      </c>
      <c r="D10" s="2058"/>
      <c r="E10" s="466">
        <f>SUM(E6:E9)</f>
        <v>417472510.48500001</v>
      </c>
      <c r="F10" s="467">
        <f>SUM(F6:F9)</f>
        <v>79319776.989999995</v>
      </c>
      <c r="G10" s="467">
        <f>SUM(G6:G9)</f>
        <v>496792287.47500002</v>
      </c>
      <c r="H10" s="467">
        <f>SUM(H6:H9)</f>
        <v>83900580.890000001</v>
      </c>
      <c r="I10" s="504"/>
      <c r="J10" s="505"/>
    </row>
    <row r="11" spans="3:11">
      <c r="C11" s="468" t="s">
        <v>861</v>
      </c>
      <c r="D11" s="469"/>
      <c r="E11" s="470"/>
      <c r="F11" s="470"/>
      <c r="G11" s="470"/>
      <c r="H11" s="470"/>
    </row>
    <row r="13" spans="3:11" ht="15">
      <c r="C13" s="453" t="s">
        <v>893</v>
      </c>
    </row>
    <row r="15" spans="3:11" ht="63.75">
      <c r="C15" s="471" t="s">
        <v>865</v>
      </c>
      <c r="D15" s="472" t="s">
        <v>866</v>
      </c>
      <c r="E15" s="456" t="s">
        <v>884</v>
      </c>
      <c r="F15" s="456" t="s">
        <v>885</v>
      </c>
      <c r="G15" s="456" t="s">
        <v>886</v>
      </c>
      <c r="H15" s="456" t="s">
        <v>887</v>
      </c>
      <c r="I15" s="506" t="s">
        <v>894</v>
      </c>
    </row>
    <row r="16" spans="3:11" ht="25.5">
      <c r="C16" s="1660" t="s">
        <v>46</v>
      </c>
      <c r="D16" s="473" t="s">
        <v>131</v>
      </c>
      <c r="E16" s="474">
        <f>'centralizator contracte'!D29</f>
        <v>1801197</v>
      </c>
      <c r="F16" s="475">
        <f>ROUND(E16*19%,2)</f>
        <v>342227.43</v>
      </c>
      <c r="G16" s="475">
        <f>E16+F16</f>
        <v>2143424.4300000002</v>
      </c>
      <c r="H16" s="476">
        <f>'centralizator contracte'!E29</f>
        <v>361991.44</v>
      </c>
      <c r="I16" s="451" t="s">
        <v>895</v>
      </c>
    </row>
    <row r="17" spans="3:9">
      <c r="C17" s="1661" t="s">
        <v>62</v>
      </c>
      <c r="D17" s="477" t="s">
        <v>191</v>
      </c>
      <c r="E17" s="478">
        <f>'centralizator contracte'!D31</f>
        <v>3306398</v>
      </c>
      <c r="F17" s="479">
        <v>0</v>
      </c>
      <c r="G17" s="479">
        <f>E17+F17</f>
        <v>3306398</v>
      </c>
      <c r="H17" s="480">
        <f>'centralizator contracte'!E31</f>
        <v>664495.77</v>
      </c>
      <c r="I17" s="451" t="s">
        <v>896</v>
      </c>
    </row>
    <row r="18" spans="3:9">
      <c r="C18" s="1661" t="s">
        <v>64</v>
      </c>
      <c r="D18" s="477" t="s">
        <v>197</v>
      </c>
      <c r="E18" s="478">
        <f>'centralizator contracte'!D30</f>
        <v>38792083</v>
      </c>
      <c r="F18" s="479">
        <f>ROUND(E18*19%,2)</f>
        <v>7370495.7699999996</v>
      </c>
      <c r="G18" s="479">
        <f>E18+F18</f>
        <v>46162578.769999996</v>
      </c>
      <c r="H18" s="480">
        <f>'centralizator contracte'!E30</f>
        <v>7796149.9699999997</v>
      </c>
    </row>
    <row r="19" spans="3:9" ht="25.5">
      <c r="C19" s="2061" t="s">
        <v>214</v>
      </c>
      <c r="D19" s="477" t="s">
        <v>868</v>
      </c>
      <c r="E19" s="478">
        <f>'centralizator contracte'!D32</f>
        <v>876130</v>
      </c>
      <c r="F19" s="479">
        <v>0</v>
      </c>
      <c r="G19" s="479">
        <f t="shared" ref="G19:G21" si="2">E19+F19</f>
        <v>876130</v>
      </c>
      <c r="H19" s="480">
        <f>'centralizator contracte'!E32</f>
        <v>176078.22</v>
      </c>
    </row>
    <row r="20" spans="3:9">
      <c r="C20" s="2061"/>
      <c r="D20" s="477" t="s">
        <v>869</v>
      </c>
      <c r="E20" s="478">
        <f>'centralizator contracte'!D33</f>
        <v>0</v>
      </c>
      <c r="F20" s="479">
        <v>0</v>
      </c>
      <c r="G20" s="479">
        <f t="shared" si="2"/>
        <v>0</v>
      </c>
      <c r="H20" s="480">
        <f>'centralizator contracte'!E33</f>
        <v>0</v>
      </c>
    </row>
    <row r="21" spans="3:9" ht="51">
      <c r="C21" s="2062"/>
      <c r="D21" s="481" t="s">
        <v>78</v>
      </c>
      <c r="E21" s="482">
        <f>'centralizator contracte'!D34</f>
        <v>37999.9784</v>
      </c>
      <c r="F21" s="483">
        <f>ROUND(E21*19%,2)</f>
        <v>7220</v>
      </c>
      <c r="G21" s="483">
        <f t="shared" si="2"/>
        <v>45219.9784</v>
      </c>
      <c r="H21" s="484">
        <f>'centralizator contracte'!E34</f>
        <v>7636.96</v>
      </c>
    </row>
    <row r="22" spans="3:9">
      <c r="C22" s="2059" t="s">
        <v>897</v>
      </c>
      <c r="D22" s="2060"/>
      <c r="E22" s="485">
        <f>SUM(E16:E21)</f>
        <v>44813807.978399999</v>
      </c>
      <c r="F22" s="486">
        <f t="shared" ref="F22:H22" si="3">SUM(F16:F21)</f>
        <v>7719943.1999999993</v>
      </c>
      <c r="G22" s="486">
        <f t="shared" si="3"/>
        <v>52533751.178399995</v>
      </c>
      <c r="H22" s="487">
        <f t="shared" si="3"/>
        <v>9006352.3600000013</v>
      </c>
    </row>
    <row r="24" spans="3:9" ht="63.75">
      <c r="C24" s="453" t="s">
        <v>872</v>
      </c>
      <c r="D24" s="471" t="s">
        <v>866</v>
      </c>
      <c r="E24" s="456" t="s">
        <v>884</v>
      </c>
      <c r="F24" s="456" t="s">
        <v>885</v>
      </c>
      <c r="G24" s="456" t="s">
        <v>886</v>
      </c>
      <c r="H24" s="488" t="s">
        <v>887</v>
      </c>
    </row>
    <row r="25" spans="3:9">
      <c r="D25" s="489" t="s">
        <v>898</v>
      </c>
      <c r="E25" s="490">
        <f>E10</f>
        <v>417472510.48500001</v>
      </c>
      <c r="F25" s="490">
        <f t="shared" ref="F25:H25" si="4">F10</f>
        <v>79319776.989999995</v>
      </c>
      <c r="G25" s="490">
        <f t="shared" si="4"/>
        <v>496792287.47500002</v>
      </c>
      <c r="H25" s="491">
        <f t="shared" si="4"/>
        <v>83900580.890000001</v>
      </c>
    </row>
    <row r="26" spans="3:9">
      <c r="D26" s="492" t="s">
        <v>876</v>
      </c>
      <c r="E26" s="493">
        <f>E22</f>
        <v>44813807.978399999</v>
      </c>
      <c r="F26" s="493">
        <f t="shared" ref="F26:H26" si="5">F22</f>
        <v>7719943.1999999993</v>
      </c>
      <c r="G26" s="493">
        <f t="shared" si="5"/>
        <v>52533751.178399995</v>
      </c>
      <c r="H26" s="494">
        <f t="shared" si="5"/>
        <v>9006352.3600000013</v>
      </c>
    </row>
    <row r="27" spans="3:9">
      <c r="D27" s="495" t="s">
        <v>878</v>
      </c>
      <c r="E27" s="496">
        <f>E25+E26</f>
        <v>462286318.46340001</v>
      </c>
      <c r="F27" s="496">
        <f t="shared" ref="F27:G27" si="6">F25+F26</f>
        <v>87039720.189999998</v>
      </c>
      <c r="G27" s="496">
        <f t="shared" si="6"/>
        <v>549326038.65340006</v>
      </c>
      <c r="H27" s="497">
        <f>SUM(H25:H26)</f>
        <v>92906933.25</v>
      </c>
    </row>
    <row r="28" spans="3:9">
      <c r="D28" s="498" t="s">
        <v>880</v>
      </c>
      <c r="E28" s="499">
        <f>'DEVIZ GENERAL'!C164</f>
        <v>462286318.46340001</v>
      </c>
      <c r="F28" s="499">
        <f>'DEVIZ GENERAL'!E164</f>
        <v>87039719.395896003</v>
      </c>
      <c r="G28" s="499">
        <f>'DEVIZ GENERAL'!G164</f>
        <v>549326037.85929596</v>
      </c>
      <c r="H28" s="499">
        <f>'DEVIZ GENERAL'!D164</f>
        <v>92906933.249999985</v>
      </c>
    </row>
    <row r="29" spans="3:9">
      <c r="D29" s="498" t="s">
        <v>881</v>
      </c>
      <c r="H29" s="499">
        <f>'esalonare investitie'!O48</f>
        <v>92906933.250000015</v>
      </c>
    </row>
    <row r="30" spans="3:9">
      <c r="E30" s="500" t="s">
        <v>9</v>
      </c>
      <c r="F30" s="500"/>
      <c r="G30" s="500"/>
      <c r="H30" s="500" t="s">
        <v>9</v>
      </c>
    </row>
    <row r="32" spans="3:9">
      <c r="E32" s="500">
        <f>E28-E27</f>
        <v>0</v>
      </c>
      <c r="F32" s="500"/>
      <c r="G32" s="500"/>
      <c r="H32" s="500">
        <f>E32/euro</f>
        <v>0</v>
      </c>
    </row>
  </sheetData>
  <mergeCells count="3">
    <mergeCell ref="C10:D10"/>
    <mergeCell ref="C22:D22"/>
    <mergeCell ref="C19:C21"/>
  </mergeCells>
  <pageMargins left="0.7" right="0.7" top="0.75" bottom="0.75" header="0.3" footer="0.3"/>
  <pageSetup paperSize="9" scale="63" fitToHeight="0" orientation="landscape" r:id="rId1"/>
  <rowBreaks count="1" manualBreakCount="1">
    <brk id="12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82"/>
  <sheetViews>
    <sheetView view="pageBreakPreview" topLeftCell="B55" zoomScaleNormal="100" workbookViewId="0">
      <selection activeCell="R152" sqref="R152"/>
    </sheetView>
  </sheetViews>
  <sheetFormatPr defaultColWidth="11.28515625" defaultRowHeight="12.75"/>
  <cols>
    <col min="1" max="1" width="9.28515625" style="282" customWidth="1"/>
    <col min="2" max="2" width="51" style="283" customWidth="1"/>
    <col min="3" max="4" width="12" style="283" customWidth="1"/>
    <col min="5" max="5" width="9.140625" style="283" customWidth="1"/>
    <col min="6" max="6" width="14.42578125" style="283" customWidth="1"/>
    <col min="7" max="7" width="12.85546875" style="283" customWidth="1"/>
    <col min="8" max="8" width="16" style="283" customWidth="1"/>
    <col min="9" max="9" width="12.28515625" style="283" customWidth="1"/>
    <col min="10" max="10" width="13.42578125" style="283" customWidth="1"/>
    <col min="11" max="11" width="12.85546875" style="283" customWidth="1"/>
    <col min="12" max="12" width="11.28515625" style="283" hidden="1" customWidth="1"/>
    <col min="13" max="13" width="11.28515625" style="283"/>
    <col min="14" max="14" width="17" style="283" customWidth="1"/>
    <col min="15" max="16384" width="11.28515625" style="283"/>
  </cols>
  <sheetData>
    <row r="1" spans="1:11" s="279" customFormat="1" ht="12.75" customHeight="1">
      <c r="B1" s="2097" t="str">
        <f>'DEVIZ GENERAL'!B4</f>
        <v>SISTEM DE MANAGEMENT INTEGRAT AL DEȘEURILOR DIN JUDEȚUL DÂMBOVIȚA</v>
      </c>
      <c r="C1" s="2097"/>
      <c r="D1" s="2097"/>
      <c r="E1" s="2097"/>
      <c r="F1" s="2097"/>
      <c r="G1" s="2097"/>
      <c r="H1" s="2097"/>
      <c r="I1" s="2097"/>
      <c r="J1" s="2097"/>
      <c r="K1" s="2097"/>
    </row>
    <row r="2" spans="1:11" s="279" customFormat="1" ht="12.75" customHeight="1">
      <c r="A2" s="284"/>
      <c r="B2" s="2097"/>
      <c r="C2" s="2097"/>
      <c r="D2" s="2097"/>
      <c r="E2" s="2097"/>
      <c r="F2" s="2097"/>
      <c r="G2" s="2097"/>
      <c r="H2" s="2097"/>
      <c r="I2" s="2097"/>
      <c r="J2" s="2097"/>
      <c r="K2" s="2097"/>
    </row>
    <row r="3" spans="1:11" s="279" customFormat="1">
      <c r="A3" s="285"/>
      <c r="B3" s="2098"/>
      <c r="C3" s="2098"/>
      <c r="D3" s="2098"/>
      <c r="E3" s="2098"/>
      <c r="F3" s="2098"/>
      <c r="G3" s="2098"/>
      <c r="H3" s="2098"/>
      <c r="I3" s="2098"/>
      <c r="J3" s="2098"/>
      <c r="K3" s="2098"/>
    </row>
    <row r="4" spans="1:11" s="279" customFormat="1">
      <c r="A4" s="286"/>
      <c r="B4" s="287"/>
      <c r="C4" s="287"/>
      <c r="D4" s="287"/>
      <c r="E4" s="287"/>
      <c r="F4" s="287"/>
      <c r="G4" s="287"/>
      <c r="H4" s="288"/>
      <c r="I4" s="288"/>
      <c r="J4" s="288"/>
      <c r="K4" s="408"/>
    </row>
    <row r="5" spans="1:11" ht="26.25" customHeight="1">
      <c r="A5" s="2063" t="str">
        <f>'D8.compostoare individuale'!A5</f>
        <v>DEVIZ OBIECT</v>
      </c>
      <c r="B5" s="2064"/>
      <c r="C5" s="2064"/>
      <c r="D5" s="2064"/>
      <c r="E5" s="2064"/>
      <c r="F5" s="2064"/>
      <c r="G5" s="2064"/>
      <c r="H5" s="2064"/>
      <c r="I5" s="2064"/>
      <c r="J5" s="2064"/>
      <c r="K5" s="2065"/>
    </row>
    <row r="6" spans="1:11" s="280" customFormat="1" ht="39.75" customHeight="1">
      <c r="A6" s="2066" t="s">
        <v>899</v>
      </c>
      <c r="B6" s="2067"/>
      <c r="C6" s="2067"/>
      <c r="D6" s="2067"/>
      <c r="E6" s="2067"/>
      <c r="F6" s="2067"/>
      <c r="G6" s="2067"/>
      <c r="H6" s="2067"/>
      <c r="I6" s="2067"/>
      <c r="J6" s="2067"/>
      <c r="K6" s="2068"/>
    </row>
    <row r="7" spans="1:11">
      <c r="A7" s="2069" t="s">
        <v>240</v>
      </c>
      <c r="B7" s="2070"/>
      <c r="C7" s="2070"/>
      <c r="D7" s="2070"/>
      <c r="E7" s="2070"/>
      <c r="F7" s="2070"/>
      <c r="G7" s="2070"/>
      <c r="H7" s="2070"/>
      <c r="I7" s="2070"/>
      <c r="J7" s="2070"/>
      <c r="K7" s="2071"/>
    </row>
    <row r="8" spans="1:11" ht="31.5" customHeight="1">
      <c r="A8" s="2104" t="s">
        <v>99</v>
      </c>
      <c r="B8" s="2106" t="s">
        <v>900</v>
      </c>
      <c r="C8" s="289" t="s">
        <v>560</v>
      </c>
      <c r="D8" s="289" t="s">
        <v>561</v>
      </c>
      <c r="E8" s="290" t="s">
        <v>562</v>
      </c>
      <c r="F8" s="2072" t="s">
        <v>101</v>
      </c>
      <c r="G8" s="2073"/>
      <c r="H8" s="2072" t="s">
        <v>102</v>
      </c>
      <c r="I8" s="2073"/>
      <c r="J8" s="2072" t="s">
        <v>563</v>
      </c>
      <c r="K8" s="2074"/>
    </row>
    <row r="9" spans="1:11" s="281" customFormat="1" ht="17.25" customHeight="1">
      <c r="A9" s="2105"/>
      <c r="B9" s="2107"/>
      <c r="C9" s="291"/>
      <c r="D9" s="291"/>
      <c r="E9" s="291"/>
      <c r="F9" s="292" t="s">
        <v>546</v>
      </c>
      <c r="G9" s="292" t="s">
        <v>81</v>
      </c>
      <c r="H9" s="292" t="s">
        <v>546</v>
      </c>
      <c r="I9" s="292" t="s">
        <v>81</v>
      </c>
      <c r="J9" s="292" t="s">
        <v>546</v>
      </c>
      <c r="K9" s="292" t="s">
        <v>81</v>
      </c>
    </row>
    <row r="10" spans="1:11">
      <c r="A10" s="293">
        <v>1</v>
      </c>
      <c r="B10" s="294">
        <v>2</v>
      </c>
      <c r="C10" s="294"/>
      <c r="D10" s="294"/>
      <c r="E10" s="294"/>
      <c r="F10" s="294">
        <v>3</v>
      </c>
      <c r="G10" s="294">
        <v>4</v>
      </c>
      <c r="H10" s="294">
        <v>5</v>
      </c>
      <c r="I10" s="409">
        <v>6</v>
      </c>
      <c r="J10" s="409">
        <v>7</v>
      </c>
      <c r="K10" s="410">
        <v>8</v>
      </c>
    </row>
    <row r="11" spans="1:11">
      <c r="A11" s="2075" t="s">
        <v>109</v>
      </c>
      <c r="B11" s="2076"/>
      <c r="C11" s="2076"/>
      <c r="D11" s="2076"/>
      <c r="E11" s="2076"/>
      <c r="F11" s="2076"/>
      <c r="G11" s="2076"/>
      <c r="H11" s="2076"/>
      <c r="I11" s="2076"/>
      <c r="J11" s="2076"/>
      <c r="K11" s="2077"/>
    </row>
    <row r="12" spans="1:11">
      <c r="A12" s="295" t="s">
        <v>110</v>
      </c>
      <c r="B12" s="296" t="s">
        <v>111</v>
      </c>
      <c r="C12" s="296"/>
      <c r="D12" s="296"/>
      <c r="E12" s="296"/>
      <c r="F12" s="297"/>
      <c r="G12" s="297"/>
      <c r="H12" s="297"/>
      <c r="I12" s="411"/>
      <c r="J12" s="411"/>
      <c r="K12" s="412"/>
    </row>
    <row r="13" spans="1:11">
      <c r="A13" s="298" t="s">
        <v>113</v>
      </c>
      <c r="B13" s="299" t="s">
        <v>114</v>
      </c>
      <c r="C13" s="299"/>
      <c r="D13" s="299"/>
      <c r="E13" s="299"/>
      <c r="F13" s="300"/>
      <c r="G13" s="300"/>
      <c r="H13" s="300"/>
      <c r="I13" s="413"/>
      <c r="J13" s="413"/>
      <c r="K13" s="414"/>
    </row>
    <row r="14" spans="1:11" ht="25.5">
      <c r="A14" s="298" t="s">
        <v>115</v>
      </c>
      <c r="B14" s="301" t="s">
        <v>565</v>
      </c>
      <c r="C14" s="301"/>
      <c r="D14" s="301"/>
      <c r="E14" s="301"/>
      <c r="F14" s="302"/>
      <c r="G14" s="302">
        <f>F14/euro</f>
        <v>0</v>
      </c>
      <c r="H14" s="302"/>
      <c r="I14" s="302">
        <f>H14/euro</f>
        <v>0</v>
      </c>
      <c r="J14" s="302">
        <f>F14+H14</f>
        <v>0</v>
      </c>
      <c r="K14" s="302">
        <f>G14+I14</f>
        <v>0</v>
      </c>
    </row>
    <row r="15" spans="1:11">
      <c r="A15" s="303" t="s">
        <v>117</v>
      </c>
      <c r="B15" s="304" t="s">
        <v>118</v>
      </c>
      <c r="C15" s="305"/>
      <c r="D15" s="305"/>
      <c r="E15" s="305"/>
      <c r="F15" s="306"/>
      <c r="G15" s="306"/>
      <c r="H15" s="306"/>
      <c r="I15" s="415"/>
      <c r="J15" s="415"/>
      <c r="K15" s="416"/>
    </row>
    <row r="16" spans="1:11">
      <c r="A16" s="2078" t="s">
        <v>119</v>
      </c>
      <c r="B16" s="2079"/>
      <c r="C16" s="307"/>
      <c r="D16" s="307"/>
      <c r="E16" s="307"/>
      <c r="F16" s="308">
        <f>F14+F15+F13</f>
        <v>0</v>
      </c>
      <c r="G16" s="309">
        <f>F16/euro</f>
        <v>0</v>
      </c>
      <c r="H16" s="308">
        <f>H14+H15+H13</f>
        <v>0</v>
      </c>
      <c r="I16" s="309">
        <f>H16/euro</f>
        <v>0</v>
      </c>
      <c r="J16" s="309">
        <f>F16+H16</f>
        <v>0</v>
      </c>
      <c r="K16" s="417">
        <f>K14+K15+K13</f>
        <v>0</v>
      </c>
    </row>
    <row r="17" spans="1:13">
      <c r="A17" s="2080" t="s">
        <v>120</v>
      </c>
      <c r="B17" s="2081"/>
      <c r="C17" s="2081"/>
      <c r="D17" s="2081"/>
      <c r="E17" s="2081"/>
      <c r="F17" s="2081"/>
      <c r="G17" s="2081"/>
      <c r="H17" s="2081"/>
      <c r="I17" s="2081"/>
      <c r="J17" s="2081"/>
      <c r="K17" s="2082"/>
    </row>
    <row r="18" spans="1:13">
      <c r="A18" s="310"/>
      <c r="B18" s="311"/>
      <c r="C18" s="311"/>
      <c r="D18" s="311"/>
      <c r="E18" s="311"/>
      <c r="F18" s="312"/>
      <c r="G18" s="312"/>
      <c r="H18" s="312"/>
      <c r="I18" s="418"/>
      <c r="J18" s="418"/>
      <c r="K18" s="419"/>
    </row>
    <row r="19" spans="1:13">
      <c r="A19" s="2083" t="s">
        <v>122</v>
      </c>
      <c r="B19" s="2084"/>
      <c r="C19" s="313"/>
      <c r="D19" s="313"/>
      <c r="E19" s="313"/>
      <c r="F19" s="314"/>
      <c r="G19" s="314"/>
      <c r="H19" s="314"/>
      <c r="I19" s="314"/>
      <c r="J19" s="314"/>
      <c r="K19" s="420"/>
    </row>
    <row r="20" spans="1:13">
      <c r="A20" s="2080" t="s">
        <v>160</v>
      </c>
      <c r="B20" s="2081"/>
      <c r="C20" s="2081"/>
      <c r="D20" s="2081"/>
      <c r="E20" s="2081"/>
      <c r="F20" s="2081"/>
      <c r="G20" s="2081"/>
      <c r="H20" s="2081"/>
      <c r="I20" s="2081"/>
      <c r="J20" s="2081"/>
      <c r="K20" s="2082"/>
    </row>
    <row r="21" spans="1:13">
      <c r="A21" s="2087" t="s">
        <v>161</v>
      </c>
      <c r="B21" s="2088"/>
      <c r="C21" s="2088"/>
      <c r="D21" s="2088"/>
      <c r="E21" s="2088"/>
      <c r="F21" s="2088"/>
      <c r="G21" s="2088"/>
      <c r="H21" s="2088"/>
      <c r="I21" s="2088"/>
      <c r="J21" s="2088"/>
      <c r="K21" s="2089"/>
    </row>
    <row r="22" spans="1:13">
      <c r="A22" s="315" t="s">
        <v>162</v>
      </c>
      <c r="B22" s="2090" t="s">
        <v>548</v>
      </c>
      <c r="C22" s="2090"/>
      <c r="D22" s="2090"/>
      <c r="E22" s="2090"/>
      <c r="F22" s="2090"/>
      <c r="G22" s="2090"/>
      <c r="H22" s="2090"/>
      <c r="I22" s="2090"/>
      <c r="J22" s="2090"/>
      <c r="K22" s="2091"/>
    </row>
    <row r="23" spans="1:13">
      <c r="A23" s="316" t="s">
        <v>549</v>
      </c>
      <c r="B23" s="317" t="s">
        <v>901</v>
      </c>
      <c r="C23" s="318">
        <v>500</v>
      </c>
      <c r="D23" s="318" t="s">
        <v>569</v>
      </c>
      <c r="E23" s="319">
        <f>25*IPC</f>
        <v>26.892499999999998</v>
      </c>
      <c r="F23" s="320">
        <f>ROUND(C23*E23,0)</f>
        <v>13446</v>
      </c>
      <c r="G23" s="321">
        <f>ROUND(F23/euro,2)</f>
        <v>2702.28</v>
      </c>
      <c r="H23" s="322">
        <f>ROUND(F23*TVA,0)</f>
        <v>2555</v>
      </c>
      <c r="I23" s="321">
        <f>ROUND(H23/euro,2)</f>
        <v>513.49</v>
      </c>
      <c r="J23" s="321">
        <f>F23+H23</f>
        <v>16001</v>
      </c>
      <c r="K23" s="421">
        <f>G23+I23</f>
        <v>3215.77</v>
      </c>
    </row>
    <row r="24" spans="1:13">
      <c r="A24" s="316" t="s">
        <v>551</v>
      </c>
      <c r="B24" s="317" t="s">
        <v>902</v>
      </c>
      <c r="C24" s="323">
        <v>250</v>
      </c>
      <c r="D24" s="323" t="s">
        <v>569</v>
      </c>
      <c r="E24" s="323">
        <f>50*IPC</f>
        <v>53.784999999999997</v>
      </c>
      <c r="F24" s="320">
        <f>ROUND(C24*E24,0)</f>
        <v>13446</v>
      </c>
      <c r="G24" s="321">
        <f>ROUND(F24/euro,2)</f>
        <v>2702.28</v>
      </c>
      <c r="H24" s="322">
        <f>ROUND(F24*TVA,0)</f>
        <v>2555</v>
      </c>
      <c r="I24" s="321">
        <f>ROUND(H24/euro,2)</f>
        <v>513.49</v>
      </c>
      <c r="J24" s="321">
        <f>F24+H24</f>
        <v>16001</v>
      </c>
      <c r="K24" s="421">
        <f>G24+I24</f>
        <v>3215.77</v>
      </c>
    </row>
    <row r="25" spans="1:13">
      <c r="A25" s="316" t="s">
        <v>9</v>
      </c>
      <c r="B25" s="324" t="s">
        <v>9</v>
      </c>
      <c r="C25" s="325" t="s">
        <v>9</v>
      </c>
      <c r="D25" s="325"/>
      <c r="E25" s="325" t="s">
        <v>9</v>
      </c>
      <c r="F25" s="320" t="s">
        <v>9</v>
      </c>
      <c r="G25" s="320"/>
      <c r="H25" s="322" t="s">
        <v>9</v>
      </c>
      <c r="I25" s="322"/>
      <c r="J25" s="322"/>
      <c r="K25" s="422" t="s">
        <v>9</v>
      </c>
    </row>
    <row r="26" spans="1:13">
      <c r="A26" s="2092" t="s">
        <v>557</v>
      </c>
      <c r="B26" s="2093"/>
      <c r="C26" s="2093"/>
      <c r="D26" s="2093"/>
      <c r="E26" s="2093"/>
      <c r="F26" s="2093"/>
      <c r="G26" s="2093"/>
      <c r="H26" s="2093"/>
      <c r="I26" s="2093"/>
      <c r="J26" s="2093"/>
      <c r="K26" s="2094"/>
    </row>
    <row r="27" spans="1:13">
      <c r="A27" s="326" t="s">
        <v>549</v>
      </c>
      <c r="B27" s="327" t="s">
        <v>590</v>
      </c>
      <c r="C27" s="323">
        <v>1500</v>
      </c>
      <c r="D27" s="323" t="s">
        <v>567</v>
      </c>
      <c r="E27" s="323">
        <f>500*IPC</f>
        <v>537.85</v>
      </c>
      <c r="F27" s="320">
        <f t="shared" ref="F27:F29" si="0">ROUND(C27*E27,0)</f>
        <v>806775</v>
      </c>
      <c r="G27" s="321">
        <f>ROUND(F27/euro,2)</f>
        <v>162139.76</v>
      </c>
      <c r="H27" s="322">
        <f>ROUND(F27*TVA,0)</f>
        <v>153287</v>
      </c>
      <c r="I27" s="321">
        <f>ROUND(H27/euro,2)</f>
        <v>30806.5</v>
      </c>
      <c r="J27" s="321">
        <f t="shared" ref="J27:K29" si="1">F27+H27</f>
        <v>960062</v>
      </c>
      <c r="K27" s="421">
        <f t="shared" si="1"/>
        <v>192946.26</v>
      </c>
    </row>
    <row r="28" spans="1:13">
      <c r="A28" s="326" t="s">
        <v>551</v>
      </c>
      <c r="B28" s="328" t="s">
        <v>903</v>
      </c>
      <c r="C28" s="329">
        <v>500</v>
      </c>
      <c r="D28" s="330" t="s">
        <v>567</v>
      </c>
      <c r="E28" s="329">
        <f>1000*IPC</f>
        <v>1075.7</v>
      </c>
      <c r="F28" s="320">
        <f t="shared" si="0"/>
        <v>537850</v>
      </c>
      <c r="G28" s="321">
        <f>ROUND(F28/euro,2)</f>
        <v>108093.17</v>
      </c>
      <c r="H28" s="322">
        <f>ROUND(F28*TVA,0)</f>
        <v>102192</v>
      </c>
      <c r="I28" s="321">
        <f>ROUND(H28/euro,2)</f>
        <v>20537.8</v>
      </c>
      <c r="J28" s="321">
        <f t="shared" si="1"/>
        <v>640042</v>
      </c>
      <c r="K28" s="421">
        <f t="shared" si="1"/>
        <v>128630.97</v>
      </c>
    </row>
    <row r="29" spans="1:13">
      <c r="A29" s="331" t="s">
        <v>553</v>
      </c>
      <c r="B29" s="332" t="s">
        <v>904</v>
      </c>
      <c r="C29" s="333">
        <v>1</v>
      </c>
      <c r="D29" s="333" t="s">
        <v>574</v>
      </c>
      <c r="E29" s="334">
        <f>10000*IPC</f>
        <v>10757</v>
      </c>
      <c r="F29" s="320">
        <f t="shared" si="0"/>
        <v>10757</v>
      </c>
      <c r="G29" s="321">
        <f>ROUND(F29/euro,2)</f>
        <v>2161.86</v>
      </c>
      <c r="H29" s="322">
        <f>ROUND(F29*TVA,0)</f>
        <v>2044</v>
      </c>
      <c r="I29" s="321">
        <f>ROUND(H29/euro,2)</f>
        <v>410.79</v>
      </c>
      <c r="J29" s="321">
        <f t="shared" si="1"/>
        <v>12801</v>
      </c>
      <c r="K29" s="421">
        <f t="shared" si="1"/>
        <v>2572.65</v>
      </c>
    </row>
    <row r="30" spans="1:13">
      <c r="A30" s="2095" t="s">
        <v>163</v>
      </c>
      <c r="B30" s="2096"/>
      <c r="C30" s="335"/>
      <c r="D30" s="335"/>
      <c r="E30" s="335"/>
      <c r="F30" s="336">
        <f>SUM(F23:F29)</f>
        <v>1382274</v>
      </c>
      <c r="G30" s="337">
        <f t="shared" ref="G30:K30" si="2">SUM(G23:G29)</f>
        <v>277799.34999999998</v>
      </c>
      <c r="H30" s="336">
        <f t="shared" si="2"/>
        <v>262633</v>
      </c>
      <c r="I30" s="337">
        <f t="shared" si="2"/>
        <v>52782.07</v>
      </c>
      <c r="J30" s="337">
        <f t="shared" si="2"/>
        <v>1644907</v>
      </c>
      <c r="K30" s="423">
        <f t="shared" si="2"/>
        <v>330581.42</v>
      </c>
      <c r="M30" s="424" t="s">
        <v>9</v>
      </c>
    </row>
    <row r="31" spans="1:13">
      <c r="A31" s="2075" t="s">
        <v>164</v>
      </c>
      <c r="B31" s="2076"/>
      <c r="C31" s="2076"/>
      <c r="D31" s="2076"/>
      <c r="E31" s="2076"/>
      <c r="F31" s="2076"/>
      <c r="G31" s="2076"/>
      <c r="H31" s="2076"/>
      <c r="I31" s="2076"/>
      <c r="J31" s="2076"/>
      <c r="K31" s="2077"/>
    </row>
    <row r="32" spans="1:13">
      <c r="A32" s="338">
        <v>1</v>
      </c>
      <c r="B32" s="339" t="s">
        <v>9</v>
      </c>
      <c r="C32" s="340">
        <v>0</v>
      </c>
      <c r="D32" s="340"/>
      <c r="E32" s="341">
        <v>0</v>
      </c>
      <c r="F32" s="342">
        <f>C32*E32</f>
        <v>0</v>
      </c>
      <c r="G32" s="343">
        <f>F32/euro</f>
        <v>0</v>
      </c>
      <c r="H32" s="344">
        <f>F32*TVA</f>
        <v>0</v>
      </c>
      <c r="I32" s="343">
        <f>H32/euro</f>
        <v>0</v>
      </c>
      <c r="J32" s="343">
        <f t="shared" ref="J32:K34" si="3">F32+H32</f>
        <v>0</v>
      </c>
      <c r="K32" s="425">
        <f t="shared" si="3"/>
        <v>0</v>
      </c>
    </row>
    <row r="33" spans="1:11">
      <c r="A33" s="345">
        <v>2</v>
      </c>
      <c r="B33" s="346" t="s">
        <v>9</v>
      </c>
      <c r="C33" s="347">
        <v>0</v>
      </c>
      <c r="D33" s="347"/>
      <c r="E33" s="348">
        <v>0</v>
      </c>
      <c r="F33" s="349">
        <f>C33*E33</f>
        <v>0</v>
      </c>
      <c r="G33" s="350">
        <f>F33/euro</f>
        <v>0</v>
      </c>
      <c r="H33" s="351">
        <f>F33*TVA</f>
        <v>0</v>
      </c>
      <c r="I33" s="350">
        <f>H33/euro</f>
        <v>0</v>
      </c>
      <c r="J33" s="350">
        <f t="shared" si="3"/>
        <v>0</v>
      </c>
      <c r="K33" s="426">
        <f t="shared" si="3"/>
        <v>0</v>
      </c>
    </row>
    <row r="34" spans="1:11" ht="12" customHeight="1">
      <c r="A34" s="2085" t="s">
        <v>166</v>
      </c>
      <c r="B34" s="2086"/>
      <c r="C34" s="352"/>
      <c r="D34" s="352"/>
      <c r="E34" s="352"/>
      <c r="F34" s="353">
        <f>SUM(F32:F33)</f>
        <v>0</v>
      </c>
      <c r="G34" s="354">
        <f>F34/euro</f>
        <v>0</v>
      </c>
      <c r="H34" s="353">
        <f>SUM(H32:H33)</f>
        <v>0</v>
      </c>
      <c r="I34" s="354">
        <f>H34/euro</f>
        <v>0</v>
      </c>
      <c r="J34" s="354">
        <f t="shared" si="3"/>
        <v>0</v>
      </c>
      <c r="K34" s="427">
        <f t="shared" si="3"/>
        <v>0</v>
      </c>
    </row>
    <row r="35" spans="1:11">
      <c r="A35" s="2075" t="s">
        <v>167</v>
      </c>
      <c r="B35" s="2076"/>
      <c r="C35" s="2076"/>
      <c r="D35" s="2076"/>
      <c r="E35" s="2076"/>
      <c r="F35" s="2076"/>
      <c r="G35" s="2076"/>
      <c r="H35" s="2076"/>
      <c r="I35" s="2076"/>
      <c r="J35" s="2076"/>
      <c r="K35" s="2077"/>
    </row>
    <row r="36" spans="1:11">
      <c r="A36" s="338">
        <v>1</v>
      </c>
      <c r="B36" s="339" t="s">
        <v>9</v>
      </c>
      <c r="C36" s="340">
        <v>0</v>
      </c>
      <c r="D36" s="340"/>
      <c r="E36" s="341">
        <v>0</v>
      </c>
      <c r="F36" s="342">
        <f>C36*E36</f>
        <v>0</v>
      </c>
      <c r="G36" s="343">
        <f>F36/euro</f>
        <v>0</v>
      </c>
      <c r="H36" s="344">
        <f>F36*TVA</f>
        <v>0</v>
      </c>
      <c r="I36" s="343">
        <f>H36/euro</f>
        <v>0</v>
      </c>
      <c r="J36" s="343">
        <f t="shared" ref="J36:K38" si="4">F36+H36</f>
        <v>0</v>
      </c>
      <c r="K36" s="425">
        <f t="shared" si="4"/>
        <v>0</v>
      </c>
    </row>
    <row r="37" spans="1:11">
      <c r="A37" s="345">
        <v>2</v>
      </c>
      <c r="B37" s="346" t="s">
        <v>9</v>
      </c>
      <c r="C37" s="347">
        <v>0</v>
      </c>
      <c r="D37" s="347"/>
      <c r="E37" s="348">
        <v>0</v>
      </c>
      <c r="F37" s="349">
        <f>C37*E37</f>
        <v>0</v>
      </c>
      <c r="G37" s="350">
        <f>F37/euro</f>
        <v>0</v>
      </c>
      <c r="H37" s="351">
        <f>F37*TVA</f>
        <v>0</v>
      </c>
      <c r="I37" s="350">
        <f>H37/euro</f>
        <v>0</v>
      </c>
      <c r="J37" s="350">
        <f t="shared" si="4"/>
        <v>0</v>
      </c>
      <c r="K37" s="426">
        <f t="shared" si="4"/>
        <v>0</v>
      </c>
    </row>
    <row r="38" spans="1:11" ht="12.75" customHeight="1">
      <c r="A38" s="2095" t="s">
        <v>169</v>
      </c>
      <c r="B38" s="2096"/>
      <c r="C38" s="335"/>
      <c r="D38" s="335"/>
      <c r="E38" s="335"/>
      <c r="F38" s="355">
        <f>SUM(F36:F37)</f>
        <v>0</v>
      </c>
      <c r="G38" s="309">
        <f>F38/euro</f>
        <v>0</v>
      </c>
      <c r="H38" s="355">
        <f>SUM(H36:H37)</f>
        <v>0</v>
      </c>
      <c r="I38" s="309">
        <f>H38/euro</f>
        <v>0</v>
      </c>
      <c r="J38" s="309">
        <f t="shared" si="4"/>
        <v>0</v>
      </c>
      <c r="K38" s="428">
        <f t="shared" si="4"/>
        <v>0</v>
      </c>
    </row>
    <row r="39" spans="1:11" ht="12.75" customHeight="1">
      <c r="A39" s="2116" t="s">
        <v>170</v>
      </c>
      <c r="B39" s="2117"/>
      <c r="C39" s="2117"/>
      <c r="D39" s="2117"/>
      <c r="E39" s="2117"/>
      <c r="F39" s="2117"/>
      <c r="G39" s="2117"/>
      <c r="H39" s="2117"/>
      <c r="I39" s="2117"/>
      <c r="J39" s="2117"/>
      <c r="K39" s="2118"/>
    </row>
    <row r="40" spans="1:11" ht="26.85" customHeight="1">
      <c r="A40" s="356">
        <v>1</v>
      </c>
      <c r="B40" s="357" t="s">
        <v>905</v>
      </c>
      <c r="C40" s="358">
        <v>2</v>
      </c>
      <c r="D40" s="358" t="s">
        <v>574</v>
      </c>
      <c r="E40" s="358">
        <f>560000*IPC</f>
        <v>602392</v>
      </c>
      <c r="F40" s="320">
        <f t="shared" ref="F40:F49" si="5">ROUND(C40*E40,0)</f>
        <v>1204784</v>
      </c>
      <c r="G40" s="359">
        <f t="shared" ref="G40:G49" si="6">ROUND(F40/euro,2)</f>
        <v>242128.7</v>
      </c>
      <c r="H40" s="360">
        <f t="shared" ref="H40:H49" si="7">ROUND(F40*TVA,0)</f>
        <v>228909</v>
      </c>
      <c r="I40" s="359">
        <f t="shared" ref="I40:I49" si="8">ROUND(H40/euro,2)</f>
        <v>46004.46</v>
      </c>
      <c r="J40" s="359">
        <f t="shared" ref="J40:J49" si="9">F40+H40</f>
        <v>1433693</v>
      </c>
      <c r="K40" s="429">
        <f t="shared" ref="K40:K49" si="10">G40+I40</f>
        <v>288133.15999999997</v>
      </c>
    </row>
    <row r="41" spans="1:11" ht="26.85" customHeight="1">
      <c r="A41" s="361">
        <v>2</v>
      </c>
      <c r="B41" s="362" t="s">
        <v>906</v>
      </c>
      <c r="C41" s="363">
        <v>1</v>
      </c>
      <c r="D41" s="364" t="s">
        <v>574</v>
      </c>
      <c r="E41" s="363">
        <f>210000*IPC</f>
        <v>225897</v>
      </c>
      <c r="F41" s="320">
        <f t="shared" si="5"/>
        <v>225897</v>
      </c>
      <c r="G41" s="321">
        <f t="shared" si="6"/>
        <v>45399.13</v>
      </c>
      <c r="H41" s="322">
        <f t="shared" si="7"/>
        <v>42920</v>
      </c>
      <c r="I41" s="321">
        <f t="shared" si="8"/>
        <v>8625.75</v>
      </c>
      <c r="J41" s="321">
        <f t="shared" si="9"/>
        <v>268817</v>
      </c>
      <c r="K41" s="421">
        <f t="shared" si="10"/>
        <v>54024.88</v>
      </c>
    </row>
    <row r="42" spans="1:11" ht="12.75" customHeight="1">
      <c r="A42" s="365">
        <v>3</v>
      </c>
      <c r="B42" s="366" t="s">
        <v>907</v>
      </c>
      <c r="C42" s="367">
        <v>0</v>
      </c>
      <c r="D42" s="368" t="s">
        <v>574</v>
      </c>
      <c r="E42" s="367">
        <f>21000*IPC</f>
        <v>22589.7</v>
      </c>
      <c r="F42" s="320">
        <f t="shared" si="5"/>
        <v>0</v>
      </c>
      <c r="G42" s="321">
        <f t="shared" si="6"/>
        <v>0</v>
      </c>
      <c r="H42" s="322">
        <f t="shared" si="7"/>
        <v>0</v>
      </c>
      <c r="I42" s="321">
        <f t="shared" si="8"/>
        <v>0</v>
      </c>
      <c r="J42" s="321">
        <f t="shared" si="9"/>
        <v>0</v>
      </c>
      <c r="K42" s="421">
        <f t="shared" si="10"/>
        <v>0</v>
      </c>
    </row>
    <row r="43" spans="1:11" ht="12.75" customHeight="1">
      <c r="A43" s="365">
        <v>4</v>
      </c>
      <c r="B43" s="366" t="s">
        <v>908</v>
      </c>
      <c r="C43" s="367">
        <v>6</v>
      </c>
      <c r="D43" s="368" t="s">
        <v>574</v>
      </c>
      <c r="E43" s="367">
        <f>68000*IPC</f>
        <v>73147.600000000006</v>
      </c>
      <c r="F43" s="320">
        <f t="shared" si="5"/>
        <v>438886</v>
      </c>
      <c r="G43" s="321">
        <f t="shared" si="6"/>
        <v>88204.11</v>
      </c>
      <c r="H43" s="322">
        <f t="shared" si="7"/>
        <v>83388</v>
      </c>
      <c r="I43" s="321">
        <f t="shared" si="8"/>
        <v>16758.71</v>
      </c>
      <c r="J43" s="321">
        <f t="shared" si="9"/>
        <v>522274</v>
      </c>
      <c r="K43" s="421">
        <f t="shared" si="10"/>
        <v>104962.82</v>
      </c>
    </row>
    <row r="44" spans="1:11">
      <c r="A44" s="365">
        <v>5</v>
      </c>
      <c r="B44" s="369" t="s">
        <v>909</v>
      </c>
      <c r="C44" s="367">
        <v>0</v>
      </c>
      <c r="D44" s="368" t="s">
        <v>574</v>
      </c>
      <c r="E44" s="367">
        <f>10000*IPC</f>
        <v>10757</v>
      </c>
      <c r="F44" s="320">
        <f t="shared" si="5"/>
        <v>0</v>
      </c>
      <c r="G44" s="321">
        <f t="shared" si="6"/>
        <v>0</v>
      </c>
      <c r="H44" s="322">
        <f t="shared" si="7"/>
        <v>0</v>
      </c>
      <c r="I44" s="321">
        <f t="shared" si="8"/>
        <v>0</v>
      </c>
      <c r="J44" s="321">
        <f t="shared" si="9"/>
        <v>0</v>
      </c>
      <c r="K44" s="421">
        <f t="shared" si="10"/>
        <v>0</v>
      </c>
    </row>
    <row r="45" spans="1:11">
      <c r="A45" s="365">
        <v>6</v>
      </c>
      <c r="B45" s="366" t="s">
        <v>910</v>
      </c>
      <c r="C45" s="367">
        <v>0</v>
      </c>
      <c r="D45" s="368" t="s">
        <v>574</v>
      </c>
      <c r="E45" s="367">
        <f>8200*IPC</f>
        <v>8820.74</v>
      </c>
      <c r="F45" s="320">
        <f t="shared" si="5"/>
        <v>0</v>
      </c>
      <c r="G45" s="321">
        <f t="shared" si="6"/>
        <v>0</v>
      </c>
      <c r="H45" s="322">
        <f t="shared" si="7"/>
        <v>0</v>
      </c>
      <c r="I45" s="321">
        <f t="shared" si="8"/>
        <v>0</v>
      </c>
      <c r="J45" s="321">
        <f t="shared" si="9"/>
        <v>0</v>
      </c>
      <c r="K45" s="421">
        <f t="shared" si="10"/>
        <v>0</v>
      </c>
    </row>
    <row r="46" spans="1:11">
      <c r="A46" s="365">
        <v>7</v>
      </c>
      <c r="B46" s="369" t="s">
        <v>911</v>
      </c>
      <c r="C46" s="367">
        <v>0</v>
      </c>
      <c r="D46" s="368" t="s">
        <v>574</v>
      </c>
      <c r="E46" s="367">
        <f>10000*IPC</f>
        <v>10757</v>
      </c>
      <c r="F46" s="320">
        <f t="shared" si="5"/>
        <v>0</v>
      </c>
      <c r="G46" s="321">
        <f t="shared" si="6"/>
        <v>0</v>
      </c>
      <c r="H46" s="322">
        <f t="shared" si="7"/>
        <v>0</v>
      </c>
      <c r="I46" s="321">
        <f t="shared" si="8"/>
        <v>0</v>
      </c>
      <c r="J46" s="321">
        <f t="shared" si="9"/>
        <v>0</v>
      </c>
      <c r="K46" s="421">
        <f t="shared" si="10"/>
        <v>0</v>
      </c>
    </row>
    <row r="47" spans="1:11">
      <c r="A47" s="370">
        <v>8</v>
      </c>
      <c r="B47" s="369" t="s">
        <v>912</v>
      </c>
      <c r="C47" s="367">
        <v>0</v>
      </c>
      <c r="D47" s="367" t="s">
        <v>574</v>
      </c>
      <c r="E47" s="367">
        <f>4870*IPC</f>
        <v>5238.6589999999997</v>
      </c>
      <c r="F47" s="371">
        <f t="shared" si="5"/>
        <v>0</v>
      </c>
      <c r="G47" s="321">
        <f t="shared" ref="G47:G48" si="11">ROUND(F47/euro,2)</f>
        <v>0</v>
      </c>
      <c r="H47" s="322">
        <f t="shared" ref="H47:H48" si="12">ROUND(F47*TVA,0)</f>
        <v>0</v>
      </c>
      <c r="I47" s="321">
        <f t="shared" ref="I47:I48" si="13">ROUND(H47/euro,2)</f>
        <v>0</v>
      </c>
      <c r="J47" s="321">
        <f t="shared" ref="J47:J48" si="14">F47+H47</f>
        <v>0</v>
      </c>
      <c r="K47" s="421">
        <f t="shared" ref="K47:K48" si="15">G47+I47</f>
        <v>0</v>
      </c>
    </row>
    <row r="48" spans="1:11">
      <c r="A48" s="370">
        <v>9</v>
      </c>
      <c r="B48" s="369" t="s">
        <v>913</v>
      </c>
      <c r="C48" s="367">
        <v>0</v>
      </c>
      <c r="D48" s="367" t="s">
        <v>574</v>
      </c>
      <c r="E48" s="367">
        <f>4870*IPC</f>
        <v>5238.6589999999997</v>
      </c>
      <c r="F48" s="371">
        <f t="shared" si="5"/>
        <v>0</v>
      </c>
      <c r="G48" s="321">
        <f t="shared" si="11"/>
        <v>0</v>
      </c>
      <c r="H48" s="322">
        <f t="shared" si="12"/>
        <v>0</v>
      </c>
      <c r="I48" s="321">
        <f t="shared" si="13"/>
        <v>0</v>
      </c>
      <c r="J48" s="321">
        <f t="shared" si="14"/>
        <v>0</v>
      </c>
      <c r="K48" s="421">
        <f t="shared" si="15"/>
        <v>0</v>
      </c>
    </row>
    <row r="49" spans="1:11">
      <c r="A49" s="372">
        <v>10</v>
      </c>
      <c r="B49" s="373" t="s">
        <v>914</v>
      </c>
      <c r="C49" s="374">
        <v>0</v>
      </c>
      <c r="D49" s="374" t="s">
        <v>574</v>
      </c>
      <c r="E49" s="374">
        <f>3522*IPC</f>
        <v>3788.6154000000001</v>
      </c>
      <c r="F49" s="375">
        <f t="shared" si="5"/>
        <v>0</v>
      </c>
      <c r="G49" s="376">
        <f t="shared" si="6"/>
        <v>0</v>
      </c>
      <c r="H49" s="377">
        <f t="shared" si="7"/>
        <v>0</v>
      </c>
      <c r="I49" s="376">
        <f t="shared" si="8"/>
        <v>0</v>
      </c>
      <c r="J49" s="376">
        <f t="shared" si="9"/>
        <v>0</v>
      </c>
      <c r="K49" s="430">
        <f t="shared" si="10"/>
        <v>0</v>
      </c>
    </row>
    <row r="50" spans="1:11" ht="12.75" customHeight="1">
      <c r="A50" s="2085" t="s">
        <v>174</v>
      </c>
      <c r="B50" s="2086"/>
      <c r="C50" s="352"/>
      <c r="D50" s="352"/>
      <c r="E50" s="352"/>
      <c r="F50" s="378">
        <f>SUM(F40:F49)</f>
        <v>1869567</v>
      </c>
      <c r="G50" s="379">
        <f t="shared" ref="G50:K50" si="16">SUM(G40:G49)</f>
        <v>375731.94</v>
      </c>
      <c r="H50" s="378">
        <f t="shared" si="16"/>
        <v>355217</v>
      </c>
      <c r="I50" s="379">
        <f t="shared" si="16"/>
        <v>71388.92</v>
      </c>
      <c r="J50" s="379">
        <f t="shared" si="16"/>
        <v>2224784</v>
      </c>
      <c r="K50" s="431">
        <f t="shared" si="16"/>
        <v>447120.86</v>
      </c>
    </row>
    <row r="51" spans="1:11">
      <c r="A51" s="2108" t="s">
        <v>175</v>
      </c>
      <c r="B51" s="2109"/>
      <c r="C51" s="2109"/>
      <c r="D51" s="2109"/>
      <c r="E51" s="2109"/>
      <c r="F51" s="2109"/>
      <c r="G51" s="2109"/>
      <c r="H51" s="2109"/>
      <c r="I51" s="2109"/>
      <c r="J51" s="2109"/>
      <c r="K51" s="2110"/>
    </row>
    <row r="52" spans="1:11">
      <c r="A52" s="381">
        <v>1</v>
      </c>
      <c r="B52" s="382" t="s">
        <v>636</v>
      </c>
      <c r="C52" s="383">
        <v>1</v>
      </c>
      <c r="D52" s="383"/>
      <c r="E52" s="383">
        <f>10000*IPC</f>
        <v>10757</v>
      </c>
      <c r="F52" s="384">
        <f t="shared" ref="F52" si="17">ROUND(C52*E52,0)</f>
        <v>10757</v>
      </c>
      <c r="G52" s="385">
        <f>ROUND(F52/euro,2)</f>
        <v>2161.86</v>
      </c>
      <c r="H52" s="386">
        <f>ROUND(F52*TVA,0)</f>
        <v>2044</v>
      </c>
      <c r="I52" s="385">
        <f>ROUND(H52/euro,2)</f>
        <v>410.79</v>
      </c>
      <c r="J52" s="385">
        <f>F52+H52</f>
        <v>12801</v>
      </c>
      <c r="K52" s="432">
        <f>G52+I52</f>
        <v>2572.65</v>
      </c>
    </row>
    <row r="53" spans="1:11" ht="14.25" customHeight="1">
      <c r="A53" s="2085" t="s">
        <v>181</v>
      </c>
      <c r="B53" s="2111"/>
      <c r="C53" s="387"/>
      <c r="D53" s="387"/>
      <c r="E53" s="387"/>
      <c r="F53" s="388">
        <f>SUM(F52:F52)</f>
        <v>10757</v>
      </c>
      <c r="G53" s="379">
        <f t="shared" ref="G53:K53" si="18">SUM(G52:G52)</f>
        <v>2161.86</v>
      </c>
      <c r="H53" s="388">
        <f t="shared" si="18"/>
        <v>2044</v>
      </c>
      <c r="I53" s="379">
        <f t="shared" si="18"/>
        <v>410.79</v>
      </c>
      <c r="J53" s="379">
        <f t="shared" si="18"/>
        <v>12801</v>
      </c>
      <c r="K53" s="431">
        <f t="shared" si="18"/>
        <v>2572.65</v>
      </c>
    </row>
    <row r="54" spans="1:11" ht="14.25" customHeight="1">
      <c r="A54" s="2112" t="s">
        <v>182</v>
      </c>
      <c r="B54" s="2113"/>
      <c r="C54" s="2113"/>
      <c r="D54" s="2113"/>
      <c r="E54" s="2113"/>
      <c r="F54" s="2113"/>
      <c r="G54" s="2113"/>
      <c r="H54" s="2113"/>
      <c r="I54" s="2113"/>
      <c r="J54" s="2113"/>
      <c r="K54" s="2114"/>
    </row>
    <row r="55" spans="1:11" ht="14.25" customHeight="1">
      <c r="A55" s="389">
        <v>1</v>
      </c>
      <c r="B55" s="390"/>
      <c r="C55" s="390"/>
      <c r="D55" s="390"/>
      <c r="E55" s="390"/>
      <c r="F55" s="391">
        <v>0</v>
      </c>
      <c r="G55" s="391"/>
      <c r="H55" s="392">
        <v>0</v>
      </c>
      <c r="I55" s="433"/>
      <c r="J55" s="433"/>
      <c r="K55" s="434">
        <v>0</v>
      </c>
    </row>
    <row r="56" spans="1:11" ht="14.25" customHeight="1">
      <c r="A56" s="2095" t="s">
        <v>185</v>
      </c>
      <c r="B56" s="2115"/>
      <c r="C56" s="393"/>
      <c r="D56" s="393"/>
      <c r="E56" s="393"/>
      <c r="F56" s="309">
        <v>0</v>
      </c>
      <c r="G56" s="309"/>
      <c r="H56" s="394">
        <v>0</v>
      </c>
      <c r="I56" s="435"/>
      <c r="J56" s="435"/>
      <c r="K56" s="436">
        <v>0</v>
      </c>
    </row>
    <row r="57" spans="1:11" ht="12.75" customHeight="1">
      <c r="A57" s="2078" t="s">
        <v>186</v>
      </c>
      <c r="B57" s="2079"/>
      <c r="C57" s="307"/>
      <c r="D57" s="307"/>
      <c r="E57" s="307"/>
      <c r="F57" s="395">
        <f t="shared" ref="F57:K57" si="19">SUM(F30,F34,F38,F50,F53,F56)</f>
        <v>3262598</v>
      </c>
      <c r="G57" s="337">
        <f t="shared" si="19"/>
        <v>655693.15</v>
      </c>
      <c r="H57" s="396">
        <f t="shared" si="19"/>
        <v>619894</v>
      </c>
      <c r="I57" s="337">
        <f t="shared" si="19"/>
        <v>124581.78</v>
      </c>
      <c r="J57" s="337">
        <f t="shared" si="19"/>
        <v>3882492</v>
      </c>
      <c r="K57" s="423">
        <f t="shared" si="19"/>
        <v>780274.93</v>
      </c>
    </row>
    <row r="58" spans="1:11" ht="16.5" customHeight="1">
      <c r="A58" s="2099" t="s">
        <v>212</v>
      </c>
      <c r="B58" s="2100"/>
      <c r="C58" s="314"/>
      <c r="D58" s="314"/>
      <c r="E58" s="314"/>
      <c r="F58" s="397">
        <f t="shared" ref="F58:K58" si="20">F57+F19+F16</f>
        <v>3262598</v>
      </c>
      <c r="G58" s="337">
        <f t="shared" si="20"/>
        <v>655693.15</v>
      </c>
      <c r="H58" s="397">
        <f t="shared" si="20"/>
        <v>619894</v>
      </c>
      <c r="I58" s="337">
        <f t="shared" si="20"/>
        <v>124581.78</v>
      </c>
      <c r="J58" s="337">
        <f t="shared" si="20"/>
        <v>3882492</v>
      </c>
      <c r="K58" s="423">
        <f t="shared" si="20"/>
        <v>780274.93</v>
      </c>
    </row>
    <row r="59" spans="1:11">
      <c r="A59" s="2101" t="s">
        <v>243</v>
      </c>
      <c r="B59" s="2102"/>
      <c r="C59" s="398"/>
      <c r="D59" s="398"/>
      <c r="E59" s="398"/>
      <c r="F59" s="399">
        <f t="shared" ref="F59:K59" si="21">F30+F34+F19+F16</f>
        <v>1382274</v>
      </c>
      <c r="G59" s="337">
        <f t="shared" si="21"/>
        <v>277799.34999999998</v>
      </c>
      <c r="H59" s="399">
        <f t="shared" si="21"/>
        <v>262633</v>
      </c>
      <c r="I59" s="337">
        <f t="shared" si="21"/>
        <v>52782.07</v>
      </c>
      <c r="J59" s="337">
        <f t="shared" si="21"/>
        <v>1644907</v>
      </c>
      <c r="K59" s="423">
        <f t="shared" si="21"/>
        <v>330581.42</v>
      </c>
    </row>
    <row r="60" spans="1:11">
      <c r="A60" s="283"/>
    </row>
    <row r="61" spans="1:11">
      <c r="A61" s="283"/>
      <c r="B61" s="400" t="s">
        <v>915</v>
      </c>
      <c r="C61" s="281"/>
      <c r="D61" s="281"/>
      <c r="E61" s="281"/>
    </row>
    <row r="62" spans="1:11">
      <c r="A62" s="283"/>
    </row>
    <row r="63" spans="1:11" ht="39" customHeight="1">
      <c r="A63" s="401"/>
      <c r="B63" s="402" t="str">
        <f>'DEVIZ GENERAL'!B168</f>
        <v>In preturi la data de :</v>
      </c>
      <c r="C63" s="2008" t="str">
        <f>'DEVIZ GENERAL'!C168</f>
        <v>inforeuro februarie 2025</v>
      </c>
      <c r="D63" s="2008"/>
      <c r="E63" s="402" t="str">
        <f>'DEVIZ GENERAL'!D168</f>
        <v>1 Euro =</v>
      </c>
      <c r="F63" s="403">
        <f>'DEVIZ GENERAL'!E168</f>
        <v>4.9757999999999996</v>
      </c>
      <c r="G63" s="404"/>
    </row>
    <row r="64" spans="1:11">
      <c r="A64" s="405"/>
      <c r="B64" s="406" t="s">
        <v>222</v>
      </c>
      <c r="C64" s="406"/>
      <c r="D64" s="406"/>
      <c r="E64" s="406"/>
      <c r="F64" s="404"/>
      <c r="G64" s="404"/>
      <c r="H64" s="407" t="s">
        <v>223</v>
      </c>
      <c r="I64" s="407"/>
      <c r="J64" s="407"/>
      <c r="K64" s="407"/>
    </row>
    <row r="65" spans="1:11">
      <c r="A65" s="405"/>
      <c r="B65" s="437" t="s">
        <v>916</v>
      </c>
      <c r="C65" s="437"/>
      <c r="D65" s="437"/>
      <c r="E65" s="437"/>
      <c r="F65" s="404"/>
      <c r="G65" s="404"/>
      <c r="H65" s="2103" t="s">
        <v>225</v>
      </c>
      <c r="I65" s="2103"/>
      <c r="J65" s="2103"/>
      <c r="K65" s="2103"/>
    </row>
    <row r="66" spans="1:11">
      <c r="A66" s="283"/>
      <c r="B66" s="380" t="s">
        <v>226</v>
      </c>
      <c r="C66" s="380"/>
      <c r="D66" s="380"/>
      <c r="E66" s="380"/>
      <c r="F66" s="439"/>
      <c r="G66" s="439"/>
      <c r="H66" s="440"/>
      <c r="I66" s="440"/>
      <c r="J66" s="440"/>
      <c r="K66" s="407"/>
    </row>
    <row r="67" spans="1:11">
      <c r="A67" s="283"/>
      <c r="B67" s="441" t="s">
        <v>227</v>
      </c>
      <c r="C67" s="441"/>
      <c r="D67" s="441"/>
      <c r="E67" s="441"/>
      <c r="H67" s="281" t="s">
        <v>637</v>
      </c>
      <c r="I67" s="281"/>
      <c r="J67" s="281"/>
      <c r="K67" s="449"/>
    </row>
    <row r="68" spans="1:11">
      <c r="A68" s="283"/>
      <c r="B68" s="441"/>
      <c r="C68" s="441"/>
      <c r="D68" s="441"/>
      <c r="E68" s="441"/>
      <c r="H68" s="281"/>
      <c r="I68" s="281"/>
      <c r="J68" s="281"/>
      <c r="K68" s="450" t="s">
        <v>229</v>
      </c>
    </row>
    <row r="69" spans="1:11">
      <c r="A69" s="283"/>
      <c r="B69" s="441"/>
      <c r="C69" s="441"/>
      <c r="D69" s="441"/>
      <c r="E69" s="441"/>
      <c r="H69" s="281"/>
      <c r="I69" s="281"/>
      <c r="J69" s="281"/>
      <c r="K69" s="450"/>
    </row>
    <row r="70" spans="1:11">
      <c r="A70" s="401"/>
      <c r="B70" s="442" t="s">
        <v>917</v>
      </c>
      <c r="C70" s="405"/>
      <c r="D70" s="405"/>
      <c r="E70" s="405"/>
      <c r="F70" s="443">
        <f t="shared" ref="F70:K70" si="22">F58*IPC</f>
        <v>3509576.6686</v>
      </c>
      <c r="G70" s="443">
        <f t="shared" si="22"/>
        <v>705329.12145500001</v>
      </c>
      <c r="H70" s="443">
        <f t="shared" si="22"/>
        <v>666819.97580000001</v>
      </c>
      <c r="I70" s="443">
        <f t="shared" si="22"/>
        <v>134012.620746</v>
      </c>
      <c r="J70" s="443">
        <f t="shared" si="22"/>
        <v>4176396.6444000001</v>
      </c>
      <c r="K70" s="443">
        <f t="shared" si="22"/>
        <v>839341.74220099999</v>
      </c>
    </row>
    <row r="71" spans="1:11" ht="15.75">
      <c r="A71" s="444"/>
      <c r="B71" s="444"/>
      <c r="C71" s="444"/>
      <c r="D71" s="444"/>
      <c r="E71" s="444"/>
    </row>
    <row r="73" spans="1:11" hidden="1">
      <c r="B73" s="438"/>
      <c r="C73" s="438"/>
      <c r="D73" s="438"/>
      <c r="E73" s="438"/>
    </row>
    <row r="74" spans="1:11" ht="12.75" hidden="1" customHeight="1">
      <c r="A74" s="445"/>
      <c r="B74" s="438"/>
      <c r="C74" s="438"/>
      <c r="D74" s="438"/>
      <c r="E74" s="438"/>
    </row>
    <row r="75" spans="1:11" hidden="1">
      <c r="A75" s="445"/>
      <c r="B75" s="446"/>
      <c r="C75" s="446"/>
      <c r="D75" s="446"/>
      <c r="E75" s="446"/>
      <c r="F75" s="446"/>
      <c r="G75" s="446"/>
      <c r="H75" s="447" t="e">
        <f>#REF!+#REF!+#REF!+F57+F16+#REF!</f>
        <v>#REF!</v>
      </c>
      <c r="I75" s="447"/>
      <c r="J75" s="447"/>
    </row>
    <row r="76" spans="1:11" hidden="1">
      <c r="A76" s="445"/>
      <c r="B76" s="446"/>
      <c r="C76" s="446"/>
      <c r="D76" s="446"/>
      <c r="E76" s="446"/>
      <c r="F76" s="446"/>
      <c r="G76" s="446"/>
      <c r="H76" s="57" t="e">
        <f>ROUND(H75/euro,0)</f>
        <v>#REF!</v>
      </c>
      <c r="I76" s="57"/>
      <c r="J76" s="57"/>
    </row>
    <row r="77" spans="1:11">
      <c r="A77" s="445"/>
      <c r="B77" s="446"/>
      <c r="C77" s="446"/>
      <c r="D77" s="446"/>
      <c r="E77" s="446"/>
      <c r="F77" s="446"/>
      <c r="G77" s="446"/>
    </row>
    <row r="78" spans="1:11" ht="12.75" customHeight="1">
      <c r="A78" s="445"/>
      <c r="B78" s="446"/>
      <c r="C78" s="446"/>
      <c r="D78" s="446"/>
      <c r="E78" s="446"/>
      <c r="F78" s="446"/>
      <c r="G78" s="446"/>
    </row>
    <row r="79" spans="1:11" ht="15" customHeight="1">
      <c r="A79" s="445"/>
      <c r="B79" s="446"/>
      <c r="C79" s="446"/>
      <c r="D79" s="446"/>
      <c r="E79" s="446"/>
      <c r="F79" s="446"/>
      <c r="G79" s="446"/>
    </row>
    <row r="80" spans="1:11">
      <c r="A80" s="446"/>
      <c r="B80" s="446"/>
      <c r="C80" s="446"/>
      <c r="D80" s="446"/>
      <c r="E80" s="446"/>
      <c r="F80" s="446"/>
      <c r="G80" s="446"/>
    </row>
    <row r="81" spans="1:7" ht="15.75">
      <c r="A81" s="448"/>
      <c r="B81" s="448"/>
      <c r="C81" s="448"/>
      <c r="D81" s="448"/>
      <c r="E81" s="448"/>
      <c r="F81" s="448"/>
      <c r="G81" s="448"/>
    </row>
    <row r="82" spans="1:7" ht="15" customHeight="1">
      <c r="A82" s="445"/>
      <c r="B82" s="446"/>
      <c r="C82" s="446"/>
      <c r="D82" s="446"/>
      <c r="E82" s="446"/>
      <c r="F82" s="446"/>
      <c r="G82" s="446"/>
    </row>
  </sheetData>
  <mergeCells count="33">
    <mergeCell ref="B1:K3"/>
    <mergeCell ref="A58:B58"/>
    <mergeCell ref="A59:B59"/>
    <mergeCell ref="C63:D63"/>
    <mergeCell ref="H65:K65"/>
    <mergeCell ref="A8:A9"/>
    <mergeCell ref="B8:B9"/>
    <mergeCell ref="A51:K51"/>
    <mergeCell ref="A53:B53"/>
    <mergeCell ref="A54:K54"/>
    <mergeCell ref="A56:B56"/>
    <mergeCell ref="A57:B57"/>
    <mergeCell ref="A34:B34"/>
    <mergeCell ref="A35:K35"/>
    <mergeCell ref="A38:B38"/>
    <mergeCell ref="A39:K39"/>
    <mergeCell ref="A50:B50"/>
    <mergeCell ref="A21:K21"/>
    <mergeCell ref="B22:K22"/>
    <mergeCell ref="A26:K26"/>
    <mergeCell ref="A30:B30"/>
    <mergeCell ref="A31:K31"/>
    <mergeCell ref="A11:K11"/>
    <mergeCell ref="A16:B16"/>
    <mergeCell ref="A17:K17"/>
    <mergeCell ref="A19:B19"/>
    <mergeCell ref="A20:K20"/>
    <mergeCell ref="A5:K5"/>
    <mergeCell ref="A6:K6"/>
    <mergeCell ref="A7:K7"/>
    <mergeCell ref="F8:G8"/>
    <mergeCell ref="H8:I8"/>
    <mergeCell ref="J8:K8"/>
  </mergeCells>
  <pageMargins left="0.75" right="0.75" top="1" bottom="1" header="0.5" footer="0.5"/>
  <pageSetup paperSize="9" scale="41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workbookViewId="0">
      <selection activeCell="R152" sqref="R152"/>
    </sheetView>
  </sheetViews>
  <sheetFormatPr defaultColWidth="9" defaultRowHeight="12.75"/>
  <cols>
    <col min="2" max="2" width="22.7109375" customWidth="1"/>
    <col min="3" max="3" width="17.85546875" customWidth="1"/>
    <col min="4" max="4" width="18.42578125" customWidth="1"/>
    <col min="5" max="5" width="17.7109375" customWidth="1"/>
    <col min="6" max="8" width="17.42578125" customWidth="1"/>
    <col min="9" max="9" width="17.7109375" customWidth="1"/>
    <col min="10" max="10" width="17.85546875" customWidth="1"/>
  </cols>
  <sheetData>
    <row r="2" spans="2:10">
      <c r="B2" t="s">
        <v>918</v>
      </c>
      <c r="C2" t="s">
        <v>919</v>
      </c>
    </row>
    <row r="3" spans="2:10" ht="29.1" customHeight="1">
      <c r="B3" t="s">
        <v>920</v>
      </c>
      <c r="C3" s="276" t="s">
        <v>921</v>
      </c>
      <c r="D3" s="276" t="s">
        <v>922</v>
      </c>
      <c r="E3" s="276" t="s">
        <v>923</v>
      </c>
      <c r="F3" s="276" t="s">
        <v>924</v>
      </c>
      <c r="G3" s="276" t="s">
        <v>925</v>
      </c>
      <c r="H3" s="276" t="s">
        <v>922</v>
      </c>
      <c r="I3" s="276" t="s">
        <v>926</v>
      </c>
      <c r="J3" s="276" t="s">
        <v>927</v>
      </c>
    </row>
    <row r="4" spans="2:10">
      <c r="B4" t="s">
        <v>928</v>
      </c>
      <c r="C4" s="163">
        <f>'[10]D1.Deviz general constante'!$D$156</f>
        <v>73586822.209999993</v>
      </c>
      <c r="D4" s="163">
        <f>'[10]D1.Deviz general constante'!$H$156</f>
        <v>87395203.120000005</v>
      </c>
      <c r="E4" s="163">
        <f>'[10]Deviz general curente'!$D$146</f>
        <v>79522752.980000004</v>
      </c>
      <c r="F4" s="277">
        <f>'[10]Deviz general curente'!$H$146</f>
        <v>94443725.299999997</v>
      </c>
      <c r="G4" s="163">
        <f>'[10]D1.Deviz general constante'!$C$156</f>
        <v>364114955</v>
      </c>
      <c r="H4" s="163">
        <f>'[10]D1.Deviz general constante'!$G$156</f>
        <v>432440204.60000002</v>
      </c>
      <c r="I4" s="163">
        <f>'[10]Deviz general curente'!$C$146</f>
        <v>393486534</v>
      </c>
      <c r="J4" s="277">
        <f>'[10]Deviz general curente'!$G$146</f>
        <v>467316997.14999998</v>
      </c>
    </row>
    <row r="5" spans="2:10">
      <c r="B5" t="s">
        <v>929</v>
      </c>
      <c r="C5" s="163">
        <f>[11]comparativ!C5</f>
        <v>76808871.620000005</v>
      </c>
      <c r="D5" s="163">
        <f>[11]comparativ!D5</f>
        <v>91221140.560000002</v>
      </c>
      <c r="E5" s="163">
        <f>[11]comparativ!E5</f>
        <v>83583073.730000004</v>
      </c>
      <c r="F5" s="277">
        <f>[11]comparativ!F5</f>
        <v>99265059.799999997</v>
      </c>
      <c r="G5" s="163">
        <f>[11]comparativ!G5</f>
        <v>382231668.66000003</v>
      </c>
      <c r="H5" s="163">
        <f>[11]comparativ!H5</f>
        <v>453952884.04000002</v>
      </c>
      <c r="I5" s="163">
        <f>[11]comparativ!I5</f>
        <v>415942808</v>
      </c>
      <c r="J5" s="277">
        <f>[11]comparativ!J5</f>
        <v>493982643.44</v>
      </c>
    </row>
    <row r="6" spans="2:10">
      <c r="B6" t="s">
        <v>930</v>
      </c>
      <c r="C6" s="163">
        <f>[11]comparativ!C6</f>
        <v>70705652.599999994</v>
      </c>
      <c r="D6" s="163">
        <f>[11]comparativ!D6</f>
        <v>83958310.180000007</v>
      </c>
      <c r="E6" s="163">
        <f>[11]comparativ!E6</f>
        <v>77479854.739999995</v>
      </c>
      <c r="F6" s="163">
        <f>[11]comparativ!F6</f>
        <v>92002229.189999998</v>
      </c>
      <c r="G6" s="163">
        <f>[11]comparativ!G6</f>
        <v>351859609.5</v>
      </c>
      <c r="H6" s="163">
        <f>[11]comparativ!H6</f>
        <v>417810134.88</v>
      </c>
      <c r="I6" s="163">
        <f>[11]comparativ!I6</f>
        <v>385570749</v>
      </c>
      <c r="J6" s="163">
        <f>[11]comparativ!J6</f>
        <v>417810134.88</v>
      </c>
    </row>
    <row r="7" spans="2:10" ht="25.5">
      <c r="B7" s="276" t="s">
        <v>931</v>
      </c>
      <c r="C7" s="163">
        <f>[12]comparativ!C7</f>
        <v>82705196.530000001</v>
      </c>
      <c r="D7" s="163">
        <f>[12]comparativ!D7</f>
        <v>98227216.189999998</v>
      </c>
      <c r="E7" s="163">
        <f>[12]comparativ!E7</f>
        <v>90107310.180000007</v>
      </c>
      <c r="F7" s="163">
        <f>[12]comparativ!F7</f>
        <v>107017181.27</v>
      </c>
      <c r="G7" s="163">
        <f>[12]comparativ!G7</f>
        <v>411433541.00999999</v>
      </c>
      <c r="H7" s="163">
        <f>[12]comparativ!H7</f>
        <v>488650932.29000002</v>
      </c>
      <c r="I7" s="163">
        <f>[12]comparativ!I7</f>
        <v>448256836</v>
      </c>
      <c r="J7" s="163">
        <f>[12]comparativ!J7</f>
        <v>532378371.75</v>
      </c>
    </row>
    <row r="8" spans="2:10">
      <c r="B8" t="s">
        <v>930</v>
      </c>
      <c r="C8" s="163">
        <f>[12]comparativ!C8</f>
        <v>76599891.859999999</v>
      </c>
      <c r="D8" s="163">
        <f>[12]comparativ!D8</f>
        <v>90961903.879999995</v>
      </c>
      <c r="E8" s="163">
        <f>[12]comparativ!E8</f>
        <v>84002005.540000007</v>
      </c>
      <c r="F8" s="163">
        <f>[12]comparativ!F8</f>
        <v>99751868.75</v>
      </c>
      <c r="G8" s="163">
        <f>[12]comparativ!G8</f>
        <v>381061481.85000002</v>
      </c>
      <c r="H8" s="163">
        <f>[12]comparativ!H8</f>
        <v>452508183.13</v>
      </c>
      <c r="I8" s="163">
        <f>[12]comparativ!I8</f>
        <v>417884777</v>
      </c>
      <c r="J8" s="163">
        <f>[12]comparativ!J8</f>
        <v>452508183.13</v>
      </c>
    </row>
    <row r="9" spans="2:10" ht="25.5">
      <c r="B9" s="276" t="s">
        <v>932</v>
      </c>
      <c r="C9" s="163">
        <f>[13]comparativ!C9</f>
        <v>94360395.599999994</v>
      </c>
      <c r="D9" s="163">
        <f>[13]comparativ!D9</f>
        <v>112129641.08</v>
      </c>
      <c r="E9" s="163">
        <f>[13]comparativ!E9</f>
        <v>100491369.62</v>
      </c>
      <c r="F9" s="163">
        <f>[13]comparativ!F9</f>
        <v>119414439.22</v>
      </c>
      <c r="G9" s="163">
        <f>[13]comparativ!G9</f>
        <v>469584508.70999998</v>
      </c>
      <c r="H9" s="163">
        <f>[13]comparativ!H9</f>
        <v>558013158.97000003</v>
      </c>
      <c r="I9" s="163">
        <f>[13]comparativ!I9</f>
        <v>500095301</v>
      </c>
      <c r="J9" s="163">
        <f>[13]comparativ!J9</f>
        <v>594265956.88999999</v>
      </c>
    </row>
    <row r="10" spans="2:10">
      <c r="B10" t="s">
        <v>930</v>
      </c>
      <c r="C10" s="163">
        <f>[13]comparativ!C10</f>
        <v>88257299.209999993</v>
      </c>
      <c r="D10" s="163">
        <f>[13]comparativ!D10</f>
        <v>104866956.63</v>
      </c>
      <c r="E10" s="163">
        <f>[13]comparativ!E10</f>
        <v>94388273.269999996</v>
      </c>
      <c r="F10" s="163">
        <f>[13]comparativ!F10</f>
        <v>112151754.56999999</v>
      </c>
      <c r="G10" s="163">
        <f>[13]comparativ!G10</f>
        <v>439212449.55000001</v>
      </c>
      <c r="H10" s="163">
        <f>[13]comparativ!H10</f>
        <v>521870409.81</v>
      </c>
      <c r="I10" s="163">
        <f>[13]comparativ!I10</f>
        <v>469723242</v>
      </c>
      <c r="J10" s="163">
        <f>[13]comparativ!J10</f>
        <v>521870409.81</v>
      </c>
    </row>
    <row r="11" spans="2:10" ht="38.25">
      <c r="B11" s="276" t="s">
        <v>933</v>
      </c>
      <c r="C11" s="163">
        <v>101647664.73999999</v>
      </c>
      <c r="D11" s="163">
        <v>120801034.15000001</v>
      </c>
      <c r="E11" s="163">
        <v>111637268.76000001</v>
      </c>
      <c r="F11" s="163">
        <v>132671936.23999999</v>
      </c>
      <c r="G11" s="163">
        <v>505849603.48500001</v>
      </c>
      <c r="H11" s="163">
        <v>601166346.41499996</v>
      </c>
      <c r="I11" s="163">
        <v>555562868</v>
      </c>
      <c r="J11" s="163">
        <v>660241890.94000006</v>
      </c>
    </row>
    <row r="12" spans="2:10">
      <c r="B12" t="s">
        <v>930</v>
      </c>
      <c r="C12" s="163">
        <v>95367601.409999996</v>
      </c>
      <c r="D12" s="163">
        <v>113327758.93000001</v>
      </c>
      <c r="E12" s="163">
        <v>105357205.47</v>
      </c>
      <c r="F12" s="163">
        <v>125198660.93000001</v>
      </c>
      <c r="G12" s="163">
        <v>474596868.32499999</v>
      </c>
      <c r="H12" s="163">
        <v>563975592.255</v>
      </c>
      <c r="I12" s="163">
        <v>524310133</v>
      </c>
      <c r="J12" s="163">
        <v>563975592.255</v>
      </c>
    </row>
    <row r="13" spans="2:10" ht="41.25" customHeight="1">
      <c r="B13" s="276" t="s">
        <v>934</v>
      </c>
      <c r="C13" s="163">
        <f>'DEVIZ GENERAL'!D164</f>
        <v>92906933.249999985</v>
      </c>
      <c r="D13" s="163">
        <f>'DEVIZ GENERAL'!H164</f>
        <v>110399541.28052013</v>
      </c>
      <c r="E13" s="163">
        <f>'Deviz general curente'!D145</f>
        <v>102953403.46000001</v>
      </c>
      <c r="F13" s="277">
        <f>'Deviz general curente'!H145</f>
        <v>122336878.81999999</v>
      </c>
      <c r="G13" s="163">
        <f>'DEVIZ GENERAL'!C164</f>
        <v>462286318.46340001</v>
      </c>
      <c r="H13" s="163">
        <f>'DEVIZ GENERAL'!G164</f>
        <v>549326037.85929596</v>
      </c>
      <c r="I13" s="163">
        <f>'Deviz general curente'!C145</f>
        <v>512275545</v>
      </c>
      <c r="J13" s="277">
        <f>'Deviz general curente'!G145</f>
        <v>608723841.65999997</v>
      </c>
    </row>
    <row r="14" spans="2:10">
      <c r="B14" t="s">
        <v>930</v>
      </c>
      <c r="C14" s="53">
        <f>'DEVIZ GENERAL'!D176</f>
        <v>89327058.829999983</v>
      </c>
      <c r="D14" s="163">
        <f>'DEVIZ GENERAL'!H176</f>
        <v>106139490.72</v>
      </c>
      <c r="E14" s="163">
        <f>'Deviz general curente'!D156</f>
        <v>99373529.070000008</v>
      </c>
      <c r="F14" s="163">
        <f>'Deviz general curente'!H156</f>
        <v>118076828.3</v>
      </c>
      <c r="G14" s="163">
        <f>'DEVIZ GENERAL'!C176</f>
        <v>444473579.30339998</v>
      </c>
      <c r="H14" s="163">
        <f>'DEVIZ GENERAL'!G176</f>
        <v>528128878.25929594</v>
      </c>
      <c r="I14" s="163">
        <f>'Deviz general curente'!C156</f>
        <v>494462806</v>
      </c>
      <c r="J14" s="163">
        <f>'DEVIZ GENERAL'!G176</f>
        <v>528128878.25929594</v>
      </c>
    </row>
    <row r="15" spans="2:10">
      <c r="C15" s="53"/>
      <c r="D15" s="163"/>
      <c r="E15" s="163"/>
      <c r="F15" s="163"/>
      <c r="G15" s="163"/>
      <c r="H15" s="163"/>
      <c r="I15" s="163"/>
      <c r="J15" s="163"/>
    </row>
    <row r="16" spans="2:10">
      <c r="D16" s="278">
        <f>D13/D4</f>
        <v>1.2632219771711439</v>
      </c>
      <c r="F16" s="278">
        <f>F13/F4</f>
        <v>1.2953415214340342</v>
      </c>
      <c r="H16" s="278">
        <f>H13/H4</f>
        <v>1.2702936313875195</v>
      </c>
      <c r="J16" s="278">
        <f>J13/J4</f>
        <v>1.3025929837185251</v>
      </c>
    </row>
    <row r="18" spans="4:10">
      <c r="D18" s="274">
        <f>D13-D4</f>
        <v>23004338.160520121</v>
      </c>
      <c r="F18" s="274">
        <f>F13-F4</f>
        <v>27893153.519999996</v>
      </c>
      <c r="H18" s="274">
        <f>H13-H4</f>
        <v>116885833.25929594</v>
      </c>
      <c r="J18" s="274">
        <f>J13-J4</f>
        <v>141406844.50999999</v>
      </c>
    </row>
    <row r="22" spans="4:10">
      <c r="E22" t="s">
        <v>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"/>
  <sheetViews>
    <sheetView workbookViewId="0">
      <selection activeCell="D17" sqref="D17"/>
    </sheetView>
  </sheetViews>
  <sheetFormatPr defaultColWidth="9" defaultRowHeight="12.75"/>
  <cols>
    <col min="2" max="2" width="35.140625" customWidth="1"/>
    <col min="3" max="4" width="17.85546875" customWidth="1"/>
    <col min="5" max="5" width="17.28515625" customWidth="1"/>
  </cols>
  <sheetData>
    <row r="2" spans="2:5">
      <c r="B2" t="s">
        <v>935</v>
      </c>
    </row>
    <row r="3" spans="2:5">
      <c r="C3" s="273" t="s">
        <v>936</v>
      </c>
      <c r="D3" s="273" t="s">
        <v>5</v>
      </c>
      <c r="E3" s="273" t="s">
        <v>937</v>
      </c>
    </row>
    <row r="4" spans="2:5">
      <c r="B4" t="s">
        <v>180</v>
      </c>
      <c r="C4" s="274">
        <f>'D8.compostoare individuale'!E33</f>
        <v>17812739.16</v>
      </c>
      <c r="D4" s="274">
        <f>'D8.compostoare individuale'!G33</f>
        <v>3384420.44</v>
      </c>
      <c r="E4" s="274">
        <f>'D8.compostoare individuale'!I33</f>
        <v>21197159.600000001</v>
      </c>
    </row>
    <row r="5" spans="2:5">
      <c r="B5" t="s">
        <v>938</v>
      </c>
      <c r="C5" s="269">
        <f>'D7.C&amp;T'!E32</f>
        <v>0</v>
      </c>
      <c r="D5" s="274">
        <f>'D7.C&amp;T'!G32</f>
        <v>0</v>
      </c>
      <c r="E5" s="274">
        <f>'D7.C&amp;T'!I32</f>
        <v>0</v>
      </c>
    </row>
    <row r="6" spans="2:5">
      <c r="B6" t="s">
        <v>939</v>
      </c>
      <c r="C6" s="53">
        <f>'D7.C&amp;T'!E48</f>
        <v>0</v>
      </c>
      <c r="D6" s="274">
        <f>'D7.C&amp;T'!G48</f>
        <v>0</v>
      </c>
      <c r="E6" s="274">
        <f>'D7.C&amp;T'!I48</f>
        <v>0</v>
      </c>
    </row>
    <row r="7" spans="2:5">
      <c r="B7" t="s">
        <v>9</v>
      </c>
    </row>
    <row r="8" spans="2:5">
      <c r="B8" t="s">
        <v>257</v>
      </c>
      <c r="C8" s="274">
        <f>SUM(C4:C7)</f>
        <v>17812739.16</v>
      </c>
      <c r="D8" s="274">
        <f t="shared" ref="D8:E8" si="0">SUM(D4:D7)</f>
        <v>3384420.44</v>
      </c>
      <c r="E8" s="275">
        <f t="shared" si="0"/>
        <v>21197159.600000001</v>
      </c>
    </row>
  </sheetData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2:WVX100"/>
  <sheetViews>
    <sheetView view="pageBreakPreview" zoomScale="75" zoomScaleNormal="74" workbookViewId="0">
      <selection activeCell="O2" sqref="O2:S2"/>
    </sheetView>
  </sheetViews>
  <sheetFormatPr defaultColWidth="9.140625" defaultRowHeight="12.75"/>
  <cols>
    <col min="1" max="1" width="4.85546875" style="172" customWidth="1"/>
    <col min="2" max="2" width="2.140625" style="172" customWidth="1"/>
    <col min="3" max="3" width="34.7109375" style="173" customWidth="1"/>
    <col min="4" max="4" width="16.140625" style="174" customWidth="1"/>
    <col min="5" max="5" width="6.7109375" style="172" customWidth="1"/>
    <col min="6" max="6" width="44.7109375" style="172" customWidth="1"/>
    <col min="7" max="7" width="14.42578125" style="175" customWidth="1"/>
    <col min="8" max="13" width="16" style="175" customWidth="1"/>
    <col min="14" max="14" width="16" style="176" hidden="1" customWidth="1"/>
    <col min="15" max="15" width="16.28515625" style="176" customWidth="1"/>
    <col min="16" max="16" width="15.42578125" style="176" customWidth="1"/>
    <col min="17" max="17" width="18" style="176" customWidth="1"/>
    <col min="18" max="18" width="16.140625" style="176" customWidth="1"/>
    <col min="19" max="19" width="18.7109375" style="172" customWidth="1"/>
    <col min="20" max="20" width="20" style="172" customWidth="1"/>
    <col min="21" max="21" width="6.42578125" style="172" customWidth="1"/>
    <col min="22" max="23" width="15.42578125" style="172" customWidth="1"/>
    <col min="24" max="24" width="14.42578125" style="172" customWidth="1"/>
    <col min="25" max="25" width="15.42578125" style="172" customWidth="1"/>
    <col min="26" max="26" width="14.42578125" style="172" customWidth="1"/>
    <col min="27" max="27" width="17" style="172" customWidth="1"/>
    <col min="28" max="28" width="14.42578125" style="172" customWidth="1"/>
    <col min="29" max="30" width="18.42578125" style="172" customWidth="1"/>
    <col min="31" max="31" width="15.42578125" style="172" customWidth="1"/>
    <col min="32" max="32" width="13.28515625" style="172" customWidth="1"/>
    <col min="33" max="34" width="15.42578125" style="172" customWidth="1"/>
    <col min="35" max="262" width="9.140625" style="172"/>
    <col min="263" max="263" width="4.85546875" style="172" customWidth="1"/>
    <col min="264" max="264" width="2.140625" style="172" customWidth="1"/>
    <col min="265" max="265" width="34.7109375" style="172" customWidth="1"/>
    <col min="266" max="266" width="16.140625" style="172" customWidth="1"/>
    <col min="267" max="267" width="6.7109375" style="172" customWidth="1"/>
    <col min="268" max="268" width="44.7109375" style="172" customWidth="1"/>
    <col min="269" max="270" width="22.28515625" style="172" customWidth="1"/>
    <col min="271" max="272" width="9.140625" style="172" hidden="1" customWidth="1"/>
    <col min="273" max="273" width="9.140625" style="172" customWidth="1"/>
    <col min="274" max="274" width="11.7109375" style="172" customWidth="1"/>
    <col min="275" max="518" width="9.140625" style="172"/>
    <col min="519" max="519" width="4.85546875" style="172" customWidth="1"/>
    <col min="520" max="520" width="2.140625" style="172" customWidth="1"/>
    <col min="521" max="521" width="34.7109375" style="172" customWidth="1"/>
    <col min="522" max="522" width="16.140625" style="172" customWidth="1"/>
    <col min="523" max="523" width="6.7109375" style="172" customWidth="1"/>
    <col min="524" max="524" width="44.7109375" style="172" customWidth="1"/>
    <col min="525" max="526" width="22.28515625" style="172" customWidth="1"/>
    <col min="527" max="528" width="9.140625" style="172" hidden="1" customWidth="1"/>
    <col min="529" max="529" width="9.140625" style="172" customWidth="1"/>
    <col min="530" max="530" width="11.7109375" style="172" customWidth="1"/>
    <col min="531" max="774" width="9.140625" style="172"/>
    <col min="775" max="775" width="4.85546875" style="172" customWidth="1"/>
    <col min="776" max="776" width="2.140625" style="172" customWidth="1"/>
    <col min="777" max="777" width="34.7109375" style="172" customWidth="1"/>
    <col min="778" max="778" width="16.140625" style="172" customWidth="1"/>
    <col min="779" max="779" width="6.7109375" style="172" customWidth="1"/>
    <col min="780" max="780" width="44.7109375" style="172" customWidth="1"/>
    <col min="781" max="782" width="22.28515625" style="172" customWidth="1"/>
    <col min="783" max="784" width="9.140625" style="172" hidden="1" customWidth="1"/>
    <col min="785" max="785" width="9.140625" style="172" customWidth="1"/>
    <col min="786" max="786" width="11.7109375" style="172" customWidth="1"/>
    <col min="787" max="1030" width="9.140625" style="172"/>
    <col min="1031" max="1031" width="4.85546875" style="172" customWidth="1"/>
    <col min="1032" max="1032" width="2.140625" style="172" customWidth="1"/>
    <col min="1033" max="1033" width="34.7109375" style="172" customWidth="1"/>
    <col min="1034" max="1034" width="16.140625" style="172" customWidth="1"/>
    <col min="1035" max="1035" width="6.7109375" style="172" customWidth="1"/>
    <col min="1036" max="1036" width="44.7109375" style="172" customWidth="1"/>
    <col min="1037" max="1038" width="22.28515625" style="172" customWidth="1"/>
    <col min="1039" max="1040" width="9.140625" style="172" hidden="1" customWidth="1"/>
    <col min="1041" max="1041" width="9.140625" style="172" customWidth="1"/>
    <col min="1042" max="1042" width="11.7109375" style="172" customWidth="1"/>
    <col min="1043" max="1286" width="9.140625" style="172"/>
    <col min="1287" max="1287" width="4.85546875" style="172" customWidth="1"/>
    <col min="1288" max="1288" width="2.140625" style="172" customWidth="1"/>
    <col min="1289" max="1289" width="34.7109375" style="172" customWidth="1"/>
    <col min="1290" max="1290" width="16.140625" style="172" customWidth="1"/>
    <col min="1291" max="1291" width="6.7109375" style="172" customWidth="1"/>
    <col min="1292" max="1292" width="44.7109375" style="172" customWidth="1"/>
    <col min="1293" max="1294" width="22.28515625" style="172" customWidth="1"/>
    <col min="1295" max="1296" width="9.140625" style="172" hidden="1" customWidth="1"/>
    <col min="1297" max="1297" width="9.140625" style="172" customWidth="1"/>
    <col min="1298" max="1298" width="11.7109375" style="172" customWidth="1"/>
    <col min="1299" max="1542" width="9.140625" style="172"/>
    <col min="1543" max="1543" width="4.85546875" style="172" customWidth="1"/>
    <col min="1544" max="1544" width="2.140625" style="172" customWidth="1"/>
    <col min="1545" max="1545" width="34.7109375" style="172" customWidth="1"/>
    <col min="1546" max="1546" width="16.140625" style="172" customWidth="1"/>
    <col min="1547" max="1547" width="6.7109375" style="172" customWidth="1"/>
    <col min="1548" max="1548" width="44.7109375" style="172" customWidth="1"/>
    <col min="1549" max="1550" width="22.28515625" style="172" customWidth="1"/>
    <col min="1551" max="1552" width="9.140625" style="172" hidden="1" customWidth="1"/>
    <col min="1553" max="1553" width="9.140625" style="172" customWidth="1"/>
    <col min="1554" max="1554" width="11.7109375" style="172" customWidth="1"/>
    <col min="1555" max="1798" width="9.140625" style="172"/>
    <col min="1799" max="1799" width="4.85546875" style="172" customWidth="1"/>
    <col min="1800" max="1800" width="2.140625" style="172" customWidth="1"/>
    <col min="1801" max="1801" width="34.7109375" style="172" customWidth="1"/>
    <col min="1802" max="1802" width="16.140625" style="172" customWidth="1"/>
    <col min="1803" max="1803" width="6.7109375" style="172" customWidth="1"/>
    <col min="1804" max="1804" width="44.7109375" style="172" customWidth="1"/>
    <col min="1805" max="1806" width="22.28515625" style="172" customWidth="1"/>
    <col min="1807" max="1808" width="9.140625" style="172" hidden="1" customWidth="1"/>
    <col min="1809" max="1809" width="9.140625" style="172" customWidth="1"/>
    <col min="1810" max="1810" width="11.7109375" style="172" customWidth="1"/>
    <col min="1811" max="2054" width="9.140625" style="172"/>
    <col min="2055" max="2055" width="4.85546875" style="172" customWidth="1"/>
    <col min="2056" max="2056" width="2.140625" style="172" customWidth="1"/>
    <col min="2057" max="2057" width="34.7109375" style="172" customWidth="1"/>
    <col min="2058" max="2058" width="16.140625" style="172" customWidth="1"/>
    <col min="2059" max="2059" width="6.7109375" style="172" customWidth="1"/>
    <col min="2060" max="2060" width="44.7109375" style="172" customWidth="1"/>
    <col min="2061" max="2062" width="22.28515625" style="172" customWidth="1"/>
    <col min="2063" max="2064" width="9.140625" style="172" hidden="1" customWidth="1"/>
    <col min="2065" max="2065" width="9.140625" style="172" customWidth="1"/>
    <col min="2066" max="2066" width="11.7109375" style="172" customWidth="1"/>
    <col min="2067" max="2310" width="9.140625" style="172"/>
    <col min="2311" max="2311" width="4.85546875" style="172" customWidth="1"/>
    <col min="2312" max="2312" width="2.140625" style="172" customWidth="1"/>
    <col min="2313" max="2313" width="34.7109375" style="172" customWidth="1"/>
    <col min="2314" max="2314" width="16.140625" style="172" customWidth="1"/>
    <col min="2315" max="2315" width="6.7109375" style="172" customWidth="1"/>
    <col min="2316" max="2316" width="44.7109375" style="172" customWidth="1"/>
    <col min="2317" max="2318" width="22.28515625" style="172" customWidth="1"/>
    <col min="2319" max="2320" width="9.140625" style="172" hidden="1" customWidth="1"/>
    <col min="2321" max="2321" width="9.140625" style="172" customWidth="1"/>
    <col min="2322" max="2322" width="11.7109375" style="172" customWidth="1"/>
    <col min="2323" max="2566" width="9.140625" style="172"/>
    <col min="2567" max="2567" width="4.85546875" style="172" customWidth="1"/>
    <col min="2568" max="2568" width="2.140625" style="172" customWidth="1"/>
    <col min="2569" max="2569" width="34.7109375" style="172" customWidth="1"/>
    <col min="2570" max="2570" width="16.140625" style="172" customWidth="1"/>
    <col min="2571" max="2571" width="6.7109375" style="172" customWidth="1"/>
    <col min="2572" max="2572" width="44.7109375" style="172" customWidth="1"/>
    <col min="2573" max="2574" width="22.28515625" style="172" customWidth="1"/>
    <col min="2575" max="2576" width="9.140625" style="172" hidden="1" customWidth="1"/>
    <col min="2577" max="2577" width="9.140625" style="172" customWidth="1"/>
    <col min="2578" max="2578" width="11.7109375" style="172" customWidth="1"/>
    <col min="2579" max="2822" width="9.140625" style="172"/>
    <col min="2823" max="2823" width="4.85546875" style="172" customWidth="1"/>
    <col min="2824" max="2824" width="2.140625" style="172" customWidth="1"/>
    <col min="2825" max="2825" width="34.7109375" style="172" customWidth="1"/>
    <col min="2826" max="2826" width="16.140625" style="172" customWidth="1"/>
    <col min="2827" max="2827" width="6.7109375" style="172" customWidth="1"/>
    <col min="2828" max="2828" width="44.7109375" style="172" customWidth="1"/>
    <col min="2829" max="2830" width="22.28515625" style="172" customWidth="1"/>
    <col min="2831" max="2832" width="9.140625" style="172" hidden="1" customWidth="1"/>
    <col min="2833" max="2833" width="9.140625" style="172" customWidth="1"/>
    <col min="2834" max="2834" width="11.7109375" style="172" customWidth="1"/>
    <col min="2835" max="3078" width="9.140625" style="172"/>
    <col min="3079" max="3079" width="4.85546875" style="172" customWidth="1"/>
    <col min="3080" max="3080" width="2.140625" style="172" customWidth="1"/>
    <col min="3081" max="3081" width="34.7109375" style="172" customWidth="1"/>
    <col min="3082" max="3082" width="16.140625" style="172" customWidth="1"/>
    <col min="3083" max="3083" width="6.7109375" style="172" customWidth="1"/>
    <col min="3084" max="3084" width="44.7109375" style="172" customWidth="1"/>
    <col min="3085" max="3086" width="22.28515625" style="172" customWidth="1"/>
    <col min="3087" max="3088" width="9.140625" style="172" hidden="1" customWidth="1"/>
    <col min="3089" max="3089" width="9.140625" style="172" customWidth="1"/>
    <col min="3090" max="3090" width="11.7109375" style="172" customWidth="1"/>
    <col min="3091" max="3334" width="9.140625" style="172"/>
    <col min="3335" max="3335" width="4.85546875" style="172" customWidth="1"/>
    <col min="3336" max="3336" width="2.140625" style="172" customWidth="1"/>
    <col min="3337" max="3337" width="34.7109375" style="172" customWidth="1"/>
    <col min="3338" max="3338" width="16.140625" style="172" customWidth="1"/>
    <col min="3339" max="3339" width="6.7109375" style="172" customWidth="1"/>
    <col min="3340" max="3340" width="44.7109375" style="172" customWidth="1"/>
    <col min="3341" max="3342" width="22.28515625" style="172" customWidth="1"/>
    <col min="3343" max="3344" width="9.140625" style="172" hidden="1" customWidth="1"/>
    <col min="3345" max="3345" width="9.140625" style="172" customWidth="1"/>
    <col min="3346" max="3346" width="11.7109375" style="172" customWidth="1"/>
    <col min="3347" max="3590" width="9.140625" style="172"/>
    <col min="3591" max="3591" width="4.85546875" style="172" customWidth="1"/>
    <col min="3592" max="3592" width="2.140625" style="172" customWidth="1"/>
    <col min="3593" max="3593" width="34.7109375" style="172" customWidth="1"/>
    <col min="3594" max="3594" width="16.140625" style="172" customWidth="1"/>
    <col min="3595" max="3595" width="6.7109375" style="172" customWidth="1"/>
    <col min="3596" max="3596" width="44.7109375" style="172" customWidth="1"/>
    <col min="3597" max="3598" width="22.28515625" style="172" customWidth="1"/>
    <col min="3599" max="3600" width="9.140625" style="172" hidden="1" customWidth="1"/>
    <col min="3601" max="3601" width="9.140625" style="172" customWidth="1"/>
    <col min="3602" max="3602" width="11.7109375" style="172" customWidth="1"/>
    <col min="3603" max="3846" width="9.140625" style="172"/>
    <col min="3847" max="3847" width="4.85546875" style="172" customWidth="1"/>
    <col min="3848" max="3848" width="2.140625" style="172" customWidth="1"/>
    <col min="3849" max="3849" width="34.7109375" style="172" customWidth="1"/>
    <col min="3850" max="3850" width="16.140625" style="172" customWidth="1"/>
    <col min="3851" max="3851" width="6.7109375" style="172" customWidth="1"/>
    <col min="3852" max="3852" width="44.7109375" style="172" customWidth="1"/>
    <col min="3853" max="3854" width="22.28515625" style="172" customWidth="1"/>
    <col min="3855" max="3856" width="9.140625" style="172" hidden="1" customWidth="1"/>
    <col min="3857" max="3857" width="9.140625" style="172" customWidth="1"/>
    <col min="3858" max="3858" width="11.7109375" style="172" customWidth="1"/>
    <col min="3859" max="4102" width="9.140625" style="172"/>
    <col min="4103" max="4103" width="4.85546875" style="172" customWidth="1"/>
    <col min="4104" max="4104" width="2.140625" style="172" customWidth="1"/>
    <col min="4105" max="4105" width="34.7109375" style="172" customWidth="1"/>
    <col min="4106" max="4106" width="16.140625" style="172" customWidth="1"/>
    <col min="4107" max="4107" width="6.7109375" style="172" customWidth="1"/>
    <col min="4108" max="4108" width="44.7109375" style="172" customWidth="1"/>
    <col min="4109" max="4110" width="22.28515625" style="172" customWidth="1"/>
    <col min="4111" max="4112" width="9.140625" style="172" hidden="1" customWidth="1"/>
    <col min="4113" max="4113" width="9.140625" style="172" customWidth="1"/>
    <col min="4114" max="4114" width="11.7109375" style="172" customWidth="1"/>
    <col min="4115" max="4358" width="9.140625" style="172"/>
    <col min="4359" max="4359" width="4.85546875" style="172" customWidth="1"/>
    <col min="4360" max="4360" width="2.140625" style="172" customWidth="1"/>
    <col min="4361" max="4361" width="34.7109375" style="172" customWidth="1"/>
    <col min="4362" max="4362" width="16.140625" style="172" customWidth="1"/>
    <col min="4363" max="4363" width="6.7109375" style="172" customWidth="1"/>
    <col min="4364" max="4364" width="44.7109375" style="172" customWidth="1"/>
    <col min="4365" max="4366" width="22.28515625" style="172" customWidth="1"/>
    <col min="4367" max="4368" width="9.140625" style="172" hidden="1" customWidth="1"/>
    <col min="4369" max="4369" width="9.140625" style="172" customWidth="1"/>
    <col min="4370" max="4370" width="11.7109375" style="172" customWidth="1"/>
    <col min="4371" max="4614" width="9.140625" style="172"/>
    <col min="4615" max="4615" width="4.85546875" style="172" customWidth="1"/>
    <col min="4616" max="4616" width="2.140625" style="172" customWidth="1"/>
    <col min="4617" max="4617" width="34.7109375" style="172" customWidth="1"/>
    <col min="4618" max="4618" width="16.140625" style="172" customWidth="1"/>
    <col min="4619" max="4619" width="6.7109375" style="172" customWidth="1"/>
    <col min="4620" max="4620" width="44.7109375" style="172" customWidth="1"/>
    <col min="4621" max="4622" width="22.28515625" style="172" customWidth="1"/>
    <col min="4623" max="4624" width="9.140625" style="172" hidden="1" customWidth="1"/>
    <col min="4625" max="4625" width="9.140625" style="172" customWidth="1"/>
    <col min="4626" max="4626" width="11.7109375" style="172" customWidth="1"/>
    <col min="4627" max="4870" width="9.140625" style="172"/>
    <col min="4871" max="4871" width="4.85546875" style="172" customWidth="1"/>
    <col min="4872" max="4872" width="2.140625" style="172" customWidth="1"/>
    <col min="4873" max="4873" width="34.7109375" style="172" customWidth="1"/>
    <col min="4874" max="4874" width="16.140625" style="172" customWidth="1"/>
    <col min="4875" max="4875" width="6.7109375" style="172" customWidth="1"/>
    <col min="4876" max="4876" width="44.7109375" style="172" customWidth="1"/>
    <col min="4877" max="4878" width="22.28515625" style="172" customWidth="1"/>
    <col min="4879" max="4880" width="9.140625" style="172" hidden="1" customWidth="1"/>
    <col min="4881" max="4881" width="9.140625" style="172" customWidth="1"/>
    <col min="4882" max="4882" width="11.7109375" style="172" customWidth="1"/>
    <col min="4883" max="5126" width="9.140625" style="172"/>
    <col min="5127" max="5127" width="4.85546875" style="172" customWidth="1"/>
    <col min="5128" max="5128" width="2.140625" style="172" customWidth="1"/>
    <col min="5129" max="5129" width="34.7109375" style="172" customWidth="1"/>
    <col min="5130" max="5130" width="16.140625" style="172" customWidth="1"/>
    <col min="5131" max="5131" width="6.7109375" style="172" customWidth="1"/>
    <col min="5132" max="5132" width="44.7109375" style="172" customWidth="1"/>
    <col min="5133" max="5134" width="22.28515625" style="172" customWidth="1"/>
    <col min="5135" max="5136" width="9.140625" style="172" hidden="1" customWidth="1"/>
    <col min="5137" max="5137" width="9.140625" style="172" customWidth="1"/>
    <col min="5138" max="5138" width="11.7109375" style="172" customWidth="1"/>
    <col min="5139" max="5382" width="9.140625" style="172"/>
    <col min="5383" max="5383" width="4.85546875" style="172" customWidth="1"/>
    <col min="5384" max="5384" width="2.140625" style="172" customWidth="1"/>
    <col min="5385" max="5385" width="34.7109375" style="172" customWidth="1"/>
    <col min="5386" max="5386" width="16.140625" style="172" customWidth="1"/>
    <col min="5387" max="5387" width="6.7109375" style="172" customWidth="1"/>
    <col min="5388" max="5388" width="44.7109375" style="172" customWidth="1"/>
    <col min="5389" max="5390" width="22.28515625" style="172" customWidth="1"/>
    <col min="5391" max="5392" width="9.140625" style="172" hidden="1" customWidth="1"/>
    <col min="5393" max="5393" width="9.140625" style="172" customWidth="1"/>
    <col min="5394" max="5394" width="11.7109375" style="172" customWidth="1"/>
    <col min="5395" max="5638" width="9.140625" style="172"/>
    <col min="5639" max="5639" width="4.85546875" style="172" customWidth="1"/>
    <col min="5640" max="5640" width="2.140625" style="172" customWidth="1"/>
    <col min="5641" max="5641" width="34.7109375" style="172" customWidth="1"/>
    <col min="5642" max="5642" width="16.140625" style="172" customWidth="1"/>
    <col min="5643" max="5643" width="6.7109375" style="172" customWidth="1"/>
    <col min="5644" max="5644" width="44.7109375" style="172" customWidth="1"/>
    <col min="5645" max="5646" width="22.28515625" style="172" customWidth="1"/>
    <col min="5647" max="5648" width="9.140625" style="172" hidden="1" customWidth="1"/>
    <col min="5649" max="5649" width="9.140625" style="172" customWidth="1"/>
    <col min="5650" max="5650" width="11.7109375" style="172" customWidth="1"/>
    <col min="5651" max="5894" width="9.140625" style="172"/>
    <col min="5895" max="5895" width="4.85546875" style="172" customWidth="1"/>
    <col min="5896" max="5896" width="2.140625" style="172" customWidth="1"/>
    <col min="5897" max="5897" width="34.7109375" style="172" customWidth="1"/>
    <col min="5898" max="5898" width="16.140625" style="172" customWidth="1"/>
    <col min="5899" max="5899" width="6.7109375" style="172" customWidth="1"/>
    <col min="5900" max="5900" width="44.7109375" style="172" customWidth="1"/>
    <col min="5901" max="5902" width="22.28515625" style="172" customWidth="1"/>
    <col min="5903" max="5904" width="9.140625" style="172" hidden="1" customWidth="1"/>
    <col min="5905" max="5905" width="9.140625" style="172" customWidth="1"/>
    <col min="5906" max="5906" width="11.7109375" style="172" customWidth="1"/>
    <col min="5907" max="6150" width="9.140625" style="172"/>
    <col min="6151" max="6151" width="4.85546875" style="172" customWidth="1"/>
    <col min="6152" max="6152" width="2.140625" style="172" customWidth="1"/>
    <col min="6153" max="6153" width="34.7109375" style="172" customWidth="1"/>
    <col min="6154" max="6154" width="16.140625" style="172" customWidth="1"/>
    <col min="6155" max="6155" width="6.7109375" style="172" customWidth="1"/>
    <col min="6156" max="6156" width="44.7109375" style="172" customWidth="1"/>
    <col min="6157" max="6158" width="22.28515625" style="172" customWidth="1"/>
    <col min="6159" max="6160" width="9.140625" style="172" hidden="1" customWidth="1"/>
    <col min="6161" max="6161" width="9.140625" style="172" customWidth="1"/>
    <col min="6162" max="6162" width="11.7109375" style="172" customWidth="1"/>
    <col min="6163" max="6406" width="9.140625" style="172"/>
    <col min="6407" max="6407" width="4.85546875" style="172" customWidth="1"/>
    <col min="6408" max="6408" width="2.140625" style="172" customWidth="1"/>
    <col min="6409" max="6409" width="34.7109375" style="172" customWidth="1"/>
    <col min="6410" max="6410" width="16.140625" style="172" customWidth="1"/>
    <col min="6411" max="6411" width="6.7109375" style="172" customWidth="1"/>
    <col min="6412" max="6412" width="44.7109375" style="172" customWidth="1"/>
    <col min="6413" max="6414" width="22.28515625" style="172" customWidth="1"/>
    <col min="6415" max="6416" width="9.140625" style="172" hidden="1" customWidth="1"/>
    <col min="6417" max="6417" width="9.140625" style="172" customWidth="1"/>
    <col min="6418" max="6418" width="11.7109375" style="172" customWidth="1"/>
    <col min="6419" max="6662" width="9.140625" style="172"/>
    <col min="6663" max="6663" width="4.85546875" style="172" customWidth="1"/>
    <col min="6664" max="6664" width="2.140625" style="172" customWidth="1"/>
    <col min="6665" max="6665" width="34.7109375" style="172" customWidth="1"/>
    <col min="6666" max="6666" width="16.140625" style="172" customWidth="1"/>
    <col min="6667" max="6667" width="6.7109375" style="172" customWidth="1"/>
    <col min="6668" max="6668" width="44.7109375" style="172" customWidth="1"/>
    <col min="6669" max="6670" width="22.28515625" style="172" customWidth="1"/>
    <col min="6671" max="6672" width="9.140625" style="172" hidden="1" customWidth="1"/>
    <col min="6673" max="6673" width="9.140625" style="172" customWidth="1"/>
    <col min="6674" max="6674" width="11.7109375" style="172" customWidth="1"/>
    <col min="6675" max="6918" width="9.140625" style="172"/>
    <col min="6919" max="6919" width="4.85546875" style="172" customWidth="1"/>
    <col min="6920" max="6920" width="2.140625" style="172" customWidth="1"/>
    <col min="6921" max="6921" width="34.7109375" style="172" customWidth="1"/>
    <col min="6922" max="6922" width="16.140625" style="172" customWidth="1"/>
    <col min="6923" max="6923" width="6.7109375" style="172" customWidth="1"/>
    <col min="6924" max="6924" width="44.7109375" style="172" customWidth="1"/>
    <col min="6925" max="6926" width="22.28515625" style="172" customWidth="1"/>
    <col min="6927" max="6928" width="9.140625" style="172" hidden="1" customWidth="1"/>
    <col min="6929" max="6929" width="9.140625" style="172" customWidth="1"/>
    <col min="6930" max="6930" width="11.7109375" style="172" customWidth="1"/>
    <col min="6931" max="7174" width="9.140625" style="172"/>
    <col min="7175" max="7175" width="4.85546875" style="172" customWidth="1"/>
    <col min="7176" max="7176" width="2.140625" style="172" customWidth="1"/>
    <col min="7177" max="7177" width="34.7109375" style="172" customWidth="1"/>
    <col min="7178" max="7178" width="16.140625" style="172" customWidth="1"/>
    <col min="7179" max="7179" width="6.7109375" style="172" customWidth="1"/>
    <col min="7180" max="7180" width="44.7109375" style="172" customWidth="1"/>
    <col min="7181" max="7182" width="22.28515625" style="172" customWidth="1"/>
    <col min="7183" max="7184" width="9.140625" style="172" hidden="1" customWidth="1"/>
    <col min="7185" max="7185" width="9.140625" style="172" customWidth="1"/>
    <col min="7186" max="7186" width="11.7109375" style="172" customWidth="1"/>
    <col min="7187" max="7430" width="9.140625" style="172"/>
    <col min="7431" max="7431" width="4.85546875" style="172" customWidth="1"/>
    <col min="7432" max="7432" width="2.140625" style="172" customWidth="1"/>
    <col min="7433" max="7433" width="34.7109375" style="172" customWidth="1"/>
    <col min="7434" max="7434" width="16.140625" style="172" customWidth="1"/>
    <col min="7435" max="7435" width="6.7109375" style="172" customWidth="1"/>
    <col min="7436" max="7436" width="44.7109375" style="172" customWidth="1"/>
    <col min="7437" max="7438" width="22.28515625" style="172" customWidth="1"/>
    <col min="7439" max="7440" width="9.140625" style="172" hidden="1" customWidth="1"/>
    <col min="7441" max="7441" width="9.140625" style="172" customWidth="1"/>
    <col min="7442" max="7442" width="11.7109375" style="172" customWidth="1"/>
    <col min="7443" max="7686" width="9.140625" style="172"/>
    <col min="7687" max="7687" width="4.85546875" style="172" customWidth="1"/>
    <col min="7688" max="7688" width="2.140625" style="172" customWidth="1"/>
    <col min="7689" max="7689" width="34.7109375" style="172" customWidth="1"/>
    <col min="7690" max="7690" width="16.140625" style="172" customWidth="1"/>
    <col min="7691" max="7691" width="6.7109375" style="172" customWidth="1"/>
    <col min="7692" max="7692" width="44.7109375" style="172" customWidth="1"/>
    <col min="7693" max="7694" width="22.28515625" style="172" customWidth="1"/>
    <col min="7695" max="7696" width="9.140625" style="172" hidden="1" customWidth="1"/>
    <col min="7697" max="7697" width="9.140625" style="172" customWidth="1"/>
    <col min="7698" max="7698" width="11.7109375" style="172" customWidth="1"/>
    <col min="7699" max="7942" width="9.140625" style="172"/>
    <col min="7943" max="7943" width="4.85546875" style="172" customWidth="1"/>
    <col min="7944" max="7944" width="2.140625" style="172" customWidth="1"/>
    <col min="7945" max="7945" width="34.7109375" style="172" customWidth="1"/>
    <col min="7946" max="7946" width="16.140625" style="172" customWidth="1"/>
    <col min="7947" max="7947" width="6.7109375" style="172" customWidth="1"/>
    <col min="7948" max="7948" width="44.7109375" style="172" customWidth="1"/>
    <col min="7949" max="7950" width="22.28515625" style="172" customWidth="1"/>
    <col min="7951" max="7952" width="9.140625" style="172" hidden="1" customWidth="1"/>
    <col min="7953" max="7953" width="9.140625" style="172" customWidth="1"/>
    <col min="7954" max="7954" width="11.7109375" style="172" customWidth="1"/>
    <col min="7955" max="8198" width="9.140625" style="172"/>
    <col min="8199" max="8199" width="4.85546875" style="172" customWidth="1"/>
    <col min="8200" max="8200" width="2.140625" style="172" customWidth="1"/>
    <col min="8201" max="8201" width="34.7109375" style="172" customWidth="1"/>
    <col min="8202" max="8202" width="16.140625" style="172" customWidth="1"/>
    <col min="8203" max="8203" width="6.7109375" style="172" customWidth="1"/>
    <col min="8204" max="8204" width="44.7109375" style="172" customWidth="1"/>
    <col min="8205" max="8206" width="22.28515625" style="172" customWidth="1"/>
    <col min="8207" max="8208" width="9.140625" style="172" hidden="1" customWidth="1"/>
    <col min="8209" max="8209" width="9.140625" style="172" customWidth="1"/>
    <col min="8210" max="8210" width="11.7109375" style="172" customWidth="1"/>
    <col min="8211" max="8454" width="9.140625" style="172"/>
    <col min="8455" max="8455" width="4.85546875" style="172" customWidth="1"/>
    <col min="8456" max="8456" width="2.140625" style="172" customWidth="1"/>
    <col min="8457" max="8457" width="34.7109375" style="172" customWidth="1"/>
    <col min="8458" max="8458" width="16.140625" style="172" customWidth="1"/>
    <col min="8459" max="8459" width="6.7109375" style="172" customWidth="1"/>
    <col min="8460" max="8460" width="44.7109375" style="172" customWidth="1"/>
    <col min="8461" max="8462" width="22.28515625" style="172" customWidth="1"/>
    <col min="8463" max="8464" width="9.140625" style="172" hidden="1" customWidth="1"/>
    <col min="8465" max="8465" width="9.140625" style="172" customWidth="1"/>
    <col min="8466" max="8466" width="11.7109375" style="172" customWidth="1"/>
    <col min="8467" max="8710" width="9.140625" style="172"/>
    <col min="8711" max="8711" width="4.85546875" style="172" customWidth="1"/>
    <col min="8712" max="8712" width="2.140625" style="172" customWidth="1"/>
    <col min="8713" max="8713" width="34.7109375" style="172" customWidth="1"/>
    <col min="8714" max="8714" width="16.140625" style="172" customWidth="1"/>
    <col min="8715" max="8715" width="6.7109375" style="172" customWidth="1"/>
    <col min="8716" max="8716" width="44.7109375" style="172" customWidth="1"/>
    <col min="8717" max="8718" width="22.28515625" style="172" customWidth="1"/>
    <col min="8719" max="8720" width="9.140625" style="172" hidden="1" customWidth="1"/>
    <col min="8721" max="8721" width="9.140625" style="172" customWidth="1"/>
    <col min="8722" max="8722" width="11.7109375" style="172" customWidth="1"/>
    <col min="8723" max="8966" width="9.140625" style="172"/>
    <col min="8967" max="8967" width="4.85546875" style="172" customWidth="1"/>
    <col min="8968" max="8968" width="2.140625" style="172" customWidth="1"/>
    <col min="8969" max="8969" width="34.7109375" style="172" customWidth="1"/>
    <col min="8970" max="8970" width="16.140625" style="172" customWidth="1"/>
    <col min="8971" max="8971" width="6.7109375" style="172" customWidth="1"/>
    <col min="8972" max="8972" width="44.7109375" style="172" customWidth="1"/>
    <col min="8973" max="8974" width="22.28515625" style="172" customWidth="1"/>
    <col min="8975" max="8976" width="9.140625" style="172" hidden="1" customWidth="1"/>
    <col min="8977" max="8977" width="9.140625" style="172" customWidth="1"/>
    <col min="8978" max="8978" width="11.7109375" style="172" customWidth="1"/>
    <col min="8979" max="9222" width="9.140625" style="172"/>
    <col min="9223" max="9223" width="4.85546875" style="172" customWidth="1"/>
    <col min="9224" max="9224" width="2.140625" style="172" customWidth="1"/>
    <col min="9225" max="9225" width="34.7109375" style="172" customWidth="1"/>
    <col min="9226" max="9226" width="16.140625" style="172" customWidth="1"/>
    <col min="9227" max="9227" width="6.7109375" style="172" customWidth="1"/>
    <col min="9228" max="9228" width="44.7109375" style="172" customWidth="1"/>
    <col min="9229" max="9230" width="22.28515625" style="172" customWidth="1"/>
    <col min="9231" max="9232" width="9.140625" style="172" hidden="1" customWidth="1"/>
    <col min="9233" max="9233" width="9.140625" style="172" customWidth="1"/>
    <col min="9234" max="9234" width="11.7109375" style="172" customWidth="1"/>
    <col min="9235" max="9478" width="9.140625" style="172"/>
    <col min="9479" max="9479" width="4.85546875" style="172" customWidth="1"/>
    <col min="9480" max="9480" width="2.140625" style="172" customWidth="1"/>
    <col min="9481" max="9481" width="34.7109375" style="172" customWidth="1"/>
    <col min="9482" max="9482" width="16.140625" style="172" customWidth="1"/>
    <col min="9483" max="9483" width="6.7109375" style="172" customWidth="1"/>
    <col min="9484" max="9484" width="44.7109375" style="172" customWidth="1"/>
    <col min="9485" max="9486" width="22.28515625" style="172" customWidth="1"/>
    <col min="9487" max="9488" width="9.140625" style="172" hidden="1" customWidth="1"/>
    <col min="9489" max="9489" width="9.140625" style="172" customWidth="1"/>
    <col min="9490" max="9490" width="11.7109375" style="172" customWidth="1"/>
    <col min="9491" max="9734" width="9.140625" style="172"/>
    <col min="9735" max="9735" width="4.85546875" style="172" customWidth="1"/>
    <col min="9736" max="9736" width="2.140625" style="172" customWidth="1"/>
    <col min="9737" max="9737" width="34.7109375" style="172" customWidth="1"/>
    <col min="9738" max="9738" width="16.140625" style="172" customWidth="1"/>
    <col min="9739" max="9739" width="6.7109375" style="172" customWidth="1"/>
    <col min="9740" max="9740" width="44.7109375" style="172" customWidth="1"/>
    <col min="9741" max="9742" width="22.28515625" style="172" customWidth="1"/>
    <col min="9743" max="9744" width="9.140625" style="172" hidden="1" customWidth="1"/>
    <col min="9745" max="9745" width="9.140625" style="172" customWidth="1"/>
    <col min="9746" max="9746" width="11.7109375" style="172" customWidth="1"/>
    <col min="9747" max="9990" width="9.140625" style="172"/>
    <col min="9991" max="9991" width="4.85546875" style="172" customWidth="1"/>
    <col min="9992" max="9992" width="2.140625" style="172" customWidth="1"/>
    <col min="9993" max="9993" width="34.7109375" style="172" customWidth="1"/>
    <col min="9994" max="9994" width="16.140625" style="172" customWidth="1"/>
    <col min="9995" max="9995" width="6.7109375" style="172" customWidth="1"/>
    <col min="9996" max="9996" width="44.7109375" style="172" customWidth="1"/>
    <col min="9997" max="9998" width="22.28515625" style="172" customWidth="1"/>
    <col min="9999" max="10000" width="9.140625" style="172" hidden="1" customWidth="1"/>
    <col min="10001" max="10001" width="9.140625" style="172" customWidth="1"/>
    <col min="10002" max="10002" width="11.7109375" style="172" customWidth="1"/>
    <col min="10003" max="10246" width="9.140625" style="172"/>
    <col min="10247" max="10247" width="4.85546875" style="172" customWidth="1"/>
    <col min="10248" max="10248" width="2.140625" style="172" customWidth="1"/>
    <col min="10249" max="10249" width="34.7109375" style="172" customWidth="1"/>
    <col min="10250" max="10250" width="16.140625" style="172" customWidth="1"/>
    <col min="10251" max="10251" width="6.7109375" style="172" customWidth="1"/>
    <col min="10252" max="10252" width="44.7109375" style="172" customWidth="1"/>
    <col min="10253" max="10254" width="22.28515625" style="172" customWidth="1"/>
    <col min="10255" max="10256" width="9.140625" style="172" hidden="1" customWidth="1"/>
    <col min="10257" max="10257" width="9.140625" style="172" customWidth="1"/>
    <col min="10258" max="10258" width="11.7109375" style="172" customWidth="1"/>
    <col min="10259" max="10502" width="9.140625" style="172"/>
    <col min="10503" max="10503" width="4.85546875" style="172" customWidth="1"/>
    <col min="10504" max="10504" width="2.140625" style="172" customWidth="1"/>
    <col min="10505" max="10505" width="34.7109375" style="172" customWidth="1"/>
    <col min="10506" max="10506" width="16.140625" style="172" customWidth="1"/>
    <col min="10507" max="10507" width="6.7109375" style="172" customWidth="1"/>
    <col min="10508" max="10508" width="44.7109375" style="172" customWidth="1"/>
    <col min="10509" max="10510" width="22.28515625" style="172" customWidth="1"/>
    <col min="10511" max="10512" width="9.140625" style="172" hidden="1" customWidth="1"/>
    <col min="10513" max="10513" width="9.140625" style="172" customWidth="1"/>
    <col min="10514" max="10514" width="11.7109375" style="172" customWidth="1"/>
    <col min="10515" max="10758" width="9.140625" style="172"/>
    <col min="10759" max="10759" width="4.85546875" style="172" customWidth="1"/>
    <col min="10760" max="10760" width="2.140625" style="172" customWidth="1"/>
    <col min="10761" max="10761" width="34.7109375" style="172" customWidth="1"/>
    <col min="10762" max="10762" width="16.140625" style="172" customWidth="1"/>
    <col min="10763" max="10763" width="6.7109375" style="172" customWidth="1"/>
    <col min="10764" max="10764" width="44.7109375" style="172" customWidth="1"/>
    <col min="10765" max="10766" width="22.28515625" style="172" customWidth="1"/>
    <col min="10767" max="10768" width="9.140625" style="172" hidden="1" customWidth="1"/>
    <col min="10769" max="10769" width="9.140625" style="172" customWidth="1"/>
    <col min="10770" max="10770" width="11.7109375" style="172" customWidth="1"/>
    <col min="10771" max="11014" width="9.140625" style="172"/>
    <col min="11015" max="11015" width="4.85546875" style="172" customWidth="1"/>
    <col min="11016" max="11016" width="2.140625" style="172" customWidth="1"/>
    <col min="11017" max="11017" width="34.7109375" style="172" customWidth="1"/>
    <col min="11018" max="11018" width="16.140625" style="172" customWidth="1"/>
    <col min="11019" max="11019" width="6.7109375" style="172" customWidth="1"/>
    <col min="11020" max="11020" width="44.7109375" style="172" customWidth="1"/>
    <col min="11021" max="11022" width="22.28515625" style="172" customWidth="1"/>
    <col min="11023" max="11024" width="9.140625" style="172" hidden="1" customWidth="1"/>
    <col min="11025" max="11025" width="9.140625" style="172" customWidth="1"/>
    <col min="11026" max="11026" width="11.7109375" style="172" customWidth="1"/>
    <col min="11027" max="11270" width="9.140625" style="172"/>
    <col min="11271" max="11271" width="4.85546875" style="172" customWidth="1"/>
    <col min="11272" max="11272" width="2.140625" style="172" customWidth="1"/>
    <col min="11273" max="11273" width="34.7109375" style="172" customWidth="1"/>
    <col min="11274" max="11274" width="16.140625" style="172" customWidth="1"/>
    <col min="11275" max="11275" width="6.7109375" style="172" customWidth="1"/>
    <col min="11276" max="11276" width="44.7109375" style="172" customWidth="1"/>
    <col min="11277" max="11278" width="22.28515625" style="172" customWidth="1"/>
    <col min="11279" max="11280" width="9.140625" style="172" hidden="1" customWidth="1"/>
    <col min="11281" max="11281" width="9.140625" style="172" customWidth="1"/>
    <col min="11282" max="11282" width="11.7109375" style="172" customWidth="1"/>
    <col min="11283" max="11526" width="9.140625" style="172"/>
    <col min="11527" max="11527" width="4.85546875" style="172" customWidth="1"/>
    <col min="11528" max="11528" width="2.140625" style="172" customWidth="1"/>
    <col min="11529" max="11529" width="34.7109375" style="172" customWidth="1"/>
    <col min="11530" max="11530" width="16.140625" style="172" customWidth="1"/>
    <col min="11531" max="11531" width="6.7109375" style="172" customWidth="1"/>
    <col min="11532" max="11532" width="44.7109375" style="172" customWidth="1"/>
    <col min="11533" max="11534" width="22.28515625" style="172" customWidth="1"/>
    <col min="11535" max="11536" width="9.140625" style="172" hidden="1" customWidth="1"/>
    <col min="11537" max="11537" width="9.140625" style="172" customWidth="1"/>
    <col min="11538" max="11538" width="11.7109375" style="172" customWidth="1"/>
    <col min="11539" max="11782" width="9.140625" style="172"/>
    <col min="11783" max="11783" width="4.85546875" style="172" customWidth="1"/>
    <col min="11784" max="11784" width="2.140625" style="172" customWidth="1"/>
    <col min="11785" max="11785" width="34.7109375" style="172" customWidth="1"/>
    <col min="11786" max="11786" width="16.140625" style="172" customWidth="1"/>
    <col min="11787" max="11787" width="6.7109375" style="172" customWidth="1"/>
    <col min="11788" max="11788" width="44.7109375" style="172" customWidth="1"/>
    <col min="11789" max="11790" width="22.28515625" style="172" customWidth="1"/>
    <col min="11791" max="11792" width="9.140625" style="172" hidden="1" customWidth="1"/>
    <col min="11793" max="11793" width="9.140625" style="172" customWidth="1"/>
    <col min="11794" max="11794" width="11.7109375" style="172" customWidth="1"/>
    <col min="11795" max="12038" width="9.140625" style="172"/>
    <col min="12039" max="12039" width="4.85546875" style="172" customWidth="1"/>
    <col min="12040" max="12040" width="2.140625" style="172" customWidth="1"/>
    <col min="12041" max="12041" width="34.7109375" style="172" customWidth="1"/>
    <col min="12042" max="12042" width="16.140625" style="172" customWidth="1"/>
    <col min="12043" max="12043" width="6.7109375" style="172" customWidth="1"/>
    <col min="12044" max="12044" width="44.7109375" style="172" customWidth="1"/>
    <col min="12045" max="12046" width="22.28515625" style="172" customWidth="1"/>
    <col min="12047" max="12048" width="9.140625" style="172" hidden="1" customWidth="1"/>
    <col min="12049" max="12049" width="9.140625" style="172" customWidth="1"/>
    <col min="12050" max="12050" width="11.7109375" style="172" customWidth="1"/>
    <col min="12051" max="12294" width="9.140625" style="172"/>
    <col min="12295" max="12295" width="4.85546875" style="172" customWidth="1"/>
    <col min="12296" max="12296" width="2.140625" style="172" customWidth="1"/>
    <col min="12297" max="12297" width="34.7109375" style="172" customWidth="1"/>
    <col min="12298" max="12298" width="16.140625" style="172" customWidth="1"/>
    <col min="12299" max="12299" width="6.7109375" style="172" customWidth="1"/>
    <col min="12300" max="12300" width="44.7109375" style="172" customWidth="1"/>
    <col min="12301" max="12302" width="22.28515625" style="172" customWidth="1"/>
    <col min="12303" max="12304" width="9.140625" style="172" hidden="1" customWidth="1"/>
    <col min="12305" max="12305" width="9.140625" style="172" customWidth="1"/>
    <col min="12306" max="12306" width="11.7109375" style="172" customWidth="1"/>
    <col min="12307" max="12550" width="9.140625" style="172"/>
    <col min="12551" max="12551" width="4.85546875" style="172" customWidth="1"/>
    <col min="12552" max="12552" width="2.140625" style="172" customWidth="1"/>
    <col min="12553" max="12553" width="34.7109375" style="172" customWidth="1"/>
    <col min="12554" max="12554" width="16.140625" style="172" customWidth="1"/>
    <col min="12555" max="12555" width="6.7109375" style="172" customWidth="1"/>
    <col min="12556" max="12556" width="44.7109375" style="172" customWidth="1"/>
    <col min="12557" max="12558" width="22.28515625" style="172" customWidth="1"/>
    <col min="12559" max="12560" width="9.140625" style="172" hidden="1" customWidth="1"/>
    <col min="12561" max="12561" width="9.140625" style="172" customWidth="1"/>
    <col min="12562" max="12562" width="11.7109375" style="172" customWidth="1"/>
    <col min="12563" max="12806" width="9.140625" style="172"/>
    <col min="12807" max="12807" width="4.85546875" style="172" customWidth="1"/>
    <col min="12808" max="12808" width="2.140625" style="172" customWidth="1"/>
    <col min="12809" max="12809" width="34.7109375" style="172" customWidth="1"/>
    <col min="12810" max="12810" width="16.140625" style="172" customWidth="1"/>
    <col min="12811" max="12811" width="6.7109375" style="172" customWidth="1"/>
    <col min="12812" max="12812" width="44.7109375" style="172" customWidth="1"/>
    <col min="12813" max="12814" width="22.28515625" style="172" customWidth="1"/>
    <col min="12815" max="12816" width="9.140625" style="172" hidden="1" customWidth="1"/>
    <col min="12817" max="12817" width="9.140625" style="172" customWidth="1"/>
    <col min="12818" max="12818" width="11.7109375" style="172" customWidth="1"/>
    <col min="12819" max="13062" width="9.140625" style="172"/>
    <col min="13063" max="13063" width="4.85546875" style="172" customWidth="1"/>
    <col min="13064" max="13064" width="2.140625" style="172" customWidth="1"/>
    <col min="13065" max="13065" width="34.7109375" style="172" customWidth="1"/>
    <col min="13066" max="13066" width="16.140625" style="172" customWidth="1"/>
    <col min="13067" max="13067" width="6.7109375" style="172" customWidth="1"/>
    <col min="13068" max="13068" width="44.7109375" style="172" customWidth="1"/>
    <col min="13069" max="13070" width="22.28515625" style="172" customWidth="1"/>
    <col min="13071" max="13072" width="9.140625" style="172" hidden="1" customWidth="1"/>
    <col min="13073" max="13073" width="9.140625" style="172" customWidth="1"/>
    <col min="13074" max="13074" width="11.7109375" style="172" customWidth="1"/>
    <col min="13075" max="13318" width="9.140625" style="172"/>
    <col min="13319" max="13319" width="4.85546875" style="172" customWidth="1"/>
    <col min="13320" max="13320" width="2.140625" style="172" customWidth="1"/>
    <col min="13321" max="13321" width="34.7109375" style="172" customWidth="1"/>
    <col min="13322" max="13322" width="16.140625" style="172" customWidth="1"/>
    <col min="13323" max="13323" width="6.7109375" style="172" customWidth="1"/>
    <col min="13324" max="13324" width="44.7109375" style="172" customWidth="1"/>
    <col min="13325" max="13326" width="22.28515625" style="172" customWidth="1"/>
    <col min="13327" max="13328" width="9.140625" style="172" hidden="1" customWidth="1"/>
    <col min="13329" max="13329" width="9.140625" style="172" customWidth="1"/>
    <col min="13330" max="13330" width="11.7109375" style="172" customWidth="1"/>
    <col min="13331" max="13574" width="9.140625" style="172"/>
    <col min="13575" max="13575" width="4.85546875" style="172" customWidth="1"/>
    <col min="13576" max="13576" width="2.140625" style="172" customWidth="1"/>
    <col min="13577" max="13577" width="34.7109375" style="172" customWidth="1"/>
    <col min="13578" max="13578" width="16.140625" style="172" customWidth="1"/>
    <col min="13579" max="13579" width="6.7109375" style="172" customWidth="1"/>
    <col min="13580" max="13580" width="44.7109375" style="172" customWidth="1"/>
    <col min="13581" max="13582" width="22.28515625" style="172" customWidth="1"/>
    <col min="13583" max="13584" width="9.140625" style="172" hidden="1" customWidth="1"/>
    <col min="13585" max="13585" width="9.140625" style="172" customWidth="1"/>
    <col min="13586" max="13586" width="11.7109375" style="172" customWidth="1"/>
    <col min="13587" max="13830" width="9.140625" style="172"/>
    <col min="13831" max="13831" width="4.85546875" style="172" customWidth="1"/>
    <col min="13832" max="13832" width="2.140625" style="172" customWidth="1"/>
    <col min="13833" max="13833" width="34.7109375" style="172" customWidth="1"/>
    <col min="13834" max="13834" width="16.140625" style="172" customWidth="1"/>
    <col min="13835" max="13835" width="6.7109375" style="172" customWidth="1"/>
    <col min="13836" max="13836" width="44.7109375" style="172" customWidth="1"/>
    <col min="13837" max="13838" width="22.28515625" style="172" customWidth="1"/>
    <col min="13839" max="13840" width="9.140625" style="172" hidden="1" customWidth="1"/>
    <col min="13841" max="13841" width="9.140625" style="172" customWidth="1"/>
    <col min="13842" max="13842" width="11.7109375" style="172" customWidth="1"/>
    <col min="13843" max="14086" width="9.140625" style="172"/>
    <col min="14087" max="14087" width="4.85546875" style="172" customWidth="1"/>
    <col min="14088" max="14088" width="2.140625" style="172" customWidth="1"/>
    <col min="14089" max="14089" width="34.7109375" style="172" customWidth="1"/>
    <col min="14090" max="14090" width="16.140625" style="172" customWidth="1"/>
    <col min="14091" max="14091" width="6.7109375" style="172" customWidth="1"/>
    <col min="14092" max="14092" width="44.7109375" style="172" customWidth="1"/>
    <col min="14093" max="14094" width="22.28515625" style="172" customWidth="1"/>
    <col min="14095" max="14096" width="9.140625" style="172" hidden="1" customWidth="1"/>
    <col min="14097" max="14097" width="9.140625" style="172" customWidth="1"/>
    <col min="14098" max="14098" width="11.7109375" style="172" customWidth="1"/>
    <col min="14099" max="14342" width="9.140625" style="172"/>
    <col min="14343" max="14343" width="4.85546875" style="172" customWidth="1"/>
    <col min="14344" max="14344" width="2.140625" style="172" customWidth="1"/>
    <col min="14345" max="14345" width="34.7109375" style="172" customWidth="1"/>
    <col min="14346" max="14346" width="16.140625" style="172" customWidth="1"/>
    <col min="14347" max="14347" width="6.7109375" style="172" customWidth="1"/>
    <col min="14348" max="14348" width="44.7109375" style="172" customWidth="1"/>
    <col min="14349" max="14350" width="22.28515625" style="172" customWidth="1"/>
    <col min="14351" max="14352" width="9.140625" style="172" hidden="1" customWidth="1"/>
    <col min="14353" max="14353" width="9.140625" style="172" customWidth="1"/>
    <col min="14354" max="14354" width="11.7109375" style="172" customWidth="1"/>
    <col min="14355" max="14598" width="9.140625" style="172"/>
    <col min="14599" max="14599" width="4.85546875" style="172" customWidth="1"/>
    <col min="14600" max="14600" width="2.140625" style="172" customWidth="1"/>
    <col min="14601" max="14601" width="34.7109375" style="172" customWidth="1"/>
    <col min="14602" max="14602" width="16.140625" style="172" customWidth="1"/>
    <col min="14603" max="14603" width="6.7109375" style="172" customWidth="1"/>
    <col min="14604" max="14604" width="44.7109375" style="172" customWidth="1"/>
    <col min="14605" max="14606" width="22.28515625" style="172" customWidth="1"/>
    <col min="14607" max="14608" width="9.140625" style="172" hidden="1" customWidth="1"/>
    <col min="14609" max="14609" width="9.140625" style="172" customWidth="1"/>
    <col min="14610" max="14610" width="11.7109375" style="172" customWidth="1"/>
    <col min="14611" max="14854" width="9.140625" style="172"/>
    <col min="14855" max="14855" width="4.85546875" style="172" customWidth="1"/>
    <col min="14856" max="14856" width="2.140625" style="172" customWidth="1"/>
    <col min="14857" max="14857" width="34.7109375" style="172" customWidth="1"/>
    <col min="14858" max="14858" width="16.140625" style="172" customWidth="1"/>
    <col min="14859" max="14859" width="6.7109375" style="172" customWidth="1"/>
    <col min="14860" max="14860" width="44.7109375" style="172" customWidth="1"/>
    <col min="14861" max="14862" width="22.28515625" style="172" customWidth="1"/>
    <col min="14863" max="14864" width="9.140625" style="172" hidden="1" customWidth="1"/>
    <col min="14865" max="14865" width="9.140625" style="172" customWidth="1"/>
    <col min="14866" max="14866" width="11.7109375" style="172" customWidth="1"/>
    <col min="14867" max="15110" width="9.140625" style="172"/>
    <col min="15111" max="15111" width="4.85546875" style="172" customWidth="1"/>
    <col min="15112" max="15112" width="2.140625" style="172" customWidth="1"/>
    <col min="15113" max="15113" width="34.7109375" style="172" customWidth="1"/>
    <col min="15114" max="15114" width="16.140625" style="172" customWidth="1"/>
    <col min="15115" max="15115" width="6.7109375" style="172" customWidth="1"/>
    <col min="15116" max="15116" width="44.7109375" style="172" customWidth="1"/>
    <col min="15117" max="15118" width="22.28515625" style="172" customWidth="1"/>
    <col min="15119" max="15120" width="9.140625" style="172" hidden="1" customWidth="1"/>
    <col min="15121" max="15121" width="9.140625" style="172" customWidth="1"/>
    <col min="15122" max="15122" width="11.7109375" style="172" customWidth="1"/>
    <col min="15123" max="15366" width="9.140625" style="172"/>
    <col min="15367" max="15367" width="4.85546875" style="172" customWidth="1"/>
    <col min="15368" max="15368" width="2.140625" style="172" customWidth="1"/>
    <col min="15369" max="15369" width="34.7109375" style="172" customWidth="1"/>
    <col min="15370" max="15370" width="16.140625" style="172" customWidth="1"/>
    <col min="15371" max="15371" width="6.7109375" style="172" customWidth="1"/>
    <col min="15372" max="15372" width="44.7109375" style="172" customWidth="1"/>
    <col min="15373" max="15374" width="22.28515625" style="172" customWidth="1"/>
    <col min="15375" max="15376" width="9.140625" style="172" hidden="1" customWidth="1"/>
    <col min="15377" max="15377" width="9.140625" style="172" customWidth="1"/>
    <col min="15378" max="15378" width="11.7109375" style="172" customWidth="1"/>
    <col min="15379" max="15622" width="9.140625" style="172"/>
    <col min="15623" max="15623" width="4.85546875" style="172" customWidth="1"/>
    <col min="15624" max="15624" width="2.140625" style="172" customWidth="1"/>
    <col min="15625" max="15625" width="34.7109375" style="172" customWidth="1"/>
    <col min="15626" max="15626" width="16.140625" style="172" customWidth="1"/>
    <col min="15627" max="15627" width="6.7109375" style="172" customWidth="1"/>
    <col min="15628" max="15628" width="44.7109375" style="172" customWidth="1"/>
    <col min="15629" max="15630" width="22.28515625" style="172" customWidth="1"/>
    <col min="15631" max="15632" width="9.140625" style="172" hidden="1" customWidth="1"/>
    <col min="15633" max="15633" width="9.140625" style="172" customWidth="1"/>
    <col min="15634" max="15634" width="11.7109375" style="172" customWidth="1"/>
    <col min="15635" max="15878" width="9.140625" style="172"/>
    <col min="15879" max="15879" width="4.85546875" style="172" customWidth="1"/>
    <col min="15880" max="15880" width="2.140625" style="172" customWidth="1"/>
    <col min="15881" max="15881" width="34.7109375" style="172" customWidth="1"/>
    <col min="15882" max="15882" width="16.140625" style="172" customWidth="1"/>
    <col min="15883" max="15883" width="6.7109375" style="172" customWidth="1"/>
    <col min="15884" max="15884" width="44.7109375" style="172" customWidth="1"/>
    <col min="15885" max="15886" width="22.28515625" style="172" customWidth="1"/>
    <col min="15887" max="15888" width="9.140625" style="172" hidden="1" customWidth="1"/>
    <col min="15889" max="15889" width="9.140625" style="172" customWidth="1"/>
    <col min="15890" max="15890" width="11.7109375" style="172" customWidth="1"/>
    <col min="15891" max="16134" width="9.140625" style="172"/>
    <col min="16135" max="16135" width="4.85546875" style="172" customWidth="1"/>
    <col min="16136" max="16136" width="2.140625" style="172" customWidth="1"/>
    <col min="16137" max="16137" width="34.7109375" style="172" customWidth="1"/>
    <col min="16138" max="16138" width="16.140625" style="172" customWidth="1"/>
    <col min="16139" max="16139" width="6.7109375" style="172" customWidth="1"/>
    <col min="16140" max="16140" width="44.7109375" style="172" customWidth="1"/>
    <col min="16141" max="16142" width="22.28515625" style="172" customWidth="1"/>
    <col min="16143" max="16144" width="9.140625" style="172" hidden="1" customWidth="1"/>
    <col min="16145" max="16145" width="9.140625" style="172" customWidth="1"/>
    <col min="16146" max="16146" width="11.7109375" style="172" customWidth="1"/>
    <col min="16147" max="16384" width="9.140625" style="172"/>
  </cols>
  <sheetData>
    <row r="2" spans="2:34" ht="51" customHeight="1">
      <c r="C2" s="1852" t="s">
        <v>493</v>
      </c>
      <c r="D2" s="1852"/>
      <c r="E2" s="1852"/>
      <c r="F2" s="1852"/>
      <c r="G2" s="1852"/>
      <c r="H2" s="1852"/>
      <c r="I2" s="177"/>
      <c r="J2" s="177"/>
      <c r="K2" s="177"/>
      <c r="L2" s="177"/>
      <c r="M2" s="177"/>
      <c r="R2" s="231">
        <v>0.98</v>
      </c>
      <c r="V2" s="232" t="s">
        <v>9</v>
      </c>
      <c r="X2" s="233" t="s">
        <v>9</v>
      </c>
      <c r="Y2" s="176" t="s">
        <v>9</v>
      </c>
    </row>
    <row r="3" spans="2:34" ht="34.5" customHeight="1">
      <c r="C3" s="178" t="s">
        <v>494</v>
      </c>
      <c r="D3" s="178"/>
      <c r="E3" s="178"/>
      <c r="F3" s="178"/>
      <c r="G3" s="178" t="s">
        <v>7</v>
      </c>
      <c r="H3" s="178">
        <f>euro</f>
        <v>4.9757999999999996</v>
      </c>
      <c r="I3" s="178"/>
      <c r="J3" s="178"/>
      <c r="K3" s="178"/>
      <c r="L3" s="178"/>
      <c r="M3" s="178"/>
      <c r="N3" s="178"/>
      <c r="O3" s="178"/>
      <c r="P3" s="178" t="s">
        <v>940</v>
      </c>
      <c r="Q3" s="178"/>
      <c r="R3" s="234">
        <v>0.8</v>
      </c>
      <c r="S3" s="235" t="s">
        <v>389</v>
      </c>
      <c r="V3" s="174" t="s">
        <v>9</v>
      </c>
      <c r="W3" s="174" t="s">
        <v>9</v>
      </c>
      <c r="AB3" s="251" t="s">
        <v>9</v>
      </c>
    </row>
    <row r="4" spans="2:34">
      <c r="B4" s="1853" t="s">
        <v>495</v>
      </c>
      <c r="C4" s="1853"/>
      <c r="D4" s="1853"/>
      <c r="E4" s="1853"/>
      <c r="F4" s="1853"/>
      <c r="G4" s="1853"/>
      <c r="H4" s="176"/>
      <c r="I4" s="176"/>
      <c r="J4" s="176"/>
      <c r="K4" s="176"/>
      <c r="L4" s="176"/>
      <c r="M4" s="176"/>
    </row>
    <row r="5" spans="2:34" ht="103.5" customHeight="1">
      <c r="C5" s="179" t="s">
        <v>391</v>
      </c>
      <c r="D5" s="1854" t="s">
        <v>392</v>
      </c>
      <c r="E5" s="1854"/>
      <c r="F5" s="180" t="s">
        <v>393</v>
      </c>
      <c r="G5" s="181" t="s">
        <v>941</v>
      </c>
      <c r="H5" s="181" t="s">
        <v>942</v>
      </c>
      <c r="I5" s="181" t="s">
        <v>943</v>
      </c>
      <c r="J5" s="181" t="s">
        <v>944</v>
      </c>
      <c r="K5" s="181" t="s">
        <v>945</v>
      </c>
      <c r="L5" s="181" t="s">
        <v>946</v>
      </c>
      <c r="M5" s="181" t="s">
        <v>947</v>
      </c>
      <c r="N5" s="181" t="s">
        <v>943</v>
      </c>
      <c r="O5" s="181" t="s">
        <v>948</v>
      </c>
      <c r="P5" s="181" t="s">
        <v>949</v>
      </c>
      <c r="Q5" s="181" t="s">
        <v>950</v>
      </c>
      <c r="R5" s="181" t="s">
        <v>951</v>
      </c>
      <c r="S5" s="180" t="s">
        <v>402</v>
      </c>
      <c r="T5" s="180" t="s">
        <v>403</v>
      </c>
      <c r="V5" s="236" t="s">
        <v>952</v>
      </c>
      <c r="W5" s="236" t="s">
        <v>953</v>
      </c>
      <c r="X5" s="236" t="s">
        <v>954</v>
      </c>
      <c r="Y5" s="236" t="s">
        <v>955</v>
      </c>
      <c r="Z5" s="236" t="s">
        <v>105</v>
      </c>
      <c r="AA5" s="236" t="s">
        <v>956</v>
      </c>
      <c r="AB5" s="236" t="s">
        <v>107</v>
      </c>
      <c r="AC5" s="236" t="s">
        <v>957</v>
      </c>
      <c r="AD5" s="236" t="s">
        <v>958</v>
      </c>
      <c r="AE5" s="236" t="s">
        <v>959</v>
      </c>
      <c r="AF5" s="236" t="s">
        <v>960</v>
      </c>
      <c r="AG5" s="236" t="s">
        <v>961</v>
      </c>
      <c r="AH5" s="236" t="s">
        <v>962</v>
      </c>
    </row>
    <row r="6" spans="2:34" s="169" customFormat="1" ht="12.75" customHeight="1">
      <c r="C6" s="182">
        <v>1</v>
      </c>
      <c r="D6" s="1855">
        <v>2</v>
      </c>
      <c r="E6" s="1855"/>
      <c r="F6" s="183">
        <v>3</v>
      </c>
      <c r="G6" s="184">
        <v>4</v>
      </c>
      <c r="H6" s="184">
        <v>5</v>
      </c>
      <c r="I6" s="184" t="s">
        <v>963</v>
      </c>
      <c r="J6" s="184">
        <v>6</v>
      </c>
      <c r="K6" s="184">
        <v>7</v>
      </c>
      <c r="L6" s="184">
        <v>8</v>
      </c>
      <c r="M6" s="184">
        <v>9</v>
      </c>
      <c r="N6" s="184">
        <v>6</v>
      </c>
      <c r="O6" s="184" t="s">
        <v>964</v>
      </c>
      <c r="P6" s="184" t="s">
        <v>965</v>
      </c>
      <c r="Q6" s="184" t="s">
        <v>966</v>
      </c>
      <c r="R6" s="184" t="s">
        <v>967</v>
      </c>
      <c r="S6" s="182"/>
      <c r="T6" s="182"/>
      <c r="V6" s="237" t="s">
        <v>968</v>
      </c>
      <c r="W6" s="237" t="s">
        <v>969</v>
      </c>
      <c r="X6" s="237" t="s">
        <v>970</v>
      </c>
      <c r="Y6" s="237" t="s">
        <v>971</v>
      </c>
      <c r="Z6" s="237" t="s">
        <v>972</v>
      </c>
      <c r="AA6" s="237" t="s">
        <v>973</v>
      </c>
      <c r="AB6" s="237" t="s">
        <v>974</v>
      </c>
      <c r="AC6" s="237" t="s">
        <v>975</v>
      </c>
      <c r="AD6" s="237" t="s">
        <v>976</v>
      </c>
      <c r="AE6" s="237" t="s">
        <v>977</v>
      </c>
      <c r="AF6" s="237" t="s">
        <v>978</v>
      </c>
      <c r="AG6" s="237" t="s">
        <v>979</v>
      </c>
      <c r="AH6" s="237" t="s">
        <v>980</v>
      </c>
    </row>
    <row r="7" spans="2:34" s="170" customFormat="1" ht="21" hidden="1" customHeight="1">
      <c r="C7" s="1865" t="s">
        <v>404</v>
      </c>
      <c r="D7" s="1856" t="s">
        <v>405</v>
      </c>
      <c r="E7" s="1856"/>
      <c r="F7" s="186" t="s">
        <v>406</v>
      </c>
      <c r="G7" s="187">
        <f>'DEVIZ GENERAL'!D33</f>
        <v>0</v>
      </c>
      <c r="H7" s="188">
        <f>'DEVIZ GENERAL'!C33</f>
        <v>0</v>
      </c>
      <c r="I7" s="188"/>
      <c r="J7" s="188"/>
      <c r="K7" s="188"/>
      <c r="L7" s="188"/>
      <c r="M7" s="188"/>
      <c r="N7" s="223"/>
      <c r="O7" s="223"/>
      <c r="P7" s="223"/>
      <c r="Q7" s="223"/>
      <c r="R7" s="223"/>
      <c r="S7" s="238">
        <v>14</v>
      </c>
      <c r="T7" s="238">
        <v>42</v>
      </c>
      <c r="U7" s="239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</row>
    <row r="8" spans="2:34" s="170" customFormat="1" ht="21" hidden="1" customHeight="1">
      <c r="C8" s="1865"/>
      <c r="D8" s="1856"/>
      <c r="E8" s="1856"/>
      <c r="F8" s="186" t="s">
        <v>126</v>
      </c>
      <c r="G8" s="187">
        <f>'DEVIZ GENERAL'!D34</f>
        <v>0</v>
      </c>
      <c r="H8" s="188">
        <f>'DEVIZ GENERAL'!C34</f>
        <v>0</v>
      </c>
      <c r="I8" s="188"/>
      <c r="J8" s="188"/>
      <c r="K8" s="188"/>
      <c r="L8" s="188"/>
      <c r="M8" s="188"/>
      <c r="N8" s="223"/>
      <c r="O8" s="223"/>
      <c r="P8" s="223"/>
      <c r="Q8" s="223"/>
      <c r="R8" s="223"/>
      <c r="S8" s="238">
        <v>14</v>
      </c>
      <c r="T8" s="238">
        <v>48</v>
      </c>
      <c r="U8" s="239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</row>
    <row r="9" spans="2:34" s="170" customFormat="1" ht="21" hidden="1" customHeight="1">
      <c r="C9" s="1865"/>
      <c r="D9" s="1856"/>
      <c r="E9" s="1856"/>
      <c r="F9" s="186" t="s">
        <v>127</v>
      </c>
      <c r="G9" s="187">
        <f>'DEVIZ GENERAL'!D35</f>
        <v>0</v>
      </c>
      <c r="H9" s="188">
        <f>'DEVIZ GENERAL'!C35</f>
        <v>0</v>
      </c>
      <c r="I9" s="188"/>
      <c r="J9" s="188"/>
      <c r="K9" s="188"/>
      <c r="L9" s="188"/>
      <c r="M9" s="188"/>
      <c r="N9" s="223"/>
      <c r="O9" s="223"/>
      <c r="P9" s="223"/>
      <c r="Q9" s="223"/>
      <c r="R9" s="223"/>
      <c r="S9" s="238">
        <v>14</v>
      </c>
      <c r="T9" s="238">
        <v>48</v>
      </c>
      <c r="U9" s="239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</row>
    <row r="10" spans="2:34" s="170" customFormat="1" ht="21" hidden="1" customHeight="1">
      <c r="C10" s="1865"/>
      <c r="D10" s="1856"/>
      <c r="E10" s="1856"/>
      <c r="F10" s="186" t="s">
        <v>407</v>
      </c>
      <c r="G10" s="187">
        <f>'DEVIZ GENERAL'!D40</f>
        <v>0</v>
      </c>
      <c r="H10" s="188">
        <f>'DEVIZ GENERAL'!C40</f>
        <v>0</v>
      </c>
      <c r="I10" s="188"/>
      <c r="J10" s="188"/>
      <c r="K10" s="188"/>
      <c r="L10" s="188"/>
      <c r="M10" s="188"/>
      <c r="N10" s="223"/>
      <c r="O10" s="223"/>
      <c r="P10" s="223"/>
      <c r="Q10" s="223"/>
      <c r="R10" s="223"/>
      <c r="S10" s="238">
        <v>14</v>
      </c>
      <c r="T10" s="238">
        <v>44</v>
      </c>
      <c r="U10" s="239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</row>
    <row r="11" spans="2:34" s="170" customFormat="1" ht="24.75" hidden="1" customHeight="1">
      <c r="C11" s="1865"/>
      <c r="D11" s="1856"/>
      <c r="E11" s="1856"/>
      <c r="F11" s="189" t="s">
        <v>408</v>
      </c>
      <c r="G11" s="187">
        <f>'DEVIZ GENERAL'!D41</f>
        <v>0</v>
      </c>
      <c r="H11" s="188">
        <f>'DEVIZ GENERAL'!C41</f>
        <v>0</v>
      </c>
      <c r="I11" s="188"/>
      <c r="J11" s="188"/>
      <c r="K11" s="188"/>
      <c r="L11" s="188"/>
      <c r="M11" s="188"/>
      <c r="N11" s="223"/>
      <c r="O11" s="223"/>
      <c r="P11" s="223"/>
      <c r="Q11" s="223"/>
      <c r="R11" s="223"/>
      <c r="S11" s="238">
        <v>14</v>
      </c>
      <c r="T11" s="238">
        <v>44</v>
      </c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</row>
    <row r="12" spans="2:34" s="170" customFormat="1" ht="24.75" customHeight="1">
      <c r="C12" s="1865"/>
      <c r="D12" s="1856"/>
      <c r="E12" s="1856"/>
      <c r="F12" s="189" t="s">
        <v>409</v>
      </c>
      <c r="G12" s="187">
        <f>'Deviz general curente'!D41</f>
        <v>975108.52</v>
      </c>
      <c r="H12" s="188">
        <f>'Deviz general curente'!C41</f>
        <v>4851945</v>
      </c>
      <c r="I12" s="188">
        <f>'Deviz general curente'!G41</f>
        <v>5773814.5499999998</v>
      </c>
      <c r="J12" s="188">
        <f>G12</f>
        <v>975108.52</v>
      </c>
      <c r="K12" s="188">
        <f>ROUND('Schema Echiv_DB cst'!J12*coef,0)</f>
        <v>4851945</v>
      </c>
      <c r="L12" s="188">
        <f>ROUND('Schema Echiv_DB cst'!K12*coef,2)</f>
        <v>0</v>
      </c>
      <c r="M12" s="188">
        <f>ROUND('Schema Echiv_DB cst'!L12*coef,2)</f>
        <v>0</v>
      </c>
      <c r="N12" s="223">
        <f>'Deviz general curente'!G41</f>
        <v>5773814.5499999998</v>
      </c>
      <c r="O12" s="223">
        <f>ROUND(K12*$R$3,2)</f>
        <v>3881556</v>
      </c>
      <c r="P12" s="223">
        <f>ROUND(N12*$R$3,2)</f>
        <v>4619051.6399999997</v>
      </c>
      <c r="Q12" s="223">
        <f>ROUND(O12*98%,2)</f>
        <v>3803924.88</v>
      </c>
      <c r="R12" s="223">
        <f>ROUND(P12*98%,2)</f>
        <v>4526670.6100000003</v>
      </c>
      <c r="S12" s="238">
        <v>14</v>
      </c>
      <c r="T12" s="238">
        <v>44</v>
      </c>
      <c r="V12" s="241">
        <f>ROUND(H12,2)</f>
        <v>4851945</v>
      </c>
      <c r="W12" s="241">
        <f>V12</f>
        <v>4851945</v>
      </c>
      <c r="X12" s="241">
        <f>I12-H12</f>
        <v>921869.54999999981</v>
      </c>
      <c r="Y12" s="241">
        <f>O12</f>
        <v>3881556</v>
      </c>
      <c r="Z12" s="241">
        <v>0</v>
      </c>
      <c r="AA12" s="241">
        <f>M12</f>
        <v>0</v>
      </c>
      <c r="AB12" s="241">
        <f>X12</f>
        <v>921869.54999999981</v>
      </c>
      <c r="AC12" s="241">
        <f>AD12+AE12</f>
        <v>4803425.55</v>
      </c>
      <c r="AD12" s="241">
        <f>Y12+Z12</f>
        <v>3881556</v>
      </c>
      <c r="AE12" s="241">
        <f>AA12+AB12</f>
        <v>921869.54999999981</v>
      </c>
      <c r="AF12" s="241">
        <f>AD12*2%</f>
        <v>77631.12</v>
      </c>
      <c r="AG12" s="241">
        <f>AD12</f>
        <v>3881556</v>
      </c>
      <c r="AH12" s="241">
        <f>AG12-AF12</f>
        <v>3803924.88</v>
      </c>
    </row>
    <row r="13" spans="2:34" s="170" customFormat="1" ht="24.75" customHeight="1">
      <c r="C13" s="1865"/>
      <c r="D13" s="1856"/>
      <c r="E13" s="1856"/>
      <c r="F13" s="190" t="s">
        <v>410</v>
      </c>
      <c r="G13" s="187">
        <f>'Deviz general curente'!D55</f>
        <v>0</v>
      </c>
      <c r="H13" s="188">
        <f>'Deviz general curente'!C55</f>
        <v>0</v>
      </c>
      <c r="I13" s="188">
        <f>'Deviz general curente'!G55</f>
        <v>0</v>
      </c>
      <c r="J13" s="188">
        <f>ROUND('Schema Echiv_DB cst'!I13,2)</f>
        <v>0</v>
      </c>
      <c r="K13" s="188">
        <f>ROUND('Schema Echiv_DB cst'!J13,2)</f>
        <v>0</v>
      </c>
      <c r="L13" s="188">
        <f>ROUND('Schema Echiv_DB cst'!K13,2)</f>
        <v>0</v>
      </c>
      <c r="M13" s="188">
        <f>ROUND('Schema Echiv_DB cst'!L13,2)</f>
        <v>0</v>
      </c>
      <c r="N13" s="223">
        <f>'Deviz general curente'!G55</f>
        <v>0</v>
      </c>
      <c r="O13" s="223">
        <f>ROUND(K13*$R$3,2)</f>
        <v>0</v>
      </c>
      <c r="P13" s="223">
        <f>ROUND(N13*$R$3,2)</f>
        <v>0</v>
      </c>
      <c r="Q13" s="223">
        <f>ROUND(O13*98%,2)</f>
        <v>0</v>
      </c>
      <c r="R13" s="223">
        <f>ROUND(P13*98%,2)</f>
        <v>0</v>
      </c>
      <c r="S13" s="238">
        <v>14</v>
      </c>
      <c r="T13" s="238">
        <v>47</v>
      </c>
      <c r="V13" s="241">
        <f>ROUND(H13,2)</f>
        <v>0</v>
      </c>
      <c r="W13" s="241">
        <f>V13</f>
        <v>0</v>
      </c>
      <c r="X13" s="241">
        <f>I13-H13</f>
        <v>0</v>
      </c>
      <c r="Y13" s="241">
        <f>O13</f>
        <v>0</v>
      </c>
      <c r="Z13" s="241">
        <v>0</v>
      </c>
      <c r="AA13" s="241">
        <f>M13</f>
        <v>0</v>
      </c>
      <c r="AB13" s="241">
        <f>X13</f>
        <v>0</v>
      </c>
      <c r="AC13" s="241">
        <f>AD13+AE13</f>
        <v>0</v>
      </c>
      <c r="AD13" s="241">
        <f>Y13+Z13</f>
        <v>0</v>
      </c>
      <c r="AE13" s="241">
        <f>AA13+AB13</f>
        <v>0</v>
      </c>
      <c r="AF13" s="241">
        <f>AD13*2%</f>
        <v>0</v>
      </c>
      <c r="AG13" s="241">
        <f>AD13</f>
        <v>0</v>
      </c>
      <c r="AH13" s="241">
        <f>AG13-AF13</f>
        <v>0</v>
      </c>
    </row>
    <row r="14" spans="2:34" s="170" customFormat="1" ht="47.25" customHeight="1">
      <c r="C14" s="1865"/>
      <c r="D14" s="1856"/>
      <c r="E14" s="1856"/>
      <c r="F14" s="191" t="s">
        <v>411</v>
      </c>
      <c r="G14" s="192">
        <f t="shared" ref="G14:R14" si="0">SUM(G7:G13)</f>
        <v>975108.52</v>
      </c>
      <c r="H14" s="192">
        <f t="shared" si="0"/>
        <v>4851945</v>
      </c>
      <c r="I14" s="192">
        <f t="shared" si="0"/>
        <v>5773814.5499999998</v>
      </c>
      <c r="J14" s="192">
        <f t="shared" si="0"/>
        <v>975108.52</v>
      </c>
      <c r="K14" s="192">
        <f t="shared" si="0"/>
        <v>4851945</v>
      </c>
      <c r="L14" s="192">
        <f t="shared" si="0"/>
        <v>0</v>
      </c>
      <c r="M14" s="192">
        <f t="shared" si="0"/>
        <v>0</v>
      </c>
      <c r="N14" s="192">
        <f t="shared" si="0"/>
        <v>5773814.5499999998</v>
      </c>
      <c r="O14" s="192">
        <f t="shared" si="0"/>
        <v>3881556</v>
      </c>
      <c r="P14" s="192">
        <f t="shared" si="0"/>
        <v>4619051.6399999997</v>
      </c>
      <c r="Q14" s="192">
        <f t="shared" si="0"/>
        <v>3803924.88</v>
      </c>
      <c r="R14" s="192">
        <f t="shared" si="0"/>
        <v>4526670.6100000003</v>
      </c>
      <c r="S14" s="242"/>
      <c r="T14" s="242"/>
      <c r="V14" s="192">
        <f t="shared" ref="V14:AH14" si="1">SUM(V7:V13)</f>
        <v>4851945</v>
      </c>
      <c r="W14" s="192">
        <f t="shared" si="1"/>
        <v>4851945</v>
      </c>
      <c r="X14" s="192">
        <f t="shared" si="1"/>
        <v>921869.54999999981</v>
      </c>
      <c r="Y14" s="192">
        <f t="shared" si="1"/>
        <v>3881556</v>
      </c>
      <c r="Z14" s="192">
        <f t="shared" si="1"/>
        <v>0</v>
      </c>
      <c r="AA14" s="192">
        <f t="shared" si="1"/>
        <v>0</v>
      </c>
      <c r="AB14" s="192">
        <f t="shared" si="1"/>
        <v>921869.54999999981</v>
      </c>
      <c r="AC14" s="192">
        <f t="shared" si="1"/>
        <v>4803425.55</v>
      </c>
      <c r="AD14" s="192">
        <f t="shared" si="1"/>
        <v>3881556</v>
      </c>
      <c r="AE14" s="192">
        <f t="shared" si="1"/>
        <v>921869.54999999981</v>
      </c>
      <c r="AF14" s="192">
        <f t="shared" si="1"/>
        <v>77631.12</v>
      </c>
      <c r="AG14" s="192">
        <f t="shared" si="1"/>
        <v>3881556</v>
      </c>
      <c r="AH14" s="192">
        <f t="shared" si="1"/>
        <v>3803924.88</v>
      </c>
    </row>
    <row r="15" spans="2:34" s="170" customFormat="1" ht="39" hidden="1" customHeight="1">
      <c r="C15" s="185" t="s">
        <v>412</v>
      </c>
      <c r="D15" s="1856" t="s">
        <v>413</v>
      </c>
      <c r="E15" s="1856"/>
      <c r="F15" s="191" t="s">
        <v>414</v>
      </c>
      <c r="G15" s="192">
        <v>0</v>
      </c>
      <c r="H15" s="192">
        <v>0</v>
      </c>
      <c r="I15" s="192"/>
      <c r="J15" s="192"/>
      <c r="K15" s="192"/>
      <c r="L15" s="192"/>
      <c r="M15" s="192"/>
      <c r="N15" s="224">
        <v>0</v>
      </c>
      <c r="O15" s="224">
        <v>0</v>
      </c>
      <c r="P15" s="224">
        <v>0</v>
      </c>
      <c r="Q15" s="224"/>
      <c r="R15" s="224"/>
      <c r="S15" s="238">
        <v>12</v>
      </c>
      <c r="T15" s="243">
        <v>34</v>
      </c>
      <c r="U15" s="244"/>
      <c r="V15" s="241">
        <f t="shared" ref="V15:V16" si="2">O15</f>
        <v>0</v>
      </c>
      <c r="W15" s="241">
        <f t="shared" ref="W15:W34" si="3">V15</f>
        <v>0</v>
      </c>
      <c r="X15" s="241">
        <f t="shared" ref="X15:X16" si="4">P15-O15</f>
        <v>0</v>
      </c>
      <c r="Y15" s="241">
        <f t="shared" ref="Y15:Y16" si="5">W15</f>
        <v>0</v>
      </c>
      <c r="Z15" s="241">
        <f t="shared" ref="Z15:Z18" si="6">X15</f>
        <v>0</v>
      </c>
      <c r="AA15" s="241">
        <f>H15-O15</f>
        <v>0</v>
      </c>
      <c r="AB15" s="241">
        <f>(N15-H15)-(P15-O15)</f>
        <v>0</v>
      </c>
      <c r="AC15" s="241">
        <f t="shared" ref="AC15:AC24" si="7">AD15+AE15</f>
        <v>0</v>
      </c>
      <c r="AD15" s="241">
        <f t="shared" ref="AD15:AD24" si="8">Y15+Z15</f>
        <v>0</v>
      </c>
      <c r="AE15" s="241">
        <f t="shared" ref="AE15:AE24" si="9">AA15+AB15</f>
        <v>0</v>
      </c>
      <c r="AF15" s="241">
        <f t="shared" ref="AF15:AF24" si="10">AD15*2%</f>
        <v>0</v>
      </c>
      <c r="AG15" s="241">
        <f t="shared" ref="AG15:AG24" si="11">AD15</f>
        <v>0</v>
      </c>
      <c r="AH15" s="241">
        <f t="shared" ref="AH15:AH24" si="12">AG15-AF15</f>
        <v>0</v>
      </c>
    </row>
    <row r="16" spans="2:34" s="170" customFormat="1" ht="27" hidden="1" customHeight="1">
      <c r="C16" s="1866" t="s">
        <v>415</v>
      </c>
      <c r="D16" s="1856" t="s">
        <v>416</v>
      </c>
      <c r="E16" s="1856"/>
      <c r="F16" s="194" t="s">
        <v>417</v>
      </c>
      <c r="G16" s="188">
        <f>'DEVIZ GENERAL'!D16</f>
        <v>0</v>
      </c>
      <c r="H16" s="188">
        <f>'DEVIZ GENERAL'!C16</f>
        <v>0</v>
      </c>
      <c r="I16" s="188"/>
      <c r="J16" s="188"/>
      <c r="K16" s="188"/>
      <c r="L16" s="188"/>
      <c r="M16" s="188"/>
      <c r="N16" s="223"/>
      <c r="O16" s="223"/>
      <c r="P16" s="223"/>
      <c r="Q16" s="223"/>
      <c r="R16" s="223"/>
      <c r="S16" s="238">
        <v>12</v>
      </c>
      <c r="T16" s="238">
        <v>38</v>
      </c>
      <c r="V16" s="241">
        <f t="shared" si="2"/>
        <v>0</v>
      </c>
      <c r="W16" s="241">
        <f t="shared" si="3"/>
        <v>0</v>
      </c>
      <c r="X16" s="241">
        <f t="shared" si="4"/>
        <v>0</v>
      </c>
      <c r="Y16" s="241">
        <f t="shared" si="5"/>
        <v>0</v>
      </c>
      <c r="Z16" s="241">
        <f t="shared" si="6"/>
        <v>0</v>
      </c>
      <c r="AA16" s="241">
        <f>H16-O16</f>
        <v>0</v>
      </c>
      <c r="AB16" s="241">
        <f>(N16-H16)-(P16-O16)</f>
        <v>0</v>
      </c>
      <c r="AC16" s="241">
        <f t="shared" si="7"/>
        <v>0</v>
      </c>
      <c r="AD16" s="241">
        <f t="shared" si="8"/>
        <v>0</v>
      </c>
      <c r="AE16" s="241">
        <f t="shared" si="9"/>
        <v>0</v>
      </c>
      <c r="AF16" s="241">
        <f t="shared" si="10"/>
        <v>0</v>
      </c>
      <c r="AG16" s="241">
        <f t="shared" si="11"/>
        <v>0</v>
      </c>
      <c r="AH16" s="241">
        <f t="shared" si="12"/>
        <v>0</v>
      </c>
    </row>
    <row r="17" spans="3:34" s="170" customFormat="1" ht="32.25" customHeight="1">
      <c r="C17" s="1866"/>
      <c r="D17" s="1856"/>
      <c r="E17" s="1856"/>
      <c r="F17" s="194" t="s">
        <v>418</v>
      </c>
      <c r="G17" s="188">
        <f>'Deviz general curente'!D18</f>
        <v>1633787.12</v>
      </c>
      <c r="H17" s="188">
        <f>'Deviz general curente'!C18</f>
        <v>8129398</v>
      </c>
      <c r="I17" s="188">
        <f>'Deviz general curente'!G18</f>
        <v>9673983.620000001</v>
      </c>
      <c r="J17" s="188">
        <f>ROUND('Schema Echiv_DB cst'!I17*coef,2)</f>
        <v>1633787.18</v>
      </c>
      <c r="K17" s="188">
        <f>ROUND('Schema Echiv_DB cst'!J17*coef,2)</f>
        <v>8129398.2999999998</v>
      </c>
      <c r="L17" s="188">
        <f>G17</f>
        <v>1633787.12</v>
      </c>
      <c r="M17" s="188">
        <f>ROUND('Schema Echiv_DB cst'!L17*coef,0)</f>
        <v>0</v>
      </c>
      <c r="N17" s="223">
        <f>'Deviz general curente'!G18</f>
        <v>9673983.620000001</v>
      </c>
      <c r="O17" s="223">
        <f t="shared" ref="O17:O24" si="13">ROUND(K17*$R$3,2)</f>
        <v>6503518.6399999997</v>
      </c>
      <c r="P17" s="223">
        <f t="shared" ref="P17:P24" si="14">ROUND(N17*$R$3,2)</f>
        <v>7739186.9000000004</v>
      </c>
      <c r="Q17" s="223">
        <f t="shared" ref="Q17:Q24" si="15">ROUND(O17*98%,2)</f>
        <v>6373448.2699999996</v>
      </c>
      <c r="R17" s="223">
        <f t="shared" ref="R17:R24" si="16">ROUND(P17*98%,2)</f>
        <v>7584403.1600000001</v>
      </c>
      <c r="S17" s="238">
        <v>12</v>
      </c>
      <c r="T17" s="238">
        <v>39</v>
      </c>
      <c r="V17" s="241">
        <f t="shared" ref="V17:V24" si="17">ROUND(H17,2)</f>
        <v>8129398</v>
      </c>
      <c r="W17" s="241">
        <f t="shared" si="3"/>
        <v>8129398</v>
      </c>
      <c r="X17" s="241">
        <f t="shared" ref="X17:X24" si="18">I17-H17</f>
        <v>1544585.620000001</v>
      </c>
      <c r="Y17" s="241">
        <f t="shared" ref="Y17:Y24" si="19">O17</f>
        <v>6503518.6399999997</v>
      </c>
      <c r="Z17" s="241">
        <v>0</v>
      </c>
      <c r="AA17" s="241">
        <f t="shared" ref="AA17:AA29" si="20">M17</f>
        <v>0</v>
      </c>
      <c r="AB17" s="241">
        <f t="shared" ref="AB17:AB29" si="21">X17</f>
        <v>1544585.620000001</v>
      </c>
      <c r="AC17" s="241">
        <f t="shared" si="7"/>
        <v>8048104.2600000007</v>
      </c>
      <c r="AD17" s="241">
        <f t="shared" si="8"/>
        <v>6503518.6399999997</v>
      </c>
      <c r="AE17" s="241">
        <f t="shared" si="9"/>
        <v>1544585.620000001</v>
      </c>
      <c r="AF17" s="241">
        <f t="shared" si="10"/>
        <v>130070.3728</v>
      </c>
      <c r="AG17" s="241">
        <f t="shared" si="11"/>
        <v>6503518.6399999997</v>
      </c>
      <c r="AH17" s="241">
        <f t="shared" si="12"/>
        <v>6373448.2671999997</v>
      </c>
    </row>
    <row r="18" spans="3:34" s="170" customFormat="1" ht="32.25" hidden="1" customHeight="1">
      <c r="C18" s="1866"/>
      <c r="D18" s="1856"/>
      <c r="E18" s="1856"/>
      <c r="F18" s="194" t="s">
        <v>419</v>
      </c>
      <c r="G18" s="188">
        <f>'DEVIZ GENERAL'!D22</f>
        <v>0</v>
      </c>
      <c r="H18" s="188">
        <f>'DEVIZ GENERAL'!C22</f>
        <v>0</v>
      </c>
      <c r="I18" s="188"/>
      <c r="J18" s="188"/>
      <c r="K18" s="188"/>
      <c r="L18" s="188"/>
      <c r="M18" s="188"/>
      <c r="N18" s="223"/>
      <c r="O18" s="223">
        <f t="shared" si="13"/>
        <v>0</v>
      </c>
      <c r="P18" s="223">
        <f t="shared" si="14"/>
        <v>0</v>
      </c>
      <c r="Q18" s="223">
        <f t="shared" si="15"/>
        <v>0</v>
      </c>
      <c r="R18" s="223">
        <f t="shared" si="16"/>
        <v>0</v>
      </c>
      <c r="S18" s="238">
        <v>12</v>
      </c>
      <c r="T18" s="238">
        <v>39</v>
      </c>
      <c r="V18" s="241">
        <f t="shared" si="17"/>
        <v>0</v>
      </c>
      <c r="W18" s="241">
        <f t="shared" si="3"/>
        <v>0</v>
      </c>
      <c r="X18" s="241">
        <f t="shared" si="18"/>
        <v>0</v>
      </c>
      <c r="Y18" s="241">
        <f t="shared" si="19"/>
        <v>0</v>
      </c>
      <c r="Z18" s="241">
        <f t="shared" si="6"/>
        <v>0</v>
      </c>
      <c r="AA18" s="241">
        <f t="shared" si="20"/>
        <v>0</v>
      </c>
      <c r="AB18" s="241">
        <f t="shared" si="21"/>
        <v>0</v>
      </c>
      <c r="AC18" s="241">
        <f t="shared" si="7"/>
        <v>0</v>
      </c>
      <c r="AD18" s="241">
        <f t="shared" si="8"/>
        <v>0</v>
      </c>
      <c r="AE18" s="241">
        <f t="shared" si="9"/>
        <v>0</v>
      </c>
      <c r="AF18" s="241">
        <f t="shared" si="10"/>
        <v>0</v>
      </c>
      <c r="AG18" s="241">
        <f t="shared" si="11"/>
        <v>0</v>
      </c>
      <c r="AH18" s="241">
        <f t="shared" si="12"/>
        <v>0</v>
      </c>
    </row>
    <row r="19" spans="3:34" s="170" customFormat="1" ht="27.75" customHeight="1">
      <c r="C19" s="1866"/>
      <c r="D19" s="1856"/>
      <c r="E19" s="1856"/>
      <c r="F19" s="195" t="s">
        <v>420</v>
      </c>
      <c r="G19" s="188">
        <f>'Deviz general curente'!D29</f>
        <v>859789.17</v>
      </c>
      <c r="H19" s="188">
        <f>'Deviz general curente'!C29</f>
        <v>4278139</v>
      </c>
      <c r="I19" s="188">
        <f>'Deviz general curente'!G29</f>
        <v>5090985.41</v>
      </c>
      <c r="J19" s="188">
        <f>ROUND('Schema Echiv_DB cst'!I19*coef,2)</f>
        <v>859789.18</v>
      </c>
      <c r="K19" s="188">
        <f>ROUND('Schema Echiv_DB cst'!J19*coef,2)</f>
        <v>4278139</v>
      </c>
      <c r="L19" s="188">
        <f t="shared" ref="L19:L24" si="22">G19</f>
        <v>859789.17</v>
      </c>
      <c r="M19" s="188">
        <f>ROUND('Schema Echiv_DB cst'!L19*coef,0)</f>
        <v>0</v>
      </c>
      <c r="N19" s="223">
        <f>'Deviz general curente'!G29</f>
        <v>5090985.41</v>
      </c>
      <c r="O19" s="223">
        <f t="shared" si="13"/>
        <v>3422511.2</v>
      </c>
      <c r="P19" s="223">
        <f t="shared" si="14"/>
        <v>4072788.33</v>
      </c>
      <c r="Q19" s="223">
        <f t="shared" si="15"/>
        <v>3354060.98</v>
      </c>
      <c r="R19" s="223">
        <f t="shared" si="16"/>
        <v>3991332.56</v>
      </c>
      <c r="S19" s="238">
        <v>13</v>
      </c>
      <c r="T19" s="238">
        <v>40</v>
      </c>
      <c r="V19" s="241">
        <f t="shared" si="17"/>
        <v>4278139</v>
      </c>
      <c r="W19" s="241">
        <f t="shared" si="3"/>
        <v>4278139</v>
      </c>
      <c r="X19" s="241">
        <f t="shared" si="18"/>
        <v>812846.41000000015</v>
      </c>
      <c r="Y19" s="241">
        <f t="shared" si="19"/>
        <v>3422511.2</v>
      </c>
      <c r="Z19" s="241">
        <v>0</v>
      </c>
      <c r="AA19" s="241">
        <f t="shared" si="20"/>
        <v>0</v>
      </c>
      <c r="AB19" s="241">
        <f t="shared" si="21"/>
        <v>812846.41000000015</v>
      </c>
      <c r="AC19" s="241">
        <f t="shared" si="7"/>
        <v>4235357.6100000003</v>
      </c>
      <c r="AD19" s="241">
        <f t="shared" si="8"/>
        <v>3422511.2</v>
      </c>
      <c r="AE19" s="241">
        <f t="shared" si="9"/>
        <v>812846.41000000015</v>
      </c>
      <c r="AF19" s="241">
        <f t="shared" si="10"/>
        <v>68450.224000000002</v>
      </c>
      <c r="AG19" s="241">
        <f t="shared" si="11"/>
        <v>3422511.2</v>
      </c>
      <c r="AH19" s="241">
        <f t="shared" si="12"/>
        <v>3354060.9760000003</v>
      </c>
    </row>
    <row r="20" spans="3:34" s="170" customFormat="1" ht="22.5" customHeight="1">
      <c r="C20" s="1866"/>
      <c r="D20" s="1856"/>
      <c r="E20" s="1856"/>
      <c r="F20" s="194" t="s">
        <v>421</v>
      </c>
      <c r="G20" s="188">
        <f>'Deviz general curente'!D78</f>
        <v>26188084.73</v>
      </c>
      <c r="H20" s="188">
        <f>'Deviz general curente'!C78</f>
        <v>130306672</v>
      </c>
      <c r="I20" s="188">
        <f>'Deviz general curente'!G78</f>
        <v>155064939.68000001</v>
      </c>
      <c r="J20" s="188">
        <f>ROUND('Schema Echiv_DB cst'!I20*coef,2)</f>
        <v>26188084.699999999</v>
      </c>
      <c r="K20" s="188">
        <f>ROUND('Schema Echiv_DB cst'!J20*coef,2)</f>
        <v>130306671.91</v>
      </c>
      <c r="L20" s="188">
        <f t="shared" si="22"/>
        <v>26188084.73</v>
      </c>
      <c r="M20" s="188">
        <f>ROUND('Schema Echiv_DB cst'!L20*coef,0)</f>
        <v>0</v>
      </c>
      <c r="N20" s="223">
        <f>'Deviz general curente'!G78</f>
        <v>155064939.68000001</v>
      </c>
      <c r="O20" s="223">
        <f t="shared" si="13"/>
        <v>104245337.53</v>
      </c>
      <c r="P20" s="223">
        <f t="shared" si="14"/>
        <v>124051951.73999999</v>
      </c>
      <c r="Q20" s="223">
        <f t="shared" si="15"/>
        <v>102160430.78</v>
      </c>
      <c r="R20" s="223">
        <f t="shared" si="16"/>
        <v>121570912.70999999</v>
      </c>
      <c r="S20" s="238">
        <v>15</v>
      </c>
      <c r="T20" s="238">
        <v>53</v>
      </c>
      <c r="V20" s="241">
        <f t="shared" si="17"/>
        <v>130306672</v>
      </c>
      <c r="W20" s="241">
        <f t="shared" si="3"/>
        <v>130306672</v>
      </c>
      <c r="X20" s="241">
        <f t="shared" si="18"/>
        <v>24758267.680000007</v>
      </c>
      <c r="Y20" s="241">
        <f t="shared" si="19"/>
        <v>104245337.53</v>
      </c>
      <c r="Z20" s="241">
        <v>0</v>
      </c>
      <c r="AA20" s="241">
        <f t="shared" si="20"/>
        <v>0</v>
      </c>
      <c r="AB20" s="241">
        <f t="shared" si="21"/>
        <v>24758267.680000007</v>
      </c>
      <c r="AC20" s="241">
        <f t="shared" si="7"/>
        <v>129003605.21000001</v>
      </c>
      <c r="AD20" s="241">
        <f t="shared" si="8"/>
        <v>104245337.53</v>
      </c>
      <c r="AE20" s="241">
        <f t="shared" si="9"/>
        <v>24758267.680000007</v>
      </c>
      <c r="AF20" s="241">
        <f t="shared" si="10"/>
        <v>2084906.7506000001</v>
      </c>
      <c r="AG20" s="241">
        <f t="shared" si="11"/>
        <v>104245337.53</v>
      </c>
      <c r="AH20" s="241">
        <f t="shared" si="12"/>
        <v>102160430.77940001</v>
      </c>
    </row>
    <row r="21" spans="3:34" s="170" customFormat="1" ht="33" customHeight="1">
      <c r="C21" s="1866"/>
      <c r="D21" s="1856"/>
      <c r="E21" s="1856"/>
      <c r="F21" s="194" t="s">
        <v>422</v>
      </c>
      <c r="G21" s="188">
        <f>'Deviz general curente'!D111</f>
        <v>658851.04</v>
      </c>
      <c r="H21" s="188">
        <f>'Deviz general curente'!C111</f>
        <v>3278311</v>
      </c>
      <c r="I21" s="188">
        <f>'Deviz general curente'!G111</f>
        <v>3901190.09</v>
      </c>
      <c r="J21" s="188">
        <f>ROUND('Schema Echiv_DB cst'!I21*coef,2)</f>
        <v>658851</v>
      </c>
      <c r="K21" s="188">
        <f>ROUND('Schema Echiv_DB cst'!J21*coef,2)</f>
        <v>3278310.82</v>
      </c>
      <c r="L21" s="188">
        <f t="shared" si="22"/>
        <v>658851.04</v>
      </c>
      <c r="M21" s="188">
        <f>ROUND('Schema Echiv_DB cst'!L21*coef,0)</f>
        <v>0</v>
      </c>
      <c r="N21" s="223">
        <f>'Deviz general curente'!G111</f>
        <v>3901190.09</v>
      </c>
      <c r="O21" s="223">
        <f t="shared" si="13"/>
        <v>2622648.66</v>
      </c>
      <c r="P21" s="223">
        <f t="shared" si="14"/>
        <v>3120952.07</v>
      </c>
      <c r="Q21" s="223">
        <f t="shared" si="15"/>
        <v>2570195.69</v>
      </c>
      <c r="R21" s="223">
        <f t="shared" si="16"/>
        <v>3058533.03</v>
      </c>
      <c r="S21" s="238">
        <v>16</v>
      </c>
      <c r="T21" s="238">
        <v>57</v>
      </c>
      <c r="V21" s="241">
        <f t="shared" si="17"/>
        <v>3278311</v>
      </c>
      <c r="W21" s="241">
        <f t="shared" si="3"/>
        <v>3278311</v>
      </c>
      <c r="X21" s="241">
        <f t="shared" si="18"/>
        <v>622879.08999999985</v>
      </c>
      <c r="Y21" s="241">
        <f t="shared" si="19"/>
        <v>2622648.66</v>
      </c>
      <c r="Z21" s="241">
        <v>0</v>
      </c>
      <c r="AA21" s="241">
        <f t="shared" si="20"/>
        <v>0</v>
      </c>
      <c r="AB21" s="241">
        <f t="shared" si="21"/>
        <v>622879.08999999985</v>
      </c>
      <c r="AC21" s="241">
        <f t="shared" si="7"/>
        <v>3245527.75</v>
      </c>
      <c r="AD21" s="241">
        <f t="shared" si="8"/>
        <v>2622648.66</v>
      </c>
      <c r="AE21" s="241">
        <f t="shared" si="9"/>
        <v>622879.08999999985</v>
      </c>
      <c r="AF21" s="241">
        <f t="shared" si="10"/>
        <v>52452.973200000008</v>
      </c>
      <c r="AG21" s="241">
        <f t="shared" si="11"/>
        <v>2622648.66</v>
      </c>
      <c r="AH21" s="241">
        <f t="shared" si="12"/>
        <v>2570195.6868000003</v>
      </c>
    </row>
    <row r="22" spans="3:34" s="170" customFormat="1" ht="36" customHeight="1">
      <c r="C22" s="1866"/>
      <c r="D22" s="1856"/>
      <c r="E22" s="1856"/>
      <c r="F22" s="194" t="s">
        <v>423</v>
      </c>
      <c r="G22" s="188">
        <f>'Deviz general curente'!D115</f>
        <v>164712.81</v>
      </c>
      <c r="H22" s="188">
        <f>'Deviz general curente'!C115</f>
        <v>819578</v>
      </c>
      <c r="I22" s="188">
        <f>'Deviz general curente'!G115</f>
        <v>975297.82000000007</v>
      </c>
      <c r="J22" s="188">
        <f>ROUND('Schema Echiv_DB cst'!I22*coef,2)</f>
        <v>164712.75</v>
      </c>
      <c r="K22" s="188">
        <f>ROUND('Schema Echiv_DB cst'!J22*coef,2)</f>
        <v>819577.71</v>
      </c>
      <c r="L22" s="188">
        <f t="shared" si="22"/>
        <v>164712.81</v>
      </c>
      <c r="M22" s="188">
        <f>ROUND('Schema Echiv_DB cst'!L22*coef,0)</f>
        <v>0</v>
      </c>
      <c r="N22" s="223">
        <f>'Deviz general curente'!G115</f>
        <v>975297.82000000007</v>
      </c>
      <c r="O22" s="223">
        <f t="shared" si="13"/>
        <v>655662.17000000004</v>
      </c>
      <c r="P22" s="223">
        <f t="shared" si="14"/>
        <v>780238.26</v>
      </c>
      <c r="Q22" s="223">
        <f t="shared" si="15"/>
        <v>642548.93000000005</v>
      </c>
      <c r="R22" s="223">
        <f t="shared" si="16"/>
        <v>764633.49</v>
      </c>
      <c r="S22" s="238">
        <v>16</v>
      </c>
      <c r="T22" s="238">
        <v>58</v>
      </c>
      <c r="V22" s="241">
        <f t="shared" si="17"/>
        <v>819578</v>
      </c>
      <c r="W22" s="241">
        <f t="shared" si="3"/>
        <v>819578</v>
      </c>
      <c r="X22" s="241">
        <f t="shared" si="18"/>
        <v>155719.82000000007</v>
      </c>
      <c r="Y22" s="241">
        <f t="shared" si="19"/>
        <v>655662.17000000004</v>
      </c>
      <c r="Z22" s="241">
        <v>0</v>
      </c>
      <c r="AA22" s="241">
        <f t="shared" si="20"/>
        <v>0</v>
      </c>
      <c r="AB22" s="241">
        <f t="shared" si="21"/>
        <v>155719.82000000007</v>
      </c>
      <c r="AC22" s="241">
        <f t="shared" si="7"/>
        <v>811381.99000000011</v>
      </c>
      <c r="AD22" s="241">
        <f t="shared" si="8"/>
        <v>655662.17000000004</v>
      </c>
      <c r="AE22" s="241">
        <f t="shared" si="9"/>
        <v>155719.82000000007</v>
      </c>
      <c r="AF22" s="241">
        <f t="shared" si="10"/>
        <v>13113.243400000001</v>
      </c>
      <c r="AG22" s="241">
        <f t="shared" si="11"/>
        <v>655662.17000000004</v>
      </c>
      <c r="AH22" s="241">
        <f t="shared" si="12"/>
        <v>642548.92660000001</v>
      </c>
    </row>
    <row r="23" spans="3:34" s="170" customFormat="1" ht="32.25" customHeight="1">
      <c r="C23" s="1866"/>
      <c r="D23" s="1856"/>
      <c r="E23" s="1856"/>
      <c r="F23" s="194" t="s">
        <v>424</v>
      </c>
      <c r="G23" s="188">
        <f>'Deviz general curente'!D131</f>
        <v>1507476.18</v>
      </c>
      <c r="H23" s="188">
        <f>'Deviz general curente'!C131</f>
        <v>7500900</v>
      </c>
      <c r="I23" s="188">
        <f>'Deviz general curente'!G131</f>
        <v>8926071</v>
      </c>
      <c r="J23" s="188">
        <f>ROUND('Schema Echiv_DB cst'!I23*coef,2)</f>
        <v>1507476.27</v>
      </c>
      <c r="K23" s="188">
        <f>ROUND('Schema Echiv_DB cst'!J23*coef,2)</f>
        <v>7500900.3899999997</v>
      </c>
      <c r="L23" s="188">
        <f t="shared" si="22"/>
        <v>1507476.18</v>
      </c>
      <c r="M23" s="188">
        <f>ROUND('Schema Echiv_DB cst'!L23*coef,0)</f>
        <v>0</v>
      </c>
      <c r="N23" s="223">
        <f>'Deviz general curente'!G131</f>
        <v>8926071</v>
      </c>
      <c r="O23" s="223">
        <f t="shared" si="13"/>
        <v>6000720.3099999996</v>
      </c>
      <c r="P23" s="223">
        <f t="shared" si="14"/>
        <v>7140856.7999999998</v>
      </c>
      <c r="Q23" s="223">
        <f t="shared" si="15"/>
        <v>5880705.9000000004</v>
      </c>
      <c r="R23" s="223">
        <f t="shared" si="16"/>
        <v>6998039.6600000001</v>
      </c>
      <c r="S23" s="238">
        <v>19</v>
      </c>
      <c r="T23" s="238">
        <v>61</v>
      </c>
      <c r="V23" s="241">
        <f t="shared" si="17"/>
        <v>7500900</v>
      </c>
      <c r="W23" s="241">
        <f t="shared" si="3"/>
        <v>7500900</v>
      </c>
      <c r="X23" s="241">
        <f t="shared" si="18"/>
        <v>1425171</v>
      </c>
      <c r="Y23" s="241">
        <f t="shared" si="19"/>
        <v>6000720.3099999996</v>
      </c>
      <c r="Z23" s="241">
        <v>0</v>
      </c>
      <c r="AA23" s="241">
        <f t="shared" si="20"/>
        <v>0</v>
      </c>
      <c r="AB23" s="241">
        <f t="shared" si="21"/>
        <v>1425171</v>
      </c>
      <c r="AC23" s="241">
        <f t="shared" si="7"/>
        <v>7425891.3099999996</v>
      </c>
      <c r="AD23" s="241">
        <f t="shared" si="8"/>
        <v>6000720.3099999996</v>
      </c>
      <c r="AE23" s="241">
        <f t="shared" si="9"/>
        <v>1425171</v>
      </c>
      <c r="AF23" s="241">
        <f t="shared" si="10"/>
        <v>120014.4062</v>
      </c>
      <c r="AG23" s="241">
        <f t="shared" si="11"/>
        <v>6000720.3099999996</v>
      </c>
      <c r="AH23" s="241">
        <f t="shared" si="12"/>
        <v>5880705.9037999995</v>
      </c>
    </row>
    <row r="24" spans="3:34" s="170" customFormat="1" ht="33.75" customHeight="1">
      <c r="C24" s="1866"/>
      <c r="D24" s="1856"/>
      <c r="E24" s="1856"/>
      <c r="F24" s="194" t="s">
        <v>425</v>
      </c>
      <c r="G24" s="188">
        <f>'Deviz general curente'!D134</f>
        <v>3014952.37</v>
      </c>
      <c r="H24" s="188">
        <f>'Deviz general curente'!C134</f>
        <v>15001800</v>
      </c>
      <c r="I24" s="188">
        <f>'Deviz general curente'!G134</f>
        <v>17852142</v>
      </c>
      <c r="J24" s="188">
        <f>ROUND('Schema Echiv_DB cst'!I24*coef,2)</f>
        <v>3014952.3</v>
      </c>
      <c r="K24" s="188">
        <f>ROUND('Schema Echiv_DB cst'!J24*coef,2)</f>
        <v>15001799.66</v>
      </c>
      <c r="L24" s="188">
        <f t="shared" si="22"/>
        <v>3014952.37</v>
      </c>
      <c r="M24" s="188">
        <f>ROUND('Schema Echiv_DB cst'!L24*coef,0)</f>
        <v>0</v>
      </c>
      <c r="N24" s="223">
        <f>'Deviz general curente'!G134</f>
        <v>17852142</v>
      </c>
      <c r="O24" s="223">
        <f t="shared" si="13"/>
        <v>12001439.73</v>
      </c>
      <c r="P24" s="223">
        <f t="shared" si="14"/>
        <v>14281713.6</v>
      </c>
      <c r="Q24" s="223">
        <f t="shared" si="15"/>
        <v>11761410.939999999</v>
      </c>
      <c r="R24" s="223">
        <f t="shared" si="16"/>
        <v>13996079.33</v>
      </c>
      <c r="S24" s="238">
        <v>19</v>
      </c>
      <c r="T24" s="238">
        <v>62</v>
      </c>
      <c r="V24" s="241">
        <f t="shared" si="17"/>
        <v>15001800</v>
      </c>
      <c r="W24" s="241">
        <f t="shared" si="3"/>
        <v>15001800</v>
      </c>
      <c r="X24" s="241">
        <f t="shared" si="18"/>
        <v>2850342</v>
      </c>
      <c r="Y24" s="241">
        <f t="shared" si="19"/>
        <v>12001439.73</v>
      </c>
      <c r="Z24" s="241">
        <v>0</v>
      </c>
      <c r="AA24" s="241">
        <f t="shared" si="20"/>
        <v>0</v>
      </c>
      <c r="AB24" s="241">
        <f t="shared" si="21"/>
        <v>2850342</v>
      </c>
      <c r="AC24" s="241">
        <f t="shared" si="7"/>
        <v>14851781.73</v>
      </c>
      <c r="AD24" s="241">
        <f t="shared" si="8"/>
        <v>12001439.73</v>
      </c>
      <c r="AE24" s="241">
        <f t="shared" si="9"/>
        <v>2850342</v>
      </c>
      <c r="AF24" s="241">
        <f t="shared" si="10"/>
        <v>240028.79460000002</v>
      </c>
      <c r="AG24" s="241">
        <f t="shared" si="11"/>
        <v>12001439.73</v>
      </c>
      <c r="AH24" s="241">
        <f t="shared" si="12"/>
        <v>11761410.9354</v>
      </c>
    </row>
    <row r="25" spans="3:34" s="170" customFormat="1" ht="31.5" customHeight="1">
      <c r="C25" s="1866"/>
      <c r="D25" s="1856"/>
      <c r="E25" s="1856"/>
      <c r="F25" s="191" t="s">
        <v>426</v>
      </c>
      <c r="G25" s="192">
        <f t="shared" ref="G25:R25" si="23">SUM(G16:G24)</f>
        <v>34027653.419999994</v>
      </c>
      <c r="H25" s="192">
        <f t="shared" si="23"/>
        <v>169314798</v>
      </c>
      <c r="I25" s="192">
        <f t="shared" ref="I25:Q25" si="24">SUM(I16:I24)</f>
        <v>201484609.62</v>
      </c>
      <c r="J25" s="192">
        <f t="shared" si="24"/>
        <v>34027653.379999995</v>
      </c>
      <c r="K25" s="192">
        <f t="shared" si="24"/>
        <v>169314797.78999999</v>
      </c>
      <c r="L25" s="192">
        <f t="shared" si="24"/>
        <v>34027653.419999994</v>
      </c>
      <c r="M25" s="192">
        <f t="shared" si="24"/>
        <v>0</v>
      </c>
      <c r="N25" s="192">
        <f t="shared" si="24"/>
        <v>201484609.62</v>
      </c>
      <c r="O25" s="192">
        <f t="shared" si="24"/>
        <v>135451838.24000001</v>
      </c>
      <c r="P25" s="192">
        <f t="shared" si="24"/>
        <v>161187687.69999999</v>
      </c>
      <c r="Q25" s="192">
        <f t="shared" si="24"/>
        <v>132742801.49000001</v>
      </c>
      <c r="R25" s="192">
        <f t="shared" si="23"/>
        <v>157963933.94</v>
      </c>
      <c r="S25" s="245"/>
      <c r="T25" s="245"/>
      <c r="V25" s="192">
        <f t="shared" ref="V25:AH25" si="25">SUM(V16:V24)</f>
        <v>169314798</v>
      </c>
      <c r="W25" s="192">
        <f t="shared" si="25"/>
        <v>169314798</v>
      </c>
      <c r="X25" s="192">
        <f t="shared" si="25"/>
        <v>32169811.620000008</v>
      </c>
      <c r="Y25" s="192">
        <f t="shared" si="25"/>
        <v>135451838.24000001</v>
      </c>
      <c r="Z25" s="192">
        <f t="shared" si="25"/>
        <v>0</v>
      </c>
      <c r="AA25" s="192">
        <f t="shared" si="25"/>
        <v>0</v>
      </c>
      <c r="AB25" s="192">
        <f t="shared" si="25"/>
        <v>32169811.620000008</v>
      </c>
      <c r="AC25" s="192">
        <f t="shared" si="25"/>
        <v>167621649.86000001</v>
      </c>
      <c r="AD25" s="192">
        <f t="shared" si="25"/>
        <v>135451838.24000001</v>
      </c>
      <c r="AE25" s="192">
        <f t="shared" si="25"/>
        <v>32169811.620000008</v>
      </c>
      <c r="AF25" s="192">
        <f t="shared" si="25"/>
        <v>2709036.7648000005</v>
      </c>
      <c r="AG25" s="192">
        <f t="shared" si="25"/>
        <v>135451838.24000001</v>
      </c>
      <c r="AH25" s="192">
        <f t="shared" si="25"/>
        <v>132742801.4752</v>
      </c>
    </row>
    <row r="26" spans="3:34" s="170" customFormat="1" ht="22.5" customHeight="1">
      <c r="C26" s="1866" t="s">
        <v>427</v>
      </c>
      <c r="D26" s="1856" t="s">
        <v>428</v>
      </c>
      <c r="E26" s="1856"/>
      <c r="F26" s="196" t="s">
        <v>429</v>
      </c>
      <c r="G26" s="188">
        <f>'Deviz general curente'!D83</f>
        <v>4260885.28</v>
      </c>
      <c r="H26" s="188">
        <f>'Deviz general curente'!C83</f>
        <v>21201313</v>
      </c>
      <c r="I26" s="188">
        <f>'Deviz general curente'!G83</f>
        <v>25229562.469999999</v>
      </c>
      <c r="J26" s="188">
        <f>ROUND('Schema Echiv_DB cst'!I26*coef,2)</f>
        <v>4260885.33</v>
      </c>
      <c r="K26" s="188">
        <f>ROUND('Schema Echiv_DB cst'!J26*coef,2)</f>
        <v>21201313.129999999</v>
      </c>
      <c r="L26" s="188">
        <f>G26</f>
        <v>4260885.28</v>
      </c>
      <c r="M26" s="188">
        <f>ROUND('Schema Echiv_DB cst'!L26*coef,0)</f>
        <v>0</v>
      </c>
      <c r="N26" s="223">
        <f>'Deviz general curente'!G83</f>
        <v>25229562.469999999</v>
      </c>
      <c r="O26" s="223">
        <f t="shared" ref="O26:O29" si="26">ROUND(K26*$R$3,2)</f>
        <v>16961050.5</v>
      </c>
      <c r="P26" s="223">
        <f t="shared" ref="P26:P29" si="27">ROUND(N26*$R$3,2)</f>
        <v>20183649.98</v>
      </c>
      <c r="Q26" s="223">
        <f t="shared" ref="Q26:Q29" si="28">ROUND(O26*98%,2)</f>
        <v>16621829.49</v>
      </c>
      <c r="R26" s="223">
        <f t="shared" ref="R26:R29" si="29">ROUND(P26*98%,2)</f>
        <v>19779976.98</v>
      </c>
      <c r="S26" s="238">
        <v>15</v>
      </c>
      <c r="T26" s="238">
        <v>53</v>
      </c>
      <c r="V26" s="241">
        <f t="shared" ref="V26:V29" si="30">ROUND(H26,2)</f>
        <v>21201313</v>
      </c>
      <c r="W26" s="241">
        <f t="shared" si="3"/>
        <v>21201313</v>
      </c>
      <c r="X26" s="241">
        <f t="shared" ref="X26:X29" si="31">I26-H26</f>
        <v>4028249.4699999988</v>
      </c>
      <c r="Y26" s="241">
        <f t="shared" ref="Y26:Y29" si="32">O26</f>
        <v>16961050.5</v>
      </c>
      <c r="Z26" s="241">
        <v>0</v>
      </c>
      <c r="AA26" s="241">
        <f t="shared" si="20"/>
        <v>0</v>
      </c>
      <c r="AB26" s="241">
        <f t="shared" si="21"/>
        <v>4028249.4699999988</v>
      </c>
      <c r="AC26" s="241">
        <f t="shared" ref="AC26:AC30" si="33">AD26+AE26</f>
        <v>20989299.969999999</v>
      </c>
      <c r="AD26" s="241">
        <f t="shared" ref="AD26:AD30" si="34">Y26+Z26</f>
        <v>16961050.5</v>
      </c>
      <c r="AE26" s="241">
        <f t="shared" ref="AE26:AE30" si="35">AA26+AB26</f>
        <v>4028249.4699999988</v>
      </c>
      <c r="AF26" s="241">
        <f t="shared" ref="AF26:AF30" si="36">AD26*2%</f>
        <v>339221.01</v>
      </c>
      <c r="AG26" s="241">
        <f t="shared" ref="AG26:AG30" si="37">AD26</f>
        <v>16961050.5</v>
      </c>
      <c r="AH26" s="241">
        <f t="shared" ref="AH26:AH30" si="38">AG26-AF26</f>
        <v>16621829.49</v>
      </c>
    </row>
    <row r="27" spans="3:34" s="170" customFormat="1" ht="30.75" customHeight="1">
      <c r="C27" s="1866"/>
      <c r="D27" s="1856"/>
      <c r="E27" s="1856"/>
      <c r="F27" s="197" t="s">
        <v>430</v>
      </c>
      <c r="G27" s="188">
        <f>'Deviz general curente'!D88</f>
        <v>37686904.82</v>
      </c>
      <c r="H27" s="188">
        <f>'Deviz general curente'!C88</f>
        <v>187522501</v>
      </c>
      <c r="I27" s="188">
        <f>'Deviz general curente'!G88</f>
        <v>223151776.19</v>
      </c>
      <c r="J27" s="188">
        <f>ROUND('Schema Echiv_DB cst'!I27*coef,2)</f>
        <v>37686904.840000004</v>
      </c>
      <c r="K27" s="188">
        <f>ROUND('Schema Echiv_DB cst'!J27*coef,2)</f>
        <v>187522501.19</v>
      </c>
      <c r="L27" s="188">
        <f>G27</f>
        <v>37686904.82</v>
      </c>
      <c r="M27" s="188">
        <f>ROUND('Schema Echiv_DB cst'!L27*coef,0)</f>
        <v>0</v>
      </c>
      <c r="N27" s="223">
        <f>'Deviz general curente'!G88</f>
        <v>223151776.19</v>
      </c>
      <c r="O27" s="223">
        <f t="shared" si="26"/>
        <v>150018000.94999999</v>
      </c>
      <c r="P27" s="223">
        <f t="shared" si="27"/>
        <v>178521420.94999999</v>
      </c>
      <c r="Q27" s="223">
        <f t="shared" si="28"/>
        <v>147017640.93000001</v>
      </c>
      <c r="R27" s="223">
        <f t="shared" si="29"/>
        <v>174950992.53</v>
      </c>
      <c r="S27" s="238">
        <v>15</v>
      </c>
      <c r="T27" s="238">
        <v>54</v>
      </c>
      <c r="V27" s="241">
        <f t="shared" si="30"/>
        <v>187522501</v>
      </c>
      <c r="W27" s="241">
        <f t="shared" si="3"/>
        <v>187522501</v>
      </c>
      <c r="X27" s="241">
        <f t="shared" si="31"/>
        <v>35629275.189999998</v>
      </c>
      <c r="Y27" s="241">
        <f t="shared" si="32"/>
        <v>150018000.94999999</v>
      </c>
      <c r="Z27" s="241">
        <v>0</v>
      </c>
      <c r="AA27" s="241">
        <f t="shared" si="20"/>
        <v>0</v>
      </c>
      <c r="AB27" s="241">
        <f t="shared" si="21"/>
        <v>35629275.189999998</v>
      </c>
      <c r="AC27" s="241">
        <f t="shared" si="33"/>
        <v>185647276.13999999</v>
      </c>
      <c r="AD27" s="241">
        <f t="shared" si="34"/>
        <v>150018000.94999999</v>
      </c>
      <c r="AE27" s="241">
        <f t="shared" si="35"/>
        <v>35629275.189999998</v>
      </c>
      <c r="AF27" s="241">
        <f t="shared" si="36"/>
        <v>3000360.0189999999</v>
      </c>
      <c r="AG27" s="241">
        <f t="shared" si="37"/>
        <v>150018000.94999999</v>
      </c>
      <c r="AH27" s="241">
        <f t="shared" si="38"/>
        <v>147017640.93099999</v>
      </c>
    </row>
    <row r="28" spans="3:34" s="170" customFormat="1" ht="18.75" customHeight="1">
      <c r="C28" s="1866"/>
      <c r="D28" s="1856"/>
      <c r="E28" s="1856"/>
      <c r="F28" s="196" t="s">
        <v>431</v>
      </c>
      <c r="G28" s="188">
        <f>'Deviz general curente'!D96</f>
        <v>2745072.55</v>
      </c>
      <c r="H28" s="188">
        <f>'Deviz general curente'!C96</f>
        <v>13658932</v>
      </c>
      <c r="I28" s="188">
        <f>'Deviz general curente'!G96</f>
        <v>16254129.08</v>
      </c>
      <c r="J28" s="188" t="e">
        <f>G28-L28</f>
        <v>#REF!</v>
      </c>
      <c r="K28" s="188">
        <f>ROUND('Schema Echiv_DB cst'!J28*coef,0)</f>
        <v>13658932</v>
      </c>
      <c r="L28" s="188" t="e">
        <f>ROUND('Schema Echiv_DB cst'!#REF!*coef,2)</f>
        <v>#REF!</v>
      </c>
      <c r="M28" s="188">
        <f>ROUND('Schema Echiv_DB cst'!L28*coef,0)</f>
        <v>0</v>
      </c>
      <c r="N28" s="223">
        <f>'Deviz general curente'!G96</f>
        <v>16254129.08</v>
      </c>
      <c r="O28" s="223">
        <f t="shared" si="26"/>
        <v>10927145.6</v>
      </c>
      <c r="P28" s="223">
        <f t="shared" si="27"/>
        <v>13003303.26</v>
      </c>
      <c r="Q28" s="223">
        <f t="shared" si="28"/>
        <v>10708602.689999999</v>
      </c>
      <c r="R28" s="223">
        <f t="shared" si="29"/>
        <v>12743237.189999999</v>
      </c>
      <c r="S28" s="238">
        <v>15</v>
      </c>
      <c r="T28" s="238">
        <v>54</v>
      </c>
      <c r="V28" s="241">
        <f t="shared" si="30"/>
        <v>13658932</v>
      </c>
      <c r="W28" s="241">
        <f t="shared" si="3"/>
        <v>13658932</v>
      </c>
      <c r="X28" s="241">
        <f t="shared" si="31"/>
        <v>2595197.08</v>
      </c>
      <c r="Y28" s="241">
        <f t="shared" si="32"/>
        <v>10927145.6</v>
      </c>
      <c r="Z28" s="241">
        <v>0</v>
      </c>
      <c r="AA28" s="241">
        <f t="shared" si="20"/>
        <v>0</v>
      </c>
      <c r="AB28" s="241">
        <f t="shared" si="21"/>
        <v>2595197.08</v>
      </c>
      <c r="AC28" s="241">
        <f t="shared" si="33"/>
        <v>13522342.68</v>
      </c>
      <c r="AD28" s="241">
        <f t="shared" si="34"/>
        <v>10927145.6</v>
      </c>
      <c r="AE28" s="241">
        <f t="shared" si="35"/>
        <v>2595197.08</v>
      </c>
      <c r="AF28" s="241">
        <f t="shared" si="36"/>
        <v>218542.91200000001</v>
      </c>
      <c r="AG28" s="241">
        <f t="shared" si="37"/>
        <v>10927145.6</v>
      </c>
      <c r="AH28" s="241">
        <f t="shared" si="38"/>
        <v>10708602.687999999</v>
      </c>
    </row>
    <row r="29" spans="3:34" s="170" customFormat="1" ht="18.75" customHeight="1">
      <c r="C29" s="1866"/>
      <c r="D29" s="1856"/>
      <c r="E29" s="1856"/>
      <c r="F29" s="196" t="s">
        <v>432</v>
      </c>
      <c r="G29" s="188">
        <f>'Deviz general curente'!D102</f>
        <v>9742430.1600000001</v>
      </c>
      <c r="H29" s="188">
        <f>'Deviz general curente'!C102</f>
        <v>48476384</v>
      </c>
      <c r="I29" s="188">
        <f>'Deviz general curente'!G102</f>
        <v>57686896.960000008</v>
      </c>
      <c r="J29" s="188">
        <f>ROUND('Schema Echiv_DB cst'!I29*coef,2)</f>
        <v>6162555.7199999997</v>
      </c>
      <c r="K29" s="188">
        <f>ROUND('Schema Echiv_DB cst'!J29*coef,2)</f>
        <v>30663644.719999999</v>
      </c>
      <c r="L29" s="188">
        <f>ROUND('Schema Echiv_DB cst'!K29*coef,2)</f>
        <v>3982497.1</v>
      </c>
      <c r="M29" s="188">
        <f>ROUND('Schema Echiv_DB cst'!L29*coef,2)</f>
        <v>19816109.109999999</v>
      </c>
      <c r="N29" s="223">
        <f>'Deviz general curente'!G102</f>
        <v>57686896.960000008</v>
      </c>
      <c r="O29" s="223">
        <f t="shared" si="26"/>
        <v>24530915.780000001</v>
      </c>
      <c r="P29" s="223">
        <f t="shared" si="27"/>
        <v>46149517.57</v>
      </c>
      <c r="Q29" s="223">
        <f t="shared" si="28"/>
        <v>24040297.460000001</v>
      </c>
      <c r="R29" s="223">
        <f t="shared" si="29"/>
        <v>45226527.219999999</v>
      </c>
      <c r="S29" s="238">
        <v>15</v>
      </c>
      <c r="T29" s="238">
        <v>54</v>
      </c>
      <c r="V29" s="241">
        <f t="shared" si="30"/>
        <v>48476384</v>
      </c>
      <c r="W29" s="241">
        <f t="shared" si="3"/>
        <v>48476384</v>
      </c>
      <c r="X29" s="241">
        <f t="shared" si="31"/>
        <v>9210512.9600000083</v>
      </c>
      <c r="Y29" s="241">
        <f t="shared" si="32"/>
        <v>24530915.780000001</v>
      </c>
      <c r="Z29" s="241">
        <v>0</v>
      </c>
      <c r="AA29" s="241">
        <f t="shared" si="20"/>
        <v>19816109.109999999</v>
      </c>
      <c r="AB29" s="241">
        <f t="shared" si="21"/>
        <v>9210512.9600000083</v>
      </c>
      <c r="AC29" s="241">
        <f t="shared" si="33"/>
        <v>53557537.850000009</v>
      </c>
      <c r="AD29" s="241">
        <f t="shared" si="34"/>
        <v>24530915.780000001</v>
      </c>
      <c r="AE29" s="241">
        <f t="shared" si="35"/>
        <v>29026622.070000008</v>
      </c>
      <c r="AF29" s="241">
        <f t="shared" si="36"/>
        <v>490618.31560000003</v>
      </c>
      <c r="AG29" s="241">
        <f t="shared" si="37"/>
        <v>24530915.780000001</v>
      </c>
      <c r="AH29" s="241">
        <f t="shared" si="38"/>
        <v>24040297.464400001</v>
      </c>
    </row>
    <row r="30" spans="3:34" s="170" customFormat="1" ht="18.75" hidden="1" customHeight="1">
      <c r="C30" s="1866"/>
      <c r="D30" s="1856"/>
      <c r="E30" s="1856"/>
      <c r="F30" s="196" t="s">
        <v>433</v>
      </c>
      <c r="G30" s="188">
        <f>'DEVIZ GENERAL'!D110</f>
        <v>0</v>
      </c>
      <c r="H30" s="188">
        <f>'DEVIZ GENERAL'!C110</f>
        <v>0</v>
      </c>
      <c r="I30" s="188">
        <f>'DEVIZ GENERAL'!D110</f>
        <v>0</v>
      </c>
      <c r="J30" s="188"/>
      <c r="K30" s="188"/>
      <c r="L30" s="188"/>
      <c r="M30" s="188"/>
      <c r="N30" s="223">
        <v>0</v>
      </c>
      <c r="O30" s="223">
        <f>H30*$R$3</f>
        <v>0</v>
      </c>
      <c r="P30" s="223">
        <f>N30*$R$3</f>
        <v>0</v>
      </c>
      <c r="Q30" s="223">
        <f t="shared" ref="Q30:R30" si="39">O30*98%</f>
        <v>0</v>
      </c>
      <c r="R30" s="223">
        <f t="shared" si="39"/>
        <v>0</v>
      </c>
      <c r="S30" s="238">
        <v>15</v>
      </c>
      <c r="T30" s="238">
        <v>55</v>
      </c>
      <c r="V30" s="241">
        <f t="shared" ref="V30" si="40">O30</f>
        <v>0</v>
      </c>
      <c r="W30" s="241">
        <f t="shared" si="3"/>
        <v>0</v>
      </c>
      <c r="X30" s="241">
        <f t="shared" ref="X30" si="41">P30-O30</f>
        <v>0</v>
      </c>
      <c r="Y30" s="241">
        <f t="shared" ref="Y30" si="42">W30</f>
        <v>0</v>
      </c>
      <c r="Z30" s="241">
        <f t="shared" ref="Z30" si="43">X30</f>
        <v>0</v>
      </c>
      <c r="AA30" s="241">
        <f>H30-O30</f>
        <v>0</v>
      </c>
      <c r="AB30" s="241">
        <f>(N30-H30)-(P30-O30)</f>
        <v>0</v>
      </c>
      <c r="AC30" s="241">
        <f t="shared" si="33"/>
        <v>0</v>
      </c>
      <c r="AD30" s="241">
        <f t="shared" si="34"/>
        <v>0</v>
      </c>
      <c r="AE30" s="241">
        <f t="shared" si="35"/>
        <v>0</v>
      </c>
      <c r="AF30" s="241">
        <f t="shared" si="36"/>
        <v>0</v>
      </c>
      <c r="AG30" s="241">
        <f t="shared" si="37"/>
        <v>0</v>
      </c>
      <c r="AH30" s="241">
        <f t="shared" si="38"/>
        <v>0</v>
      </c>
    </row>
    <row r="31" spans="3:34" s="170" customFormat="1" ht="18.75" customHeight="1">
      <c r="C31" s="1866"/>
      <c r="D31" s="1856"/>
      <c r="E31" s="1856"/>
      <c r="F31" s="191" t="s">
        <v>434</v>
      </c>
      <c r="G31" s="192">
        <f t="shared" ref="G31:R31" si="44">SUM(G26:G30)</f>
        <v>54435292.810000002</v>
      </c>
      <c r="H31" s="192">
        <f t="shared" si="44"/>
        <v>270859130</v>
      </c>
      <c r="I31" s="192">
        <f t="shared" ref="I31:M31" si="45">SUM(I26:I30)</f>
        <v>322322364.70000005</v>
      </c>
      <c r="J31" s="192" t="e">
        <f t="shared" si="45"/>
        <v>#REF!</v>
      </c>
      <c r="K31" s="192">
        <f t="shared" si="45"/>
        <v>253046391.03999999</v>
      </c>
      <c r="L31" s="192" t="e">
        <f t="shared" si="45"/>
        <v>#REF!</v>
      </c>
      <c r="M31" s="192">
        <f t="shared" si="45"/>
        <v>19816109.109999999</v>
      </c>
      <c r="N31" s="192">
        <f t="shared" si="44"/>
        <v>322322364.70000005</v>
      </c>
      <c r="O31" s="192">
        <f t="shared" si="44"/>
        <v>202437112.82999998</v>
      </c>
      <c r="P31" s="192">
        <f t="shared" si="44"/>
        <v>257857891.75999996</v>
      </c>
      <c r="Q31" s="192">
        <f t="shared" si="44"/>
        <v>198388370.57000002</v>
      </c>
      <c r="R31" s="192">
        <f t="shared" si="44"/>
        <v>252700733.91999999</v>
      </c>
      <c r="S31" s="245"/>
      <c r="T31" s="245"/>
      <c r="V31" s="192">
        <f t="shared" ref="V31:AH31" si="46">SUM(V26:V30)</f>
        <v>270859130</v>
      </c>
      <c r="W31" s="192">
        <f t="shared" si="46"/>
        <v>270859130</v>
      </c>
      <c r="X31" s="192">
        <f t="shared" si="46"/>
        <v>51463234.700000003</v>
      </c>
      <c r="Y31" s="192">
        <f t="shared" si="46"/>
        <v>202437112.82999998</v>
      </c>
      <c r="Z31" s="192">
        <f t="shared" si="46"/>
        <v>0</v>
      </c>
      <c r="AA31" s="192">
        <f t="shared" si="46"/>
        <v>19816109.109999999</v>
      </c>
      <c r="AB31" s="192">
        <f t="shared" si="46"/>
        <v>51463234.700000003</v>
      </c>
      <c r="AC31" s="192">
        <f t="shared" si="46"/>
        <v>273716456.63999999</v>
      </c>
      <c r="AD31" s="192">
        <f t="shared" si="46"/>
        <v>202437112.82999998</v>
      </c>
      <c r="AE31" s="192">
        <f t="shared" si="46"/>
        <v>71279343.810000002</v>
      </c>
      <c r="AF31" s="192">
        <f t="shared" si="46"/>
        <v>4048742.2566</v>
      </c>
      <c r="AG31" s="192">
        <f t="shared" si="46"/>
        <v>202437112.82999998</v>
      </c>
      <c r="AH31" s="192">
        <f t="shared" si="46"/>
        <v>198388370.57339999</v>
      </c>
    </row>
    <row r="32" spans="3:34" s="170" customFormat="1" ht="36" customHeight="1">
      <c r="C32" s="185" t="s">
        <v>197</v>
      </c>
      <c r="D32" s="1857" t="s">
        <v>435</v>
      </c>
      <c r="E32" s="1857"/>
      <c r="F32" s="191" t="s">
        <v>436</v>
      </c>
      <c r="G32" s="188">
        <f>'Deviz general curente'!D125</f>
        <v>8672970.3699999992</v>
      </c>
      <c r="H32" s="188">
        <f>'Deviz general curente'!C125</f>
        <v>43154966</v>
      </c>
      <c r="I32" s="188">
        <f>'Deviz general curente'!G125</f>
        <v>51354409.539999999</v>
      </c>
      <c r="J32" s="188">
        <f>ROUND('Schema Echiv_DB cst'!I32*coef,2)</f>
        <v>8672970.3399999999</v>
      </c>
      <c r="K32" s="188">
        <f>ROUND('Schema Echiv_DB cst'!J32*coef,2)</f>
        <v>43154965.789999999</v>
      </c>
      <c r="L32" s="188">
        <f>G32</f>
        <v>8672970.3699999992</v>
      </c>
      <c r="M32" s="188">
        <f>ROUND('Schema Echiv_DB cst'!L32*coef,0)</f>
        <v>0</v>
      </c>
      <c r="N32" s="225">
        <f>'Deviz general curente'!G125</f>
        <v>51354409.539999999</v>
      </c>
      <c r="O32" s="223">
        <f t="shared" ref="O32:O34" si="47">ROUND(K32*$R$3,2)</f>
        <v>34523972.630000003</v>
      </c>
      <c r="P32" s="223">
        <f t="shared" ref="P32:P34" si="48">ROUND(N32*$R$3,2)</f>
        <v>41083527.630000003</v>
      </c>
      <c r="Q32" s="223">
        <f t="shared" ref="Q32:Q34" si="49">ROUND(O32*98%,2)</f>
        <v>33833493.18</v>
      </c>
      <c r="R32" s="223">
        <f t="shared" ref="R32:R34" si="50">ROUND(P32*98%,2)</f>
        <v>40261857.079999998</v>
      </c>
      <c r="S32" s="238">
        <v>18</v>
      </c>
      <c r="T32" s="238">
        <v>60</v>
      </c>
      <c r="V32" s="241">
        <f t="shared" ref="V32:V34" si="51">ROUND(H32,2)</f>
        <v>43154966</v>
      </c>
      <c r="W32" s="241">
        <f t="shared" si="3"/>
        <v>43154966</v>
      </c>
      <c r="X32" s="241">
        <f t="shared" ref="X32:X34" si="52">I32-H32</f>
        <v>8199443.5399999991</v>
      </c>
      <c r="Y32" s="241">
        <f t="shared" ref="Y32:Y34" si="53">O32</f>
        <v>34523972.630000003</v>
      </c>
      <c r="Z32" s="241">
        <v>0</v>
      </c>
      <c r="AA32" s="241">
        <f t="shared" ref="AA32:AA34" si="54">M32</f>
        <v>0</v>
      </c>
      <c r="AB32" s="241">
        <f t="shared" ref="AB32:AB34" si="55">X32</f>
        <v>8199443.5399999991</v>
      </c>
      <c r="AC32" s="241">
        <f t="shared" ref="AC32:AC34" si="56">AD32+AE32</f>
        <v>42723416.170000002</v>
      </c>
      <c r="AD32" s="241">
        <f t="shared" ref="AD32:AD34" si="57">Y32+Z32</f>
        <v>34523972.630000003</v>
      </c>
      <c r="AE32" s="241">
        <f t="shared" ref="AE32:AE34" si="58">AA32+AB32</f>
        <v>8199443.5399999991</v>
      </c>
      <c r="AF32" s="241">
        <f t="shared" ref="AF32:AF34" si="59">AD32*2%</f>
        <v>690479.45260000008</v>
      </c>
      <c r="AG32" s="241">
        <f t="shared" ref="AG32:AG34" si="60">AD32</f>
        <v>34523972.630000003</v>
      </c>
      <c r="AH32" s="241">
        <f t="shared" ref="AH32:AH34" si="61">AG32-AF32</f>
        <v>33833493.1774</v>
      </c>
    </row>
    <row r="33" spans="2:34" s="170" customFormat="1" ht="45" customHeight="1">
      <c r="C33" s="1867" t="s">
        <v>440</v>
      </c>
      <c r="D33" s="1874" t="s">
        <v>441</v>
      </c>
      <c r="E33" s="1875"/>
      <c r="F33" s="199" t="s">
        <v>87</v>
      </c>
      <c r="G33" s="188">
        <f>'Deviz general curente'!D127</f>
        <v>111246.83</v>
      </c>
      <c r="H33" s="188">
        <f>'Deviz general curente'!C127</f>
        <v>553542</v>
      </c>
      <c r="I33" s="188">
        <f>'Deviz general curente'!G127</f>
        <v>658714.98</v>
      </c>
      <c r="J33" s="188">
        <f>ROUND('Schema Echiv_DB cst'!I34*coef,2)</f>
        <v>111246.84</v>
      </c>
      <c r="K33" s="188">
        <f>ROUND('Schema Echiv_DB cst'!J34*coef,0)</f>
        <v>553542</v>
      </c>
      <c r="L33" s="188">
        <f>G33-J33</f>
        <v>-9.9999999947613105E-3</v>
      </c>
      <c r="M33" s="188">
        <f>ROUND('Schema Echiv_DB cst'!L34*coef,0)</f>
        <v>0</v>
      </c>
      <c r="N33" s="223">
        <f>'Deviz general curente'!G127</f>
        <v>658714.98</v>
      </c>
      <c r="O33" s="223">
        <f t="shared" si="47"/>
        <v>442833.6</v>
      </c>
      <c r="P33" s="223">
        <f t="shared" si="48"/>
        <v>526971.98</v>
      </c>
      <c r="Q33" s="223">
        <f t="shared" si="49"/>
        <v>433976.93</v>
      </c>
      <c r="R33" s="223">
        <f t="shared" si="50"/>
        <v>516432.54</v>
      </c>
      <c r="S33" s="238">
        <v>8</v>
      </c>
      <c r="T33" s="238">
        <v>17</v>
      </c>
      <c r="V33" s="241">
        <f t="shared" si="51"/>
        <v>553542</v>
      </c>
      <c r="W33" s="241">
        <f t="shared" si="3"/>
        <v>553542</v>
      </c>
      <c r="X33" s="241">
        <f t="shared" si="52"/>
        <v>105172.97999999998</v>
      </c>
      <c r="Y33" s="241">
        <f t="shared" si="53"/>
        <v>442833.6</v>
      </c>
      <c r="Z33" s="241">
        <v>0</v>
      </c>
      <c r="AA33" s="241">
        <f t="shared" si="54"/>
        <v>0</v>
      </c>
      <c r="AB33" s="241">
        <f t="shared" si="55"/>
        <v>105172.97999999998</v>
      </c>
      <c r="AC33" s="241">
        <f t="shared" si="56"/>
        <v>548006.57999999996</v>
      </c>
      <c r="AD33" s="241">
        <f t="shared" si="57"/>
        <v>442833.6</v>
      </c>
      <c r="AE33" s="241">
        <f t="shared" si="58"/>
        <v>105172.97999999998</v>
      </c>
      <c r="AF33" s="241">
        <f t="shared" si="59"/>
        <v>8856.6720000000005</v>
      </c>
      <c r="AG33" s="241">
        <f t="shared" si="60"/>
        <v>442833.6</v>
      </c>
      <c r="AH33" s="241">
        <f t="shared" si="61"/>
        <v>433976.92799999996</v>
      </c>
    </row>
    <row r="34" spans="2:34" s="170" customFormat="1" ht="45" customHeight="1">
      <c r="C34" s="1868"/>
      <c r="D34" s="1876"/>
      <c r="E34" s="1877"/>
      <c r="F34" s="199" t="s">
        <v>89</v>
      </c>
      <c r="G34" s="188">
        <f>'Deviz general curente'!D128</f>
        <v>270950.59999999998</v>
      </c>
      <c r="H34" s="188">
        <f>'Deviz general curente'!C128</f>
        <v>1348196</v>
      </c>
      <c r="I34" s="188">
        <f>'Deviz general curente'!G128</f>
        <v>1604353.24</v>
      </c>
      <c r="J34" s="188">
        <f>ROUND('Schema Echiv_DB cst'!I35*coef,2)</f>
        <v>270950.59999999998</v>
      </c>
      <c r="K34" s="188">
        <f>ROUND('Schema Echiv_DB cst'!J35*coef,0)</f>
        <v>1348196</v>
      </c>
      <c r="L34" s="188">
        <f>G34-J34</f>
        <v>0</v>
      </c>
      <c r="M34" s="188">
        <f>ROUNDDOWN('Schema Echiv_DB cst'!L35*coef,0)</f>
        <v>0</v>
      </c>
      <c r="N34" s="223">
        <f>'Deviz general curente'!G128</f>
        <v>1604353.24</v>
      </c>
      <c r="O34" s="223">
        <f t="shared" si="47"/>
        <v>1078556.8</v>
      </c>
      <c r="P34" s="223">
        <f t="shared" si="48"/>
        <v>1283482.5900000001</v>
      </c>
      <c r="Q34" s="223">
        <f t="shared" si="49"/>
        <v>1056985.6599999999</v>
      </c>
      <c r="R34" s="223">
        <f t="shared" si="50"/>
        <v>1257812.94</v>
      </c>
      <c r="S34" s="238">
        <v>8</v>
      </c>
      <c r="T34" s="238">
        <v>18</v>
      </c>
      <c r="V34" s="241">
        <f t="shared" si="51"/>
        <v>1348196</v>
      </c>
      <c r="W34" s="241">
        <f t="shared" si="3"/>
        <v>1348196</v>
      </c>
      <c r="X34" s="241">
        <f t="shared" si="52"/>
        <v>256157.24</v>
      </c>
      <c r="Y34" s="241">
        <f t="shared" si="53"/>
        <v>1078556.8</v>
      </c>
      <c r="Z34" s="241">
        <v>0</v>
      </c>
      <c r="AA34" s="241">
        <f t="shared" si="54"/>
        <v>0</v>
      </c>
      <c r="AB34" s="241">
        <f t="shared" si="55"/>
        <v>256157.24</v>
      </c>
      <c r="AC34" s="241">
        <f t="shared" si="56"/>
        <v>1334714.04</v>
      </c>
      <c r="AD34" s="241">
        <f t="shared" si="57"/>
        <v>1078556.8</v>
      </c>
      <c r="AE34" s="241">
        <f t="shared" si="58"/>
        <v>256157.24</v>
      </c>
      <c r="AF34" s="241">
        <f t="shared" si="59"/>
        <v>21571.136000000002</v>
      </c>
      <c r="AG34" s="241">
        <f t="shared" si="60"/>
        <v>1078556.8</v>
      </c>
      <c r="AH34" s="241">
        <f t="shared" si="61"/>
        <v>1056985.6640000001</v>
      </c>
    </row>
    <row r="35" spans="2:34" s="170" customFormat="1" ht="45" customHeight="1">
      <c r="C35" s="1869"/>
      <c r="D35" s="1878"/>
      <c r="E35" s="1879"/>
      <c r="F35" s="191" t="s">
        <v>442</v>
      </c>
      <c r="G35" s="192">
        <f t="shared" ref="G35:R35" si="62">G33+G34</f>
        <v>382197.43</v>
      </c>
      <c r="H35" s="192">
        <f t="shared" si="62"/>
        <v>1901738</v>
      </c>
      <c r="I35" s="192">
        <f t="shared" ref="I35:M35" si="63">I33+I34</f>
        <v>2263068.2199999997</v>
      </c>
      <c r="J35" s="192">
        <f t="shared" si="63"/>
        <v>382197.43999999994</v>
      </c>
      <c r="K35" s="192">
        <f t="shared" si="63"/>
        <v>1901738</v>
      </c>
      <c r="L35" s="192">
        <f t="shared" si="63"/>
        <v>-9.9999999947613105E-3</v>
      </c>
      <c r="M35" s="192">
        <f t="shared" si="63"/>
        <v>0</v>
      </c>
      <c r="N35" s="192">
        <f t="shared" si="62"/>
        <v>2263068.2199999997</v>
      </c>
      <c r="O35" s="192">
        <f t="shared" si="62"/>
        <v>1521390.4</v>
      </c>
      <c r="P35" s="192">
        <f t="shared" si="62"/>
        <v>1810454.57</v>
      </c>
      <c r="Q35" s="192">
        <f t="shared" si="62"/>
        <v>1490962.5899999999</v>
      </c>
      <c r="R35" s="192">
        <f t="shared" si="62"/>
        <v>1774245.48</v>
      </c>
      <c r="S35" s="238" t="s">
        <v>9</v>
      </c>
      <c r="T35" s="238" t="s">
        <v>9</v>
      </c>
      <c r="V35" s="192">
        <f t="shared" ref="V35:AH35" si="64">V33+V34</f>
        <v>1901738</v>
      </c>
      <c r="W35" s="192">
        <f t="shared" si="64"/>
        <v>1901738</v>
      </c>
      <c r="X35" s="192">
        <f t="shared" si="64"/>
        <v>361330.22</v>
      </c>
      <c r="Y35" s="192">
        <f t="shared" si="64"/>
        <v>1521390.4</v>
      </c>
      <c r="Z35" s="192">
        <f t="shared" si="64"/>
        <v>0</v>
      </c>
      <c r="AA35" s="192">
        <f t="shared" si="64"/>
        <v>0</v>
      </c>
      <c r="AB35" s="192">
        <f t="shared" si="64"/>
        <v>361330.22</v>
      </c>
      <c r="AC35" s="192">
        <f t="shared" si="64"/>
        <v>1882720.62</v>
      </c>
      <c r="AD35" s="192">
        <f t="shared" si="64"/>
        <v>1521390.4</v>
      </c>
      <c r="AE35" s="192">
        <f t="shared" si="64"/>
        <v>361330.22</v>
      </c>
      <c r="AF35" s="192">
        <f t="shared" si="64"/>
        <v>30427.808000000005</v>
      </c>
      <c r="AG35" s="192">
        <f t="shared" si="64"/>
        <v>1521390.4</v>
      </c>
      <c r="AH35" s="192">
        <f t="shared" si="64"/>
        <v>1490962.5920000002</v>
      </c>
    </row>
    <row r="36" spans="2:34" s="170" customFormat="1" ht="45" customHeight="1">
      <c r="C36" s="1870" t="s">
        <v>443</v>
      </c>
      <c r="D36" s="1857" t="s">
        <v>444</v>
      </c>
      <c r="E36" s="1857"/>
      <c r="F36" s="200" t="s">
        <v>445</v>
      </c>
      <c r="G36" s="188">
        <f>'Deviz general curente'!D62</f>
        <v>14017.460000000001</v>
      </c>
      <c r="H36" s="188">
        <f>'Deviz general curente'!C62</f>
        <v>69748</v>
      </c>
      <c r="I36" s="188">
        <f>'Deviz general curente'!G62</f>
        <v>83000.12</v>
      </c>
      <c r="J36" s="188">
        <f>ROUND('Schema Echiv_DB cst'!I37*coef,2)</f>
        <v>14017.3</v>
      </c>
      <c r="K36" s="188">
        <f>ROUND('Schema Echiv_DB cst'!J37*coef,2)</f>
        <v>69747.320000000007</v>
      </c>
      <c r="L36" s="188">
        <f>G36-J36</f>
        <v>0.16000000000167347</v>
      </c>
      <c r="M36" s="188">
        <f>H36-K36</f>
        <v>0.67999999999301508</v>
      </c>
      <c r="N36" s="223">
        <f>'Deviz general curente'!G62</f>
        <v>83000.12</v>
      </c>
      <c r="O36" s="223">
        <f t="shared" ref="O36:O37" si="65">ROUND(K36*$R$3,2)</f>
        <v>55797.86</v>
      </c>
      <c r="P36" s="223">
        <f t="shared" ref="P36:P37" si="66">ROUND(N36*$R$3,2)</f>
        <v>66400.100000000006</v>
      </c>
      <c r="Q36" s="223">
        <f t="shared" ref="Q36:Q37" si="67">ROUND(O36*98%,2)</f>
        <v>54681.9</v>
      </c>
      <c r="R36" s="223">
        <f t="shared" ref="R36:R37" si="68">ROUND(P36*98%,2)</f>
        <v>65072.1</v>
      </c>
      <c r="S36" s="238">
        <v>14</v>
      </c>
      <c r="T36" s="238">
        <v>50</v>
      </c>
      <c r="V36" s="241">
        <f t="shared" ref="V36:V37" si="69">ROUND(H36,2)</f>
        <v>69748</v>
      </c>
      <c r="W36" s="241">
        <f t="shared" ref="W36:W37" si="70">V36</f>
        <v>69748</v>
      </c>
      <c r="X36" s="241">
        <f t="shared" ref="X36:X37" si="71">I36-H36</f>
        <v>13252.119999999995</v>
      </c>
      <c r="Y36" s="241">
        <f t="shared" ref="Y36:Y37" si="72">O36</f>
        <v>55797.86</v>
      </c>
      <c r="Z36" s="241">
        <v>0</v>
      </c>
      <c r="AA36" s="241">
        <f t="shared" ref="AA36:AA37" si="73">M36</f>
        <v>0.67999999999301508</v>
      </c>
      <c r="AB36" s="241">
        <f t="shared" ref="AB36:AB37" si="74">X36</f>
        <v>13252.119999999995</v>
      </c>
      <c r="AC36" s="241">
        <f t="shared" ref="AC36:AC37" si="75">AD36+AE36</f>
        <v>69050.659999999989</v>
      </c>
      <c r="AD36" s="241">
        <f t="shared" ref="AD36:AD37" si="76">Y36+Z36</f>
        <v>55797.86</v>
      </c>
      <c r="AE36" s="241">
        <f t="shared" ref="AE36:AE37" si="77">AA36+AB36</f>
        <v>13252.799999999988</v>
      </c>
      <c r="AF36" s="241">
        <f t="shared" ref="AF36:AF37" si="78">AD36*2%</f>
        <v>1115.9572000000001</v>
      </c>
      <c r="AG36" s="241">
        <f t="shared" ref="AG36:AG37" si="79">AD36</f>
        <v>55797.86</v>
      </c>
      <c r="AH36" s="241">
        <f t="shared" ref="AH36:AH37" si="80">AG36-AF36</f>
        <v>54681.902800000003</v>
      </c>
    </row>
    <row r="37" spans="2:34" s="170" customFormat="1" ht="45" customHeight="1">
      <c r="C37" s="1870"/>
      <c r="D37" s="1857"/>
      <c r="E37" s="1857"/>
      <c r="F37" s="198" t="s">
        <v>446</v>
      </c>
      <c r="G37" s="188">
        <f>'Deviz general curente'!D69</f>
        <v>2221001.25</v>
      </c>
      <c r="H37" s="188">
        <f>'Deviz general curente'!C69</f>
        <v>11051258</v>
      </c>
      <c r="I37" s="188">
        <f>'Deviz general curente'!G69</f>
        <v>13150997.02</v>
      </c>
      <c r="J37" s="188">
        <f>ROUND('Schema Echiv_DB cst'!I38*coef,2)</f>
        <v>2221001.16</v>
      </c>
      <c r="K37" s="188">
        <f>ROUND('Schema Echiv_DB cst'!J38*coef,2)</f>
        <v>11051257.57</v>
      </c>
      <c r="L37" s="188">
        <f>G37</f>
        <v>2221001.25</v>
      </c>
      <c r="M37" s="188">
        <f>ROUND('Schema Echiv_DB cst'!L38*coef,0)</f>
        <v>0</v>
      </c>
      <c r="N37" s="223">
        <f>'Deviz general curente'!G69</f>
        <v>13150997.02</v>
      </c>
      <c r="O37" s="223">
        <f t="shared" si="65"/>
        <v>8841006.0600000005</v>
      </c>
      <c r="P37" s="223">
        <f t="shared" si="66"/>
        <v>10520797.619999999</v>
      </c>
      <c r="Q37" s="223">
        <f t="shared" si="67"/>
        <v>8664185.9399999995</v>
      </c>
      <c r="R37" s="223">
        <f t="shared" si="68"/>
        <v>10310381.67</v>
      </c>
      <c r="S37" s="238">
        <v>14</v>
      </c>
      <c r="T37" s="238">
        <v>51</v>
      </c>
      <c r="V37" s="241">
        <f t="shared" si="69"/>
        <v>11051258</v>
      </c>
      <c r="W37" s="241">
        <f t="shared" si="70"/>
        <v>11051258</v>
      </c>
      <c r="X37" s="241">
        <f t="shared" si="71"/>
        <v>2099739.0199999996</v>
      </c>
      <c r="Y37" s="241">
        <f t="shared" si="72"/>
        <v>8841006.0600000005</v>
      </c>
      <c r="Z37" s="241">
        <v>0</v>
      </c>
      <c r="AA37" s="241">
        <f t="shared" si="73"/>
        <v>0</v>
      </c>
      <c r="AB37" s="241">
        <f t="shared" si="74"/>
        <v>2099739.0199999996</v>
      </c>
      <c r="AC37" s="241">
        <f t="shared" si="75"/>
        <v>10940745.08</v>
      </c>
      <c r="AD37" s="241">
        <f t="shared" si="76"/>
        <v>8841006.0600000005</v>
      </c>
      <c r="AE37" s="241">
        <f t="shared" si="77"/>
        <v>2099739.0199999996</v>
      </c>
      <c r="AF37" s="241">
        <f t="shared" si="78"/>
        <v>176820.12120000002</v>
      </c>
      <c r="AG37" s="241">
        <f t="shared" si="79"/>
        <v>8841006.0600000005</v>
      </c>
      <c r="AH37" s="241">
        <f t="shared" si="80"/>
        <v>8664185.9387999997</v>
      </c>
    </row>
    <row r="38" spans="2:34" s="170" customFormat="1" ht="45" customHeight="1">
      <c r="C38" s="1870"/>
      <c r="D38" s="1857"/>
      <c r="E38" s="1857"/>
      <c r="F38" s="191" t="s">
        <v>447</v>
      </c>
      <c r="G38" s="192">
        <f t="shared" ref="G38:R38" si="81">+G37+G36</f>
        <v>2235018.71</v>
      </c>
      <c r="H38" s="192">
        <f t="shared" si="81"/>
        <v>11121006</v>
      </c>
      <c r="I38" s="192">
        <f t="shared" ref="I38:M38" si="82">+I37+I36</f>
        <v>13233997.139999999</v>
      </c>
      <c r="J38" s="192">
        <f t="shared" si="82"/>
        <v>2235018.46</v>
      </c>
      <c r="K38" s="192">
        <f t="shared" si="82"/>
        <v>11121004.890000001</v>
      </c>
      <c r="L38" s="192">
        <f t="shared" si="82"/>
        <v>2221001.41</v>
      </c>
      <c r="M38" s="192">
        <f t="shared" si="82"/>
        <v>0.67999999999301508</v>
      </c>
      <c r="N38" s="192">
        <f t="shared" si="81"/>
        <v>13233997.139999999</v>
      </c>
      <c r="O38" s="192">
        <f t="shared" si="81"/>
        <v>8896803.9199999999</v>
      </c>
      <c r="P38" s="192">
        <f t="shared" si="81"/>
        <v>10587197.719999999</v>
      </c>
      <c r="Q38" s="192">
        <f t="shared" si="81"/>
        <v>8718867.8399999999</v>
      </c>
      <c r="R38" s="192">
        <f t="shared" si="81"/>
        <v>10375453.77</v>
      </c>
      <c r="S38" s="240"/>
      <c r="T38" s="240"/>
      <c r="V38" s="192">
        <f t="shared" ref="V38:AH38" si="83">+V37+V36</f>
        <v>11121006</v>
      </c>
      <c r="W38" s="192">
        <f t="shared" si="83"/>
        <v>11121006</v>
      </c>
      <c r="X38" s="192">
        <f t="shared" si="83"/>
        <v>2112991.1399999997</v>
      </c>
      <c r="Y38" s="192">
        <f t="shared" si="83"/>
        <v>8896803.9199999999</v>
      </c>
      <c r="Z38" s="192">
        <f t="shared" si="83"/>
        <v>0</v>
      </c>
      <c r="AA38" s="192">
        <f t="shared" si="83"/>
        <v>0.67999999999301508</v>
      </c>
      <c r="AB38" s="192">
        <f t="shared" si="83"/>
        <v>2112991.1399999997</v>
      </c>
      <c r="AC38" s="192">
        <f t="shared" si="83"/>
        <v>11009795.74</v>
      </c>
      <c r="AD38" s="192">
        <f t="shared" si="83"/>
        <v>8896803.9199999999</v>
      </c>
      <c r="AE38" s="192">
        <f t="shared" si="83"/>
        <v>2112991.8199999994</v>
      </c>
      <c r="AF38" s="192">
        <f t="shared" si="83"/>
        <v>177936.07840000003</v>
      </c>
      <c r="AG38" s="192">
        <f t="shared" si="83"/>
        <v>8896803.9199999999</v>
      </c>
      <c r="AH38" s="192">
        <f t="shared" si="83"/>
        <v>8718867.841599999</v>
      </c>
    </row>
    <row r="39" spans="2:34" s="170" customFormat="1" ht="45" customHeight="1">
      <c r="C39" s="1871" t="s">
        <v>448</v>
      </c>
      <c r="D39" s="1874" t="s">
        <v>449</v>
      </c>
      <c r="E39" s="1875"/>
      <c r="F39" s="201" t="s">
        <v>450</v>
      </c>
      <c r="G39" s="188">
        <f>'Deviz general curente'!D38</f>
        <v>402704.08</v>
      </c>
      <c r="H39" s="188">
        <f>'Deviz general curente'!C38</f>
        <v>2003775</v>
      </c>
      <c r="I39" s="188">
        <f>'Deviz general curente'!G38</f>
        <v>2384492.25</v>
      </c>
      <c r="J39" s="188">
        <f>G39</f>
        <v>402704.08</v>
      </c>
      <c r="K39" s="188">
        <f>ROUND('Schema Echiv_DB cst'!J40*coef,0)</f>
        <v>2003775</v>
      </c>
      <c r="L39" s="188">
        <f>ROUND('Schema Echiv_DB cst'!K40*coef,2)</f>
        <v>0</v>
      </c>
      <c r="M39" s="188">
        <f>ROUND('Schema Echiv_DB cst'!L40*coef,2)</f>
        <v>0</v>
      </c>
      <c r="N39" s="223">
        <f>'Deviz general curente'!G38</f>
        <v>2384492.25</v>
      </c>
      <c r="O39" s="223">
        <f t="shared" ref="O39:O45" si="84">ROUND(K39*$R$3,2)</f>
        <v>1603020</v>
      </c>
      <c r="P39" s="223">
        <f t="shared" ref="P39:P45" si="85">ROUND(N39*$R$3,2)</f>
        <v>1907593.8</v>
      </c>
      <c r="Q39" s="223">
        <f t="shared" ref="Q39:Q45" si="86">ROUND(O39*98%,2)</f>
        <v>1570959.6</v>
      </c>
      <c r="R39" s="223">
        <f t="shared" ref="R39:R45" si="87">ROUND(P39*98%,2)</f>
        <v>1869441.92</v>
      </c>
      <c r="S39" s="246">
        <v>14</v>
      </c>
      <c r="T39" s="246">
        <v>43</v>
      </c>
      <c r="V39" s="241">
        <f t="shared" ref="V39:V45" si="88">ROUND(H39,2)</f>
        <v>2003775</v>
      </c>
      <c r="W39" s="241">
        <f t="shared" ref="W39:W45" si="89">V39</f>
        <v>2003775</v>
      </c>
      <c r="X39" s="241">
        <f t="shared" ref="X39:X45" si="90">I39-H39</f>
        <v>380717.25</v>
      </c>
      <c r="Y39" s="241">
        <f t="shared" ref="Y39:Y45" si="91">O39</f>
        <v>1603020</v>
      </c>
      <c r="Z39" s="241">
        <v>0</v>
      </c>
      <c r="AA39" s="241">
        <f t="shared" ref="AA39:AA45" si="92">M39</f>
        <v>0</v>
      </c>
      <c r="AB39" s="241">
        <f t="shared" ref="AB39:AB45" si="93">X39</f>
        <v>380717.25</v>
      </c>
      <c r="AC39" s="241">
        <f t="shared" ref="AC39:AC45" si="94">AD39+AE39</f>
        <v>1983737.25</v>
      </c>
      <c r="AD39" s="241">
        <f t="shared" ref="AD39:AD45" si="95">Y39+Z39</f>
        <v>1603020</v>
      </c>
      <c r="AE39" s="241">
        <f t="shared" ref="AE39:AE45" si="96">AA39+AB39</f>
        <v>380717.25</v>
      </c>
      <c r="AF39" s="241">
        <f t="shared" ref="AF39:AF45" si="97">AD39*2%</f>
        <v>32060.400000000001</v>
      </c>
      <c r="AG39" s="241">
        <f t="shared" ref="AG39:AG45" si="98">AD39</f>
        <v>1603020</v>
      </c>
      <c r="AH39" s="241">
        <f t="shared" ref="AH39:AH45" si="99">AG39-AF39</f>
        <v>1570959.6</v>
      </c>
    </row>
    <row r="40" spans="2:34" s="170" customFormat="1" ht="57" customHeight="1">
      <c r="B40" s="1864"/>
      <c r="C40" s="1872"/>
      <c r="D40" s="1876"/>
      <c r="E40" s="1877"/>
      <c r="F40" s="198" t="s">
        <v>451</v>
      </c>
      <c r="G40" s="188">
        <f>'Deviz general curente'!D59</f>
        <v>778727.85</v>
      </c>
      <c r="H40" s="188">
        <f>'Deviz general curente'!C59</f>
        <v>3874794</v>
      </c>
      <c r="I40" s="188">
        <f>'Deviz general curente'!G59</f>
        <v>4611004.8600000003</v>
      </c>
      <c r="J40" s="188">
        <f>ROUNDDOWN('Schema Echiv_DB cst'!I41*coef,2)</f>
        <v>778727.86</v>
      </c>
      <c r="K40" s="188">
        <f>H40-M40</f>
        <v>3874794</v>
      </c>
      <c r="L40" s="188">
        <f>G40-J40</f>
        <v>-1.0000000009313226E-2</v>
      </c>
      <c r="M40" s="188">
        <f>ROUND('Schema Echiv_DB cst'!L41*coef,2)</f>
        <v>0</v>
      </c>
      <c r="N40" s="223">
        <f>'Deviz general curente'!G59</f>
        <v>4611004.8600000003</v>
      </c>
      <c r="O40" s="223">
        <f t="shared" si="84"/>
        <v>3099835.2</v>
      </c>
      <c r="P40" s="223">
        <f t="shared" si="85"/>
        <v>3688803.89</v>
      </c>
      <c r="Q40" s="223">
        <f t="shared" si="86"/>
        <v>3037838.5</v>
      </c>
      <c r="R40" s="223">
        <f t="shared" si="87"/>
        <v>3615027.81</v>
      </c>
      <c r="S40" s="238">
        <v>14</v>
      </c>
      <c r="T40" s="238">
        <v>49</v>
      </c>
      <c r="V40" s="241">
        <f t="shared" si="88"/>
        <v>3874794</v>
      </c>
      <c r="W40" s="241">
        <f t="shared" si="89"/>
        <v>3874794</v>
      </c>
      <c r="X40" s="241">
        <f t="shared" si="90"/>
        <v>736210.86000000034</v>
      </c>
      <c r="Y40" s="241">
        <f t="shared" si="91"/>
        <v>3099835.2</v>
      </c>
      <c r="Z40" s="241">
        <v>0</v>
      </c>
      <c r="AA40" s="241">
        <f t="shared" si="92"/>
        <v>0</v>
      </c>
      <c r="AB40" s="241">
        <f t="shared" si="93"/>
        <v>736210.86000000034</v>
      </c>
      <c r="AC40" s="241">
        <f t="shared" si="94"/>
        <v>3836046.0600000005</v>
      </c>
      <c r="AD40" s="241">
        <f t="shared" si="95"/>
        <v>3099835.2</v>
      </c>
      <c r="AE40" s="241">
        <f t="shared" si="96"/>
        <v>736210.86000000034</v>
      </c>
      <c r="AF40" s="241">
        <f t="shared" si="97"/>
        <v>61996.704000000005</v>
      </c>
      <c r="AG40" s="241">
        <f t="shared" si="98"/>
        <v>3099835.2</v>
      </c>
      <c r="AH40" s="241">
        <f t="shared" si="99"/>
        <v>3037838.4960000003</v>
      </c>
    </row>
    <row r="41" spans="2:34" s="170" customFormat="1" ht="45.75" customHeight="1">
      <c r="B41" s="1864"/>
      <c r="C41" s="1872"/>
      <c r="D41" s="1876"/>
      <c r="E41" s="1877"/>
      <c r="F41" s="200" t="s">
        <v>215</v>
      </c>
      <c r="G41" s="188">
        <f>'Deviz general curente'!D141</f>
        <v>195881.47</v>
      </c>
      <c r="H41" s="188">
        <f>'Deviz general curente'!C141</f>
        <v>974667</v>
      </c>
      <c r="I41" s="188">
        <f>'Deviz general curente'!G141</f>
        <v>974667</v>
      </c>
      <c r="J41" s="188">
        <f>ROUND('Schema Echiv_DB cst'!I42*coef,2)</f>
        <v>195881.45</v>
      </c>
      <c r="K41" s="188">
        <f>ROUND('Schema Echiv_DB cst'!J42*coef,2)-0.05</f>
        <v>974666.87</v>
      </c>
      <c r="L41" s="188">
        <f>G41-J41</f>
        <v>1.9999999989522621E-2</v>
      </c>
      <c r="M41" s="188">
        <f>H41-K41-0.99</f>
        <v>-0.85999999999534338</v>
      </c>
      <c r="N41" s="223">
        <f>'Deviz general curente'!G141</f>
        <v>974667</v>
      </c>
      <c r="O41" s="223">
        <f t="shared" si="84"/>
        <v>779733.5</v>
      </c>
      <c r="P41" s="223">
        <f t="shared" si="85"/>
        <v>779733.6</v>
      </c>
      <c r="Q41" s="223">
        <f t="shared" si="86"/>
        <v>764138.83</v>
      </c>
      <c r="R41" s="223">
        <f t="shared" si="87"/>
        <v>764138.93</v>
      </c>
      <c r="S41" s="238">
        <v>9</v>
      </c>
      <c r="T41" s="238">
        <v>21</v>
      </c>
      <c r="V41" s="241">
        <f t="shared" si="88"/>
        <v>974667</v>
      </c>
      <c r="W41" s="241">
        <f t="shared" si="89"/>
        <v>974667</v>
      </c>
      <c r="X41" s="241">
        <f t="shared" si="90"/>
        <v>0</v>
      </c>
      <c r="Y41" s="241">
        <f t="shared" si="91"/>
        <v>779733.5</v>
      </c>
      <c r="Z41" s="241">
        <f t="shared" ref="Z41:Z45" si="100">X41</f>
        <v>0</v>
      </c>
      <c r="AA41" s="241">
        <f t="shared" si="92"/>
        <v>-0.85999999999534338</v>
      </c>
      <c r="AB41" s="241">
        <f t="shared" si="93"/>
        <v>0</v>
      </c>
      <c r="AC41" s="241">
        <f t="shared" si="94"/>
        <v>779732.64</v>
      </c>
      <c r="AD41" s="241">
        <f t="shared" si="95"/>
        <v>779733.5</v>
      </c>
      <c r="AE41" s="241">
        <f t="shared" si="96"/>
        <v>-0.85999999999534338</v>
      </c>
      <c r="AF41" s="241">
        <f t="shared" si="97"/>
        <v>15594.67</v>
      </c>
      <c r="AG41" s="241">
        <f t="shared" si="98"/>
        <v>779733.5</v>
      </c>
      <c r="AH41" s="241">
        <f t="shared" si="99"/>
        <v>764138.83</v>
      </c>
    </row>
    <row r="42" spans="2:34" s="170" customFormat="1" ht="45.75" customHeight="1">
      <c r="B42" s="1864"/>
      <c r="C42" s="1872"/>
      <c r="D42" s="1876"/>
      <c r="E42" s="1877"/>
      <c r="F42" s="200" t="s">
        <v>981</v>
      </c>
      <c r="G42" s="188" t="e">
        <f>'Deviz general curente'!#REF!</f>
        <v>#REF!</v>
      </c>
      <c r="H42" s="188" t="e">
        <f>'Deviz general curente'!#REF!</f>
        <v>#REF!</v>
      </c>
      <c r="I42" s="188" t="e">
        <f>'Deviz general curente'!#REF!</f>
        <v>#REF!</v>
      </c>
      <c r="J42" s="188" t="e">
        <f>ROUND('Schema Echiv_DB cst'!#REF!*coef,2)</f>
        <v>#REF!</v>
      </c>
      <c r="K42" s="188" t="e">
        <f>ROUND('Schema Echiv_DB cst'!#REF!*coef,0)</f>
        <v>#REF!</v>
      </c>
      <c r="L42" s="188" t="e">
        <f>G42-J42</f>
        <v>#REF!</v>
      </c>
      <c r="M42" s="188" t="e">
        <f>H42-K42</f>
        <v>#REF!</v>
      </c>
      <c r="N42" s="223" t="e">
        <f>'Deviz general curente'!#REF!</f>
        <v>#REF!</v>
      </c>
      <c r="O42" s="223" t="e">
        <f t="shared" si="84"/>
        <v>#REF!</v>
      </c>
      <c r="P42" s="223" t="e">
        <f t="shared" si="85"/>
        <v>#REF!</v>
      </c>
      <c r="Q42" s="223" t="e">
        <f t="shared" si="86"/>
        <v>#REF!</v>
      </c>
      <c r="R42" s="223" t="e">
        <f t="shared" si="87"/>
        <v>#REF!</v>
      </c>
      <c r="S42" s="238">
        <v>9</v>
      </c>
      <c r="T42" s="238">
        <v>24</v>
      </c>
      <c r="V42" s="241" t="e">
        <f t="shared" si="88"/>
        <v>#REF!</v>
      </c>
      <c r="W42" s="241" t="e">
        <f t="shared" si="89"/>
        <v>#REF!</v>
      </c>
      <c r="X42" s="241" t="e">
        <f t="shared" si="90"/>
        <v>#REF!</v>
      </c>
      <c r="Y42" s="241" t="e">
        <f t="shared" si="91"/>
        <v>#REF!</v>
      </c>
      <c r="Z42" s="241">
        <v>0</v>
      </c>
      <c r="AA42" s="241" t="e">
        <f t="shared" si="92"/>
        <v>#REF!</v>
      </c>
      <c r="AB42" s="241" t="e">
        <f t="shared" si="93"/>
        <v>#REF!</v>
      </c>
      <c r="AC42" s="241" t="e">
        <f t="shared" si="94"/>
        <v>#REF!</v>
      </c>
      <c r="AD42" s="241" t="e">
        <f t="shared" si="95"/>
        <v>#REF!</v>
      </c>
      <c r="AE42" s="241" t="e">
        <f t="shared" si="96"/>
        <v>#REF!</v>
      </c>
      <c r="AF42" s="241" t="e">
        <f t="shared" si="97"/>
        <v>#REF!</v>
      </c>
      <c r="AG42" s="241" t="e">
        <f t="shared" si="98"/>
        <v>#REF!</v>
      </c>
      <c r="AH42" s="241" t="e">
        <f t="shared" si="99"/>
        <v>#REF!</v>
      </c>
    </row>
    <row r="43" spans="2:34" s="170" customFormat="1" ht="45.75" customHeight="1">
      <c r="B43" s="1864"/>
      <c r="C43" s="1872"/>
      <c r="D43" s="1876"/>
      <c r="E43" s="1877"/>
      <c r="F43" s="200" t="s">
        <v>78</v>
      </c>
      <c r="G43" s="188">
        <f>'Deviz general curente'!D142</f>
        <v>8495.93</v>
      </c>
      <c r="H43" s="188">
        <f>'Deviz general curente'!C142</f>
        <v>42274</v>
      </c>
      <c r="I43" s="188">
        <f>'Deviz general curente'!G142</f>
        <v>50306.06</v>
      </c>
      <c r="J43" s="188">
        <f>ROUND('Schema Echiv_DB cst'!I43*coef,2)</f>
        <v>8495.8799999999992</v>
      </c>
      <c r="K43" s="188">
        <f>H43-M43</f>
        <v>42274</v>
      </c>
      <c r="L43" s="188">
        <f>G43-J43</f>
        <v>5.0000000001091394E-2</v>
      </c>
      <c r="M43" s="188">
        <f>ROUND('Schema Echiv_DB cst'!L43*coef,2)</f>
        <v>0</v>
      </c>
      <c r="N43" s="223">
        <f>'Deviz general curente'!G142</f>
        <v>50306.06</v>
      </c>
      <c r="O43" s="223">
        <f t="shared" si="84"/>
        <v>33819.199999999997</v>
      </c>
      <c r="P43" s="223">
        <f t="shared" si="85"/>
        <v>40244.85</v>
      </c>
      <c r="Q43" s="223">
        <f t="shared" si="86"/>
        <v>33142.82</v>
      </c>
      <c r="R43" s="223">
        <f t="shared" si="87"/>
        <v>39439.949999999997</v>
      </c>
      <c r="S43" s="238">
        <v>9</v>
      </c>
      <c r="T43" s="238">
        <v>25</v>
      </c>
      <c r="V43" s="241">
        <f t="shared" si="88"/>
        <v>42274</v>
      </c>
      <c r="W43" s="241">
        <f t="shared" si="89"/>
        <v>42274</v>
      </c>
      <c r="X43" s="241">
        <f t="shared" si="90"/>
        <v>8032.0599999999977</v>
      </c>
      <c r="Y43" s="241">
        <f t="shared" si="91"/>
        <v>33819.199999999997</v>
      </c>
      <c r="Z43" s="241">
        <v>0</v>
      </c>
      <c r="AA43" s="241">
        <f t="shared" si="92"/>
        <v>0</v>
      </c>
      <c r="AB43" s="241">
        <f t="shared" si="93"/>
        <v>8032.0599999999977</v>
      </c>
      <c r="AC43" s="241">
        <f t="shared" si="94"/>
        <v>41851.259999999995</v>
      </c>
      <c r="AD43" s="241">
        <f t="shared" si="95"/>
        <v>33819.199999999997</v>
      </c>
      <c r="AE43" s="241">
        <f t="shared" si="96"/>
        <v>8032.0599999999977</v>
      </c>
      <c r="AF43" s="241">
        <f t="shared" si="97"/>
        <v>676.3839999999999</v>
      </c>
      <c r="AG43" s="241">
        <f t="shared" si="98"/>
        <v>33819.199999999997</v>
      </c>
      <c r="AH43" s="241">
        <f t="shared" si="99"/>
        <v>33142.815999999999</v>
      </c>
    </row>
    <row r="44" spans="2:34" s="170" customFormat="1" ht="44.25" customHeight="1">
      <c r="B44" s="1864"/>
      <c r="C44" s="1872"/>
      <c r="D44" s="1876"/>
      <c r="E44" s="1877"/>
      <c r="F44" s="200" t="s">
        <v>452</v>
      </c>
      <c r="G44" s="188">
        <f>'Deviz general curente'!D60</f>
        <v>100122.2</v>
      </c>
      <c r="H44" s="188">
        <f>'Deviz general curente'!C60</f>
        <v>498188</v>
      </c>
      <c r="I44" s="188">
        <f>'Deviz general curente'!G60</f>
        <v>592843.72</v>
      </c>
      <c r="J44" s="188">
        <f>ROUND('Schema Echiv_DB cst'!I44*coef,2)</f>
        <v>100122.15</v>
      </c>
      <c r="K44" s="188">
        <f>ROUNDDOWN('Schema Echiv_DB cst'!J44*coef,0)</f>
        <v>498187</v>
      </c>
      <c r="L44" s="188">
        <f>G44-J44</f>
        <v>5.0000000002910383E-2</v>
      </c>
      <c r="M44" s="188">
        <f>ROUND('Schema Echiv_DB cst'!L44*coef,0)</f>
        <v>0</v>
      </c>
      <c r="N44" s="223">
        <f>'Deviz general curente'!G60</f>
        <v>592843.72</v>
      </c>
      <c r="O44" s="223">
        <f t="shared" si="84"/>
        <v>398549.6</v>
      </c>
      <c r="P44" s="223">
        <f t="shared" si="85"/>
        <v>474274.98</v>
      </c>
      <c r="Q44" s="223">
        <f t="shared" si="86"/>
        <v>390578.61</v>
      </c>
      <c r="R44" s="223">
        <f t="shared" si="87"/>
        <v>464789.48</v>
      </c>
      <c r="S44" s="238">
        <v>7</v>
      </c>
      <c r="T44" s="238">
        <v>15</v>
      </c>
      <c r="V44" s="241">
        <f t="shared" si="88"/>
        <v>498188</v>
      </c>
      <c r="W44" s="241">
        <f t="shared" si="89"/>
        <v>498188</v>
      </c>
      <c r="X44" s="241">
        <f t="shared" si="90"/>
        <v>94655.719999999972</v>
      </c>
      <c r="Y44" s="241">
        <f t="shared" si="91"/>
        <v>398549.6</v>
      </c>
      <c r="Z44" s="241">
        <v>0</v>
      </c>
      <c r="AA44" s="241">
        <f t="shared" si="92"/>
        <v>0</v>
      </c>
      <c r="AB44" s="241">
        <f t="shared" si="93"/>
        <v>94655.719999999972</v>
      </c>
      <c r="AC44" s="241">
        <f t="shared" si="94"/>
        <v>493205.31999999995</v>
      </c>
      <c r="AD44" s="241">
        <f t="shared" si="95"/>
        <v>398549.6</v>
      </c>
      <c r="AE44" s="241">
        <f t="shared" si="96"/>
        <v>94655.719999999972</v>
      </c>
      <c r="AF44" s="241">
        <f t="shared" si="97"/>
        <v>7970.9919999999993</v>
      </c>
      <c r="AG44" s="241">
        <f t="shared" si="98"/>
        <v>398549.6</v>
      </c>
      <c r="AH44" s="241">
        <f t="shared" si="99"/>
        <v>390578.60799999995</v>
      </c>
    </row>
    <row r="45" spans="2:34" s="170" customFormat="1" ht="44.25" customHeight="1">
      <c r="B45" s="1864"/>
      <c r="C45" s="1872"/>
      <c r="D45" s="1876"/>
      <c r="E45" s="1877"/>
      <c r="F45" s="200" t="s">
        <v>453</v>
      </c>
      <c r="G45" s="188">
        <f>'Deviz general curente'!D119</f>
        <v>739230.67</v>
      </c>
      <c r="H45" s="188">
        <f>'Deviz general curente'!C119</f>
        <v>3678264</v>
      </c>
      <c r="I45" s="188">
        <f>'Deviz general curente'!G119</f>
        <v>3678264</v>
      </c>
      <c r="J45" s="188">
        <f>ROUND('Schema Echiv_DB cst'!I45*coef,2)-0.03</f>
        <v>739230.5</v>
      </c>
      <c r="K45" s="188">
        <f>ROUNDDOWN('Schema Echiv_DB cst'!J45*coef,0)</f>
        <v>3678263</v>
      </c>
      <c r="L45" s="188">
        <f>G45-J45-0.01</f>
        <v>0.16000000004190951</v>
      </c>
      <c r="M45" s="188">
        <f>H45-K45</f>
        <v>1</v>
      </c>
      <c r="N45" s="223">
        <f>'Deviz general curente'!G119</f>
        <v>3678264</v>
      </c>
      <c r="O45" s="223">
        <f t="shared" si="84"/>
        <v>2942610.4</v>
      </c>
      <c r="P45" s="223">
        <f t="shared" si="85"/>
        <v>2942611.2</v>
      </c>
      <c r="Q45" s="223">
        <f t="shared" si="86"/>
        <v>2883758.19</v>
      </c>
      <c r="R45" s="223">
        <f t="shared" si="87"/>
        <v>2883758.98</v>
      </c>
      <c r="S45" s="247">
        <v>17</v>
      </c>
      <c r="T45" s="247">
        <v>59</v>
      </c>
      <c r="V45" s="241">
        <f t="shared" si="88"/>
        <v>3678264</v>
      </c>
      <c r="W45" s="241">
        <f t="shared" si="89"/>
        <v>3678264</v>
      </c>
      <c r="X45" s="241">
        <f t="shared" si="90"/>
        <v>0</v>
      </c>
      <c r="Y45" s="241">
        <f t="shared" si="91"/>
        <v>2942610.4</v>
      </c>
      <c r="Z45" s="241">
        <f t="shared" si="100"/>
        <v>0</v>
      </c>
      <c r="AA45" s="241">
        <f t="shared" si="92"/>
        <v>1</v>
      </c>
      <c r="AB45" s="241">
        <f t="shared" si="93"/>
        <v>0</v>
      </c>
      <c r="AC45" s="241">
        <f t="shared" si="94"/>
        <v>2942611.4</v>
      </c>
      <c r="AD45" s="241">
        <f t="shared" si="95"/>
        <v>2942610.4</v>
      </c>
      <c r="AE45" s="241">
        <f t="shared" si="96"/>
        <v>1</v>
      </c>
      <c r="AF45" s="241">
        <f t="shared" si="97"/>
        <v>58852.207999999999</v>
      </c>
      <c r="AG45" s="241">
        <f t="shared" si="98"/>
        <v>2942610.4</v>
      </c>
      <c r="AH45" s="241">
        <f t="shared" si="99"/>
        <v>2883758.1919999998</v>
      </c>
    </row>
    <row r="46" spans="2:34" s="170" customFormat="1" ht="60" customHeight="1">
      <c r="B46" s="1864"/>
      <c r="C46" s="1873"/>
      <c r="D46" s="1878"/>
      <c r="E46" s="1879"/>
      <c r="F46" s="191" t="s">
        <v>454</v>
      </c>
      <c r="G46" s="192" t="e">
        <f t="shared" ref="G46:R46" si="101">SUM(G39:G45)</f>
        <v>#REF!</v>
      </c>
      <c r="H46" s="192" t="e">
        <f t="shared" si="101"/>
        <v>#REF!</v>
      </c>
      <c r="I46" s="192" t="e">
        <f t="shared" ref="I46:M46" si="102">SUM(I39:I45)</f>
        <v>#REF!</v>
      </c>
      <c r="J46" s="192" t="e">
        <f t="shared" si="102"/>
        <v>#REF!</v>
      </c>
      <c r="K46" s="192" t="e">
        <f t="shared" si="102"/>
        <v>#REF!</v>
      </c>
      <c r="L46" s="192" t="e">
        <f t="shared" si="102"/>
        <v>#REF!</v>
      </c>
      <c r="M46" s="192" t="e">
        <f t="shared" si="102"/>
        <v>#REF!</v>
      </c>
      <c r="N46" s="192" t="e">
        <f t="shared" si="101"/>
        <v>#REF!</v>
      </c>
      <c r="O46" s="192" t="e">
        <f t="shared" si="101"/>
        <v>#REF!</v>
      </c>
      <c r="P46" s="192" t="e">
        <f t="shared" si="101"/>
        <v>#REF!</v>
      </c>
      <c r="Q46" s="192" t="e">
        <f t="shared" si="101"/>
        <v>#REF!</v>
      </c>
      <c r="R46" s="192" t="e">
        <f t="shared" si="101"/>
        <v>#REF!</v>
      </c>
      <c r="S46" s="245"/>
      <c r="T46" s="245"/>
      <c r="U46" s="170" t="s">
        <v>9</v>
      </c>
      <c r="V46" s="192" t="e">
        <f t="shared" ref="V46:AH46" si="103">SUM(V39:V45)</f>
        <v>#REF!</v>
      </c>
      <c r="W46" s="192" t="e">
        <f t="shared" si="103"/>
        <v>#REF!</v>
      </c>
      <c r="X46" s="192" t="e">
        <f t="shared" si="103"/>
        <v>#REF!</v>
      </c>
      <c r="Y46" s="192" t="e">
        <f t="shared" si="103"/>
        <v>#REF!</v>
      </c>
      <c r="Z46" s="192">
        <f t="shared" si="103"/>
        <v>0</v>
      </c>
      <c r="AA46" s="192" t="e">
        <f t="shared" si="103"/>
        <v>#REF!</v>
      </c>
      <c r="AB46" s="192" t="e">
        <f t="shared" si="103"/>
        <v>#REF!</v>
      </c>
      <c r="AC46" s="192" t="e">
        <f t="shared" si="103"/>
        <v>#REF!</v>
      </c>
      <c r="AD46" s="192" t="e">
        <f t="shared" si="103"/>
        <v>#REF!</v>
      </c>
      <c r="AE46" s="192" t="e">
        <f t="shared" si="103"/>
        <v>#REF!</v>
      </c>
      <c r="AF46" s="192" t="e">
        <f t="shared" si="103"/>
        <v>#REF!</v>
      </c>
      <c r="AG46" s="192" t="e">
        <f t="shared" si="103"/>
        <v>#REF!</v>
      </c>
      <c r="AH46" s="192" t="e">
        <f t="shared" si="103"/>
        <v>#REF!</v>
      </c>
    </row>
    <row r="47" spans="2:34" s="170" customFormat="1" ht="33" customHeight="1">
      <c r="C47" s="1858" t="s">
        <v>496</v>
      </c>
      <c r="D47" s="1858"/>
      <c r="E47" s="1858"/>
      <c r="F47" s="1858"/>
      <c r="G47" s="202" t="e">
        <f t="shared" ref="G47:R47" si="104">G14+G15+G25+G31+G32+G46+G35+G38</f>
        <v>#REF!</v>
      </c>
      <c r="H47" s="202" t="e">
        <f t="shared" si="104"/>
        <v>#REF!</v>
      </c>
      <c r="I47" s="202" t="e">
        <f t="shared" si="104"/>
        <v>#REF!</v>
      </c>
      <c r="J47" s="202" t="e">
        <f t="shared" si="104"/>
        <v>#REF!</v>
      </c>
      <c r="K47" s="202" t="e">
        <f t="shared" si="104"/>
        <v>#REF!</v>
      </c>
      <c r="L47" s="202" t="e">
        <f t="shared" si="104"/>
        <v>#REF!</v>
      </c>
      <c r="M47" s="202" t="e">
        <f t="shared" si="104"/>
        <v>#REF!</v>
      </c>
      <c r="N47" s="203" t="e">
        <f t="shared" si="104"/>
        <v>#REF!</v>
      </c>
      <c r="O47" s="202" t="e">
        <f t="shared" si="104"/>
        <v>#REF!</v>
      </c>
      <c r="P47" s="202" t="e">
        <f t="shared" si="104"/>
        <v>#REF!</v>
      </c>
      <c r="Q47" s="202" t="e">
        <f t="shared" si="104"/>
        <v>#REF!</v>
      </c>
      <c r="R47" s="202" t="e">
        <f t="shared" si="104"/>
        <v>#REF!</v>
      </c>
      <c r="S47" s="240"/>
      <c r="T47" s="240"/>
      <c r="U47" s="248"/>
      <c r="V47" s="202" t="e">
        <f t="shared" ref="V47:AH47" si="105">V14+V15+V25+V31+V32+V46+V35+V38</f>
        <v>#REF!</v>
      </c>
      <c r="W47" s="202" t="e">
        <f t="shared" si="105"/>
        <v>#REF!</v>
      </c>
      <c r="X47" s="202" t="e">
        <f t="shared" si="105"/>
        <v>#REF!</v>
      </c>
      <c r="Y47" s="202" t="e">
        <f t="shared" si="105"/>
        <v>#REF!</v>
      </c>
      <c r="Z47" s="202">
        <f t="shared" si="105"/>
        <v>0</v>
      </c>
      <c r="AA47" s="202" t="e">
        <f t="shared" si="105"/>
        <v>#REF!</v>
      </c>
      <c r="AB47" s="202" t="e">
        <f t="shared" si="105"/>
        <v>#REF!</v>
      </c>
      <c r="AC47" s="252" t="e">
        <f t="shared" si="105"/>
        <v>#REF!</v>
      </c>
      <c r="AD47" s="252" t="e">
        <f t="shared" si="105"/>
        <v>#REF!</v>
      </c>
      <c r="AE47" s="202" t="e">
        <f t="shared" si="105"/>
        <v>#REF!</v>
      </c>
      <c r="AF47" s="202" t="e">
        <f t="shared" si="105"/>
        <v>#REF!</v>
      </c>
      <c r="AG47" s="202" t="e">
        <f t="shared" si="105"/>
        <v>#REF!</v>
      </c>
      <c r="AH47" s="202" t="e">
        <f t="shared" si="105"/>
        <v>#REF!</v>
      </c>
    </row>
    <row r="48" spans="2:34" s="170" customFormat="1" ht="33" customHeight="1">
      <c r="C48" s="1859" t="s">
        <v>497</v>
      </c>
      <c r="D48" s="1860"/>
      <c r="E48" s="1860"/>
      <c r="F48" s="1861"/>
      <c r="G48" s="202">
        <f>'Deviz general curente'!F145</f>
        <v>19383475.359999999</v>
      </c>
      <c r="H48" s="202">
        <f>'Deviz general curente'!E145</f>
        <v>96448296.659999996</v>
      </c>
      <c r="I48" s="226" t="s">
        <v>9</v>
      </c>
      <c r="J48" s="226" t="s">
        <v>9</v>
      </c>
      <c r="K48" s="226" t="s">
        <v>9</v>
      </c>
      <c r="L48" s="226"/>
      <c r="M48" s="226"/>
      <c r="N48" s="226" t="s">
        <v>9</v>
      </c>
      <c r="O48" s="226"/>
      <c r="P48" s="226"/>
      <c r="Q48" s="226"/>
      <c r="R48" s="226"/>
      <c r="S48" s="240"/>
      <c r="T48" s="240"/>
      <c r="U48" s="248"/>
      <c r="V48" s="249" t="s">
        <v>9</v>
      </c>
      <c r="W48" s="249" t="s">
        <v>9</v>
      </c>
    </row>
    <row r="49" spans="2:22" s="170" customFormat="1" ht="33" customHeight="1">
      <c r="C49" s="1859" t="s">
        <v>498</v>
      </c>
      <c r="D49" s="1860"/>
      <c r="E49" s="1860"/>
      <c r="F49" s="1861"/>
      <c r="G49" s="202" t="e">
        <f>ROUND(G47+G48,2)</f>
        <v>#REF!</v>
      </c>
      <c r="H49" s="203" t="e">
        <f>H47+H48</f>
        <v>#REF!</v>
      </c>
      <c r="I49" s="227"/>
      <c r="J49" s="227"/>
      <c r="K49" s="227" t="s">
        <v>9</v>
      </c>
      <c r="L49" s="227"/>
      <c r="M49" s="227"/>
      <c r="N49" s="226"/>
      <c r="O49" s="226" t="s">
        <v>9</v>
      </c>
      <c r="P49" s="226" t="e">
        <f>H49*R3</f>
        <v>#REF!</v>
      </c>
      <c r="Q49" s="226" t="s">
        <v>9</v>
      </c>
      <c r="R49" s="226" t="e">
        <f>P49*98%</f>
        <v>#REF!</v>
      </c>
      <c r="S49" s="240"/>
      <c r="T49" s="240"/>
      <c r="U49" s="248"/>
      <c r="V49" s="250" t="s">
        <v>9</v>
      </c>
    </row>
    <row r="50" spans="2:22" ht="30" customHeight="1">
      <c r="C50" s="1862"/>
      <c r="D50" s="1862"/>
      <c r="E50" s="1862"/>
      <c r="F50" s="1862"/>
      <c r="G50" s="1862"/>
      <c r="H50" s="204"/>
      <c r="I50" s="204"/>
      <c r="J50" s="204"/>
      <c r="K50" s="204"/>
      <c r="L50" s="204"/>
      <c r="M50" s="204"/>
      <c r="N50" s="172"/>
      <c r="O50" s="172"/>
      <c r="P50" s="172"/>
      <c r="Q50" s="172"/>
      <c r="R50" s="172"/>
    </row>
    <row r="51" spans="2:22" s="171" customFormat="1" ht="15" hidden="1" customHeight="1">
      <c r="B51" s="205"/>
      <c r="C51" s="205"/>
      <c r="D51" s="206"/>
      <c r="E51" s="205"/>
      <c r="F51" s="205"/>
      <c r="G51" s="207"/>
      <c r="H51" s="208"/>
      <c r="I51" s="208"/>
      <c r="J51" s="208"/>
      <c r="K51" s="208"/>
      <c r="L51" s="208"/>
      <c r="M51" s="208"/>
      <c r="N51" s="228"/>
      <c r="O51" s="228"/>
      <c r="P51" s="228"/>
      <c r="Q51" s="228"/>
      <c r="R51" s="228"/>
    </row>
    <row r="52" spans="2:22" s="171" customFormat="1" hidden="1">
      <c r="B52" s="205"/>
      <c r="C52" s="205"/>
      <c r="D52" s="206"/>
      <c r="E52" s="205"/>
      <c r="F52" s="205"/>
      <c r="G52" s="209"/>
      <c r="H52" s="210" t="e">
        <f>H47/G47</f>
        <v>#REF!</v>
      </c>
      <c r="I52" s="210"/>
      <c r="J52" s="210"/>
      <c r="K52" s="210"/>
      <c r="L52" s="210"/>
      <c r="M52" s="210"/>
      <c r="N52" s="229"/>
      <c r="O52" s="229"/>
      <c r="P52" s="229"/>
      <c r="Q52" s="229"/>
      <c r="R52" s="229"/>
    </row>
    <row r="53" spans="2:22" ht="15">
      <c r="B53" s="1863" t="s">
        <v>458</v>
      </c>
      <c r="C53" s="1863"/>
      <c r="D53" s="1863"/>
      <c r="E53" s="1863"/>
      <c r="F53" s="1863"/>
      <c r="G53" s="1863"/>
      <c r="H53" s="211"/>
      <c r="I53" s="211"/>
      <c r="J53" s="211"/>
      <c r="K53" s="211"/>
      <c r="L53" s="211"/>
      <c r="M53" s="211"/>
      <c r="N53" s="230"/>
      <c r="O53" s="230"/>
      <c r="P53" s="230"/>
      <c r="Q53" s="230"/>
      <c r="R53" s="230"/>
    </row>
    <row r="54" spans="2:22" ht="15">
      <c r="B54" s="1863" t="s">
        <v>499</v>
      </c>
      <c r="C54" s="1863"/>
      <c r="D54" s="1863"/>
      <c r="E54" s="1863"/>
      <c r="F54" s="1863"/>
      <c r="G54" s="1863"/>
      <c r="H54" s="212"/>
      <c r="I54" s="212"/>
      <c r="J54" s="212"/>
      <c r="K54" s="212"/>
      <c r="L54" s="212"/>
      <c r="M54" s="212"/>
      <c r="N54" s="172"/>
      <c r="O54" s="172"/>
      <c r="P54" s="172"/>
      <c r="Q54" s="172"/>
      <c r="R54" s="172"/>
    </row>
    <row r="55" spans="2:22">
      <c r="C55" s="213"/>
      <c r="G55" s="175" t="s">
        <v>7</v>
      </c>
      <c r="H55" s="214" t="e">
        <f>H49/G49</f>
        <v>#REF!</v>
      </c>
      <c r="I55" s="214"/>
      <c r="J55" s="214"/>
      <c r="K55" s="214"/>
      <c r="L55" s="214"/>
      <c r="M55" s="214"/>
      <c r="N55" s="172"/>
      <c r="O55" s="172"/>
      <c r="P55" s="172"/>
      <c r="Q55" s="172"/>
      <c r="R55" s="172"/>
      <c r="S55" s="172">
        <f>euro</f>
        <v>4.9757999999999996</v>
      </c>
    </row>
    <row r="56" spans="2:22">
      <c r="B56" s="215"/>
      <c r="C56" s="216"/>
      <c r="D56" s="217"/>
      <c r="E56" s="215"/>
      <c r="F56" s="215"/>
      <c r="G56" s="218" t="s">
        <v>9</v>
      </c>
      <c r="H56" s="176" t="s">
        <v>9</v>
      </c>
      <c r="I56" s="176"/>
      <c r="J56" s="176"/>
      <c r="K56" s="176"/>
      <c r="L56" s="176"/>
      <c r="M56" s="176"/>
      <c r="N56" s="172"/>
      <c r="O56" s="172"/>
      <c r="P56" s="172"/>
      <c r="Q56" s="172"/>
      <c r="R56" s="172"/>
    </row>
    <row r="57" spans="2:22" hidden="1">
      <c r="B57" s="215"/>
      <c r="C57" s="216"/>
      <c r="D57" s="217"/>
      <c r="E57" s="215"/>
      <c r="F57" s="215"/>
      <c r="G57" s="219"/>
      <c r="H57" s="212"/>
      <c r="I57" s="212"/>
      <c r="J57" s="212"/>
      <c r="K57" s="212"/>
      <c r="L57" s="212"/>
      <c r="M57" s="212"/>
      <c r="N57" s="172"/>
      <c r="O57" s="172"/>
      <c r="P57" s="172"/>
      <c r="Q57" s="172"/>
      <c r="R57" s="172"/>
    </row>
    <row r="58" spans="2:22" hidden="1">
      <c r="B58" s="215"/>
      <c r="C58" s="216"/>
      <c r="D58" s="217"/>
      <c r="E58" s="215"/>
      <c r="F58" s="215"/>
      <c r="G58" s="219"/>
      <c r="H58" s="212"/>
      <c r="I58" s="212"/>
      <c r="J58" s="212"/>
      <c r="K58" s="212"/>
      <c r="L58" s="212"/>
      <c r="M58" s="212"/>
      <c r="N58" s="172"/>
      <c r="O58" s="172"/>
      <c r="P58" s="172"/>
      <c r="Q58" s="172"/>
      <c r="R58" s="172"/>
    </row>
    <row r="59" spans="2:22" hidden="1">
      <c r="B59" s="215"/>
      <c r="C59" s="216"/>
      <c r="D59" s="217"/>
      <c r="E59" s="215"/>
      <c r="F59" s="215"/>
      <c r="G59" s="219"/>
      <c r="H59" s="212"/>
      <c r="I59" s="212"/>
      <c r="J59" s="212"/>
      <c r="K59" s="212"/>
      <c r="L59" s="212"/>
      <c r="M59" s="212"/>
      <c r="N59" s="172"/>
      <c r="O59" s="172"/>
      <c r="P59" s="172"/>
      <c r="Q59" s="172"/>
      <c r="R59" s="172"/>
    </row>
    <row r="60" spans="2:22" hidden="1">
      <c r="B60" s="215"/>
      <c r="C60" s="216"/>
      <c r="D60" s="217"/>
      <c r="E60" s="215"/>
      <c r="F60" s="215"/>
      <c r="G60" s="219"/>
      <c r="H60" s="212"/>
      <c r="I60" s="212"/>
      <c r="J60" s="212"/>
      <c r="K60" s="212"/>
      <c r="L60" s="212"/>
      <c r="M60" s="212"/>
      <c r="N60" s="172"/>
      <c r="O60" s="172"/>
      <c r="P60" s="172"/>
      <c r="Q60" s="172"/>
      <c r="R60" s="172"/>
    </row>
    <row r="61" spans="2:22" hidden="1">
      <c r="B61" s="215"/>
      <c r="C61" s="216"/>
      <c r="D61" s="217"/>
      <c r="E61" s="215"/>
      <c r="F61" s="215"/>
      <c r="G61" s="219"/>
      <c r="H61" s="212"/>
      <c r="I61" s="212"/>
      <c r="J61" s="212"/>
      <c r="K61" s="212"/>
      <c r="L61" s="212"/>
      <c r="M61" s="212"/>
      <c r="N61" s="172"/>
      <c r="O61" s="172"/>
      <c r="P61" s="172"/>
      <c r="Q61" s="172"/>
      <c r="R61" s="172"/>
    </row>
    <row r="62" spans="2:22" hidden="1">
      <c r="B62" s="215"/>
      <c r="C62" s="216"/>
      <c r="D62" s="217"/>
      <c r="E62" s="215"/>
      <c r="F62" s="215"/>
      <c r="G62" s="219"/>
      <c r="H62" s="212"/>
      <c r="I62" s="212"/>
      <c r="J62" s="212"/>
      <c r="K62" s="212"/>
      <c r="L62" s="212"/>
      <c r="M62" s="212"/>
      <c r="N62" s="172"/>
      <c r="O62" s="172"/>
      <c r="P62" s="172"/>
      <c r="Q62" s="172"/>
      <c r="R62" s="172"/>
    </row>
    <row r="63" spans="2:22" hidden="1">
      <c r="B63" s="215"/>
      <c r="C63" s="216"/>
      <c r="D63" s="217"/>
      <c r="E63" s="215"/>
      <c r="F63" s="215"/>
      <c r="G63" s="219"/>
      <c r="H63" s="212"/>
      <c r="I63" s="212"/>
      <c r="J63" s="212"/>
      <c r="K63" s="212"/>
      <c r="L63" s="212"/>
      <c r="M63" s="212"/>
      <c r="N63" s="172"/>
      <c r="O63" s="172"/>
      <c r="P63" s="172"/>
      <c r="Q63" s="172"/>
      <c r="R63" s="172"/>
    </row>
    <row r="64" spans="2:22" hidden="1">
      <c r="B64" s="215"/>
      <c r="C64" s="220" t="s">
        <v>460</v>
      </c>
      <c r="D64" s="215"/>
      <c r="E64" s="215"/>
      <c r="F64" s="215"/>
      <c r="G64" s="221"/>
      <c r="H64" s="222"/>
      <c r="I64" s="222"/>
      <c r="J64" s="222"/>
      <c r="K64" s="222"/>
      <c r="L64" s="222"/>
      <c r="M64" s="222"/>
      <c r="N64" s="172"/>
      <c r="O64" s="172"/>
      <c r="P64" s="172"/>
      <c r="Q64" s="172"/>
      <c r="R64" s="172"/>
    </row>
    <row r="65" spans="2:20" hidden="1">
      <c r="B65" s="215"/>
      <c r="C65" s="220" t="s">
        <v>461</v>
      </c>
      <c r="D65" s="215"/>
      <c r="E65" s="215"/>
      <c r="F65" s="215"/>
      <c r="G65" s="221"/>
      <c r="H65" s="222"/>
      <c r="I65" s="222"/>
      <c r="J65" s="222"/>
      <c r="K65" s="222"/>
      <c r="L65" s="222"/>
      <c r="M65" s="222"/>
      <c r="N65" s="172"/>
      <c r="O65" s="172"/>
      <c r="P65" s="172"/>
      <c r="Q65" s="172"/>
      <c r="R65" s="172"/>
      <c r="T65" s="172" t="s">
        <v>462</v>
      </c>
    </row>
    <row r="66" spans="2:20" hidden="1">
      <c r="B66" s="215"/>
      <c r="C66" s="253" t="s">
        <v>463</v>
      </c>
      <c r="D66" s="254">
        <v>1.1000000000000001</v>
      </c>
      <c r="E66" s="215"/>
      <c r="F66" s="215"/>
      <c r="G66" s="219"/>
      <c r="H66" s="222"/>
      <c r="I66" s="222"/>
      <c r="J66" s="222"/>
      <c r="K66" s="222"/>
      <c r="L66" s="222"/>
      <c r="M66" s="222"/>
      <c r="N66" s="172"/>
      <c r="O66" s="172"/>
      <c r="P66" s="172"/>
      <c r="Q66" s="172"/>
      <c r="R66" s="172"/>
    </row>
    <row r="67" spans="2:20" hidden="1">
      <c r="B67" s="215"/>
      <c r="C67" s="253" t="s">
        <v>464</v>
      </c>
      <c r="D67" s="255" t="s">
        <v>465</v>
      </c>
      <c r="E67" s="215"/>
      <c r="F67" s="215"/>
      <c r="G67" s="219"/>
      <c r="H67" s="256"/>
      <c r="I67" s="256"/>
      <c r="J67" s="256"/>
      <c r="K67" s="256"/>
      <c r="L67" s="256"/>
      <c r="M67" s="256"/>
      <c r="N67" s="172"/>
      <c r="O67" s="172"/>
      <c r="P67" s="172"/>
      <c r="Q67" s="172"/>
      <c r="R67" s="172"/>
      <c r="T67" s="172" t="s">
        <v>466</v>
      </c>
    </row>
    <row r="68" spans="2:20" hidden="1">
      <c r="B68" s="215"/>
      <c r="C68" s="253" t="s">
        <v>467</v>
      </c>
      <c r="D68" s="254"/>
      <c r="E68" s="215"/>
      <c r="F68" s="215"/>
      <c r="G68" s="219"/>
      <c r="H68" s="222"/>
      <c r="I68" s="222"/>
      <c r="J68" s="222"/>
      <c r="K68" s="222"/>
      <c r="L68" s="222"/>
      <c r="M68" s="222"/>
      <c r="N68" s="172"/>
      <c r="O68" s="172"/>
      <c r="P68" s="172"/>
      <c r="Q68" s="172"/>
      <c r="R68" s="172"/>
      <c r="T68" s="172" t="s">
        <v>468</v>
      </c>
    </row>
    <row r="69" spans="2:20" hidden="1">
      <c r="B69" s="215"/>
      <c r="C69" s="253" t="s">
        <v>467</v>
      </c>
      <c r="D69" s="254">
        <v>1.2</v>
      </c>
      <c r="E69" s="215"/>
      <c r="F69" s="215"/>
      <c r="G69" s="219"/>
      <c r="H69" s="256"/>
      <c r="I69" s="256"/>
      <c r="J69" s="256"/>
      <c r="K69" s="256"/>
      <c r="L69" s="256"/>
      <c r="M69" s="256"/>
      <c r="N69" s="172"/>
      <c r="O69" s="172"/>
      <c r="P69" s="172"/>
      <c r="Q69" s="172"/>
      <c r="R69" s="172"/>
    </row>
    <row r="70" spans="2:20" hidden="1">
      <c r="B70" s="215"/>
      <c r="C70" s="253" t="s">
        <v>469</v>
      </c>
      <c r="D70" s="255" t="s">
        <v>470</v>
      </c>
      <c r="E70" s="215"/>
      <c r="F70" s="215"/>
      <c r="G70" s="219"/>
      <c r="H70" s="256"/>
      <c r="I70" s="256"/>
      <c r="J70" s="256"/>
      <c r="K70" s="256"/>
      <c r="L70" s="256"/>
      <c r="M70" s="256"/>
      <c r="N70" s="172"/>
      <c r="O70" s="172"/>
      <c r="P70" s="172"/>
      <c r="Q70" s="172"/>
      <c r="R70" s="172"/>
      <c r="T70" s="270" t="s">
        <v>471</v>
      </c>
    </row>
    <row r="71" spans="2:20" hidden="1">
      <c r="B71" s="215"/>
      <c r="C71" s="253" t="s">
        <v>472</v>
      </c>
      <c r="D71" s="255" t="s">
        <v>473</v>
      </c>
      <c r="E71" s="215"/>
      <c r="F71" s="215"/>
      <c r="G71" s="219"/>
      <c r="H71" s="222"/>
      <c r="I71" s="222"/>
      <c r="J71" s="222"/>
      <c r="K71" s="222"/>
      <c r="L71" s="222"/>
      <c r="M71" s="222"/>
      <c r="N71" s="172"/>
      <c r="O71" s="172"/>
      <c r="P71" s="172"/>
      <c r="Q71" s="172"/>
      <c r="R71" s="172"/>
      <c r="T71" s="271" t="s">
        <v>471</v>
      </c>
    </row>
    <row r="72" spans="2:20" hidden="1">
      <c r="B72" s="215"/>
      <c r="C72" s="253" t="s">
        <v>474</v>
      </c>
      <c r="D72" s="255" t="s">
        <v>475</v>
      </c>
      <c r="E72" s="215"/>
      <c r="F72" s="215"/>
      <c r="G72" s="219"/>
      <c r="H72" s="256"/>
      <c r="I72" s="256"/>
      <c r="J72" s="256"/>
      <c r="K72" s="256"/>
      <c r="L72" s="256"/>
      <c r="M72" s="256"/>
      <c r="N72" s="172"/>
      <c r="O72" s="172"/>
      <c r="P72" s="172"/>
      <c r="Q72" s="172"/>
      <c r="R72" s="172"/>
      <c r="T72" s="272" t="s">
        <v>471</v>
      </c>
    </row>
    <row r="73" spans="2:20" hidden="1">
      <c r="B73" s="215"/>
      <c r="C73" s="253" t="s">
        <v>476</v>
      </c>
      <c r="D73" s="255"/>
      <c r="E73" s="215"/>
      <c r="F73" s="215"/>
      <c r="G73" s="219"/>
      <c r="H73" s="222"/>
      <c r="I73" s="222"/>
      <c r="J73" s="222"/>
      <c r="K73" s="222"/>
      <c r="L73" s="222"/>
      <c r="M73" s="222"/>
      <c r="N73" s="172"/>
      <c r="O73" s="172"/>
      <c r="P73" s="172"/>
      <c r="Q73" s="172"/>
      <c r="R73" s="172"/>
      <c r="T73" s="172" t="s">
        <v>477</v>
      </c>
    </row>
    <row r="74" spans="2:20" hidden="1">
      <c r="B74" s="215"/>
      <c r="C74" s="253" t="s">
        <v>476</v>
      </c>
      <c r="D74" s="255" t="s">
        <v>478</v>
      </c>
      <c r="E74" s="215"/>
      <c r="F74" s="215"/>
      <c r="G74" s="219"/>
      <c r="H74" s="256"/>
      <c r="I74" s="256"/>
      <c r="J74" s="256"/>
      <c r="K74" s="256"/>
      <c r="L74" s="256"/>
      <c r="M74" s="256"/>
      <c r="N74" s="172"/>
      <c r="O74" s="172"/>
      <c r="P74" s="172"/>
      <c r="Q74" s="172"/>
      <c r="R74" s="172"/>
      <c r="T74" s="270" t="s">
        <v>479</v>
      </c>
    </row>
    <row r="75" spans="2:20" hidden="1">
      <c r="B75" s="215"/>
      <c r="C75" s="253" t="s">
        <v>480</v>
      </c>
      <c r="D75" s="255">
        <v>7.1</v>
      </c>
      <c r="E75" s="215"/>
      <c r="F75" s="215"/>
      <c r="G75" s="219"/>
      <c r="H75" s="222"/>
      <c r="I75" s="222"/>
      <c r="J75" s="222"/>
      <c r="K75" s="222"/>
      <c r="L75" s="222"/>
      <c r="M75" s="222"/>
      <c r="N75" s="172"/>
      <c r="O75" s="172"/>
      <c r="P75" s="172"/>
      <c r="Q75" s="172"/>
      <c r="R75" s="172"/>
      <c r="T75" s="271"/>
    </row>
    <row r="76" spans="2:20" hidden="1">
      <c r="B76" s="215"/>
      <c r="C76" s="253" t="s">
        <v>481</v>
      </c>
      <c r="D76" s="255">
        <v>7.2</v>
      </c>
      <c r="E76" s="215"/>
      <c r="F76" s="215"/>
      <c r="G76" s="219"/>
      <c r="H76" s="222"/>
      <c r="I76" s="222"/>
      <c r="J76" s="222"/>
      <c r="K76" s="222"/>
      <c r="L76" s="222"/>
      <c r="M76" s="222"/>
      <c r="N76" s="172"/>
      <c r="O76" s="172"/>
      <c r="P76" s="172"/>
      <c r="Q76" s="172"/>
      <c r="R76" s="172"/>
      <c r="T76" s="271"/>
    </row>
    <row r="77" spans="2:20" hidden="1">
      <c r="B77" s="215"/>
      <c r="C77" s="253" t="s">
        <v>482</v>
      </c>
      <c r="D77" s="255" t="s">
        <v>483</v>
      </c>
      <c r="E77" s="215"/>
      <c r="F77" s="215"/>
      <c r="G77" s="219"/>
      <c r="H77" s="222"/>
      <c r="I77" s="222"/>
      <c r="J77" s="222"/>
      <c r="K77" s="222"/>
      <c r="L77" s="222"/>
      <c r="M77" s="222"/>
      <c r="N77" s="172"/>
      <c r="O77" s="172"/>
      <c r="P77" s="172"/>
      <c r="Q77" s="172"/>
      <c r="R77" s="172"/>
      <c r="T77" s="272"/>
    </row>
    <row r="78" spans="2:20" hidden="1">
      <c r="B78" s="215"/>
      <c r="C78" s="253" t="s">
        <v>484</v>
      </c>
      <c r="D78" s="255" t="s">
        <v>485</v>
      </c>
      <c r="E78" s="215"/>
      <c r="F78" s="215"/>
      <c r="G78" s="219"/>
      <c r="H78" s="222"/>
      <c r="I78" s="222"/>
      <c r="J78" s="222"/>
      <c r="K78" s="222"/>
      <c r="L78" s="222"/>
      <c r="M78" s="222"/>
      <c r="N78" s="172"/>
      <c r="O78" s="172"/>
      <c r="P78" s="172"/>
      <c r="Q78" s="172"/>
      <c r="R78" s="172"/>
      <c r="T78" s="172" t="s">
        <v>486</v>
      </c>
    </row>
    <row r="79" spans="2:20" hidden="1">
      <c r="B79" s="215"/>
      <c r="C79" s="253" t="s">
        <v>267</v>
      </c>
      <c r="D79" s="255">
        <v>5.3</v>
      </c>
      <c r="E79" s="215"/>
      <c r="F79" s="215"/>
      <c r="G79" s="219"/>
      <c r="H79" s="222"/>
      <c r="I79" s="222"/>
      <c r="J79" s="222"/>
      <c r="K79" s="222"/>
      <c r="L79" s="222"/>
      <c r="M79" s="222"/>
      <c r="N79" s="172"/>
      <c r="O79" s="172"/>
      <c r="P79" s="172"/>
      <c r="Q79" s="172"/>
      <c r="R79" s="172"/>
      <c r="T79" s="172" t="s">
        <v>487</v>
      </c>
    </row>
    <row r="80" spans="2:20" hidden="1">
      <c r="B80" s="215"/>
      <c r="C80" s="253" t="s">
        <v>488</v>
      </c>
      <c r="D80" s="255" t="s">
        <v>489</v>
      </c>
      <c r="E80" s="215"/>
      <c r="F80" s="215"/>
      <c r="G80" s="219"/>
      <c r="H80" s="222"/>
      <c r="I80" s="222"/>
      <c r="J80" s="222"/>
      <c r="K80" s="222"/>
      <c r="L80" s="222"/>
      <c r="M80" s="222"/>
      <c r="N80" s="172"/>
      <c r="O80" s="172"/>
      <c r="P80" s="172"/>
      <c r="Q80" s="172"/>
      <c r="R80" s="172"/>
      <c r="T80" s="172" t="s">
        <v>490</v>
      </c>
    </row>
    <row r="81" spans="2:20" hidden="1">
      <c r="B81" s="215"/>
      <c r="C81" s="220" t="s">
        <v>491</v>
      </c>
      <c r="D81" s="257" t="e">
        <f>SUM(#REF!)</f>
        <v>#REF!</v>
      </c>
      <c r="E81" s="215"/>
      <c r="F81" s="215"/>
      <c r="G81" s="221"/>
      <c r="H81" s="222"/>
      <c r="I81" s="222"/>
      <c r="J81" s="222"/>
      <c r="K81" s="222"/>
      <c r="L81" s="222"/>
      <c r="M81" s="222"/>
      <c r="N81" s="172"/>
      <c r="O81" s="172"/>
      <c r="P81" s="172"/>
      <c r="Q81" s="172"/>
      <c r="R81" s="172"/>
      <c r="T81" s="172" t="s">
        <v>492</v>
      </c>
    </row>
    <row r="82" spans="2:20" hidden="1">
      <c r="B82" s="215"/>
      <c r="C82" s="216"/>
      <c r="D82" s="217"/>
      <c r="E82" s="215"/>
      <c r="F82" s="215"/>
      <c r="G82" s="219"/>
      <c r="H82" s="212"/>
      <c r="I82" s="212"/>
      <c r="J82" s="212"/>
      <c r="K82" s="212"/>
      <c r="L82" s="212"/>
      <c r="M82" s="212"/>
      <c r="N82" s="172"/>
      <c r="O82" s="172"/>
      <c r="P82" s="172"/>
      <c r="Q82" s="172"/>
      <c r="R82" s="172"/>
    </row>
    <row r="83" spans="2:20" hidden="1">
      <c r="B83" s="215"/>
      <c r="C83" s="216"/>
      <c r="D83" s="217"/>
      <c r="E83" s="215"/>
      <c r="F83" s="215"/>
      <c r="G83" s="219"/>
      <c r="H83" s="212"/>
      <c r="I83" s="212"/>
      <c r="J83" s="212"/>
      <c r="K83" s="212"/>
      <c r="L83" s="212"/>
      <c r="M83" s="212"/>
      <c r="N83" s="172"/>
      <c r="O83" s="172"/>
      <c r="P83" s="172"/>
      <c r="Q83" s="172"/>
      <c r="R83" s="172"/>
    </row>
    <row r="84" spans="2:20">
      <c r="B84" s="215"/>
      <c r="C84" s="216"/>
      <c r="D84" s="217"/>
      <c r="E84" s="215"/>
      <c r="F84" s="215"/>
      <c r="G84" s="258">
        <f>'Deviz general curente'!D145</f>
        <v>102953403.46000001</v>
      </c>
      <c r="H84" s="258">
        <f>'Deviz general curente'!C145</f>
        <v>512275545</v>
      </c>
      <c r="I84" s="258"/>
      <c r="J84" s="258"/>
      <c r="K84" s="258"/>
      <c r="L84" s="258"/>
      <c r="M84" s="258"/>
      <c r="N84" s="172"/>
      <c r="O84" s="172"/>
      <c r="P84" s="172"/>
      <c r="Q84" s="172"/>
      <c r="R84" s="172"/>
    </row>
    <row r="85" spans="2:20">
      <c r="B85" s="215"/>
      <c r="C85" s="216"/>
      <c r="D85" s="217"/>
      <c r="E85" s="215"/>
      <c r="F85" s="215"/>
      <c r="G85" s="258">
        <f>'Deviz general curente'!H145</f>
        <v>122336878.81999999</v>
      </c>
      <c r="H85" s="258">
        <f>'Deviz general curente'!G145</f>
        <v>608723841.65999997</v>
      </c>
      <c r="I85" s="258"/>
      <c r="J85" s="258"/>
      <c r="K85" s="258"/>
      <c r="L85" s="258"/>
      <c r="M85" s="258"/>
      <c r="N85" s="172"/>
      <c r="O85" s="172"/>
      <c r="P85" s="172"/>
      <c r="Q85" s="172"/>
      <c r="R85" s="172"/>
    </row>
    <row r="86" spans="2:20">
      <c r="H86" s="212"/>
      <c r="I86" s="212"/>
      <c r="J86" s="212"/>
      <c r="K86" s="212"/>
      <c r="L86" s="212"/>
      <c r="M86" s="212"/>
      <c r="N86" s="172"/>
      <c r="O86" s="172"/>
      <c r="P86" s="172"/>
      <c r="Q86" s="172"/>
      <c r="R86" s="172"/>
    </row>
    <row r="87" spans="2:20">
      <c r="C87" s="172"/>
      <c r="D87" s="172"/>
      <c r="H87" s="212"/>
      <c r="I87" s="212"/>
      <c r="J87" s="212"/>
      <c r="K87" s="212"/>
      <c r="L87" s="212"/>
      <c r="M87" s="212"/>
      <c r="N87" s="172"/>
      <c r="O87" s="172"/>
      <c r="P87" s="172"/>
      <c r="Q87" s="172"/>
      <c r="R87" s="172"/>
    </row>
    <row r="88" spans="2:20">
      <c r="C88" s="172"/>
      <c r="D88" s="172"/>
      <c r="H88" s="212"/>
      <c r="I88" s="212"/>
      <c r="J88" s="212"/>
      <c r="K88" s="212"/>
      <c r="L88" s="212"/>
      <c r="M88" s="212"/>
      <c r="N88" s="172"/>
      <c r="O88" t="s">
        <v>9</v>
      </c>
      <c r="P88" s="172"/>
      <c r="Q88" s="172"/>
      <c r="R88" s="172"/>
    </row>
    <row r="89" spans="2:20">
      <c r="C89" s="172"/>
      <c r="D89" s="172"/>
      <c r="H89" s="212"/>
      <c r="I89" s="212"/>
      <c r="J89" s="212"/>
      <c r="K89" s="212"/>
      <c r="L89" s="212"/>
      <c r="M89" s="212"/>
      <c r="N89" s="172"/>
      <c r="O89" t="s">
        <v>9</v>
      </c>
      <c r="P89" s="172"/>
      <c r="Q89" s="172"/>
      <c r="R89" s="172"/>
    </row>
    <row r="90" spans="2:20">
      <c r="C90" s="172"/>
      <c r="D90" s="172"/>
      <c r="H90" s="212"/>
      <c r="I90" s="212"/>
      <c r="J90" s="212"/>
      <c r="K90" s="212"/>
      <c r="L90" s="212"/>
      <c r="M90" s="212"/>
      <c r="N90" s="172"/>
      <c r="O90" s="269" t="s">
        <v>9</v>
      </c>
      <c r="P90" s="172"/>
      <c r="Q90" s="172"/>
      <c r="R90" s="172"/>
    </row>
    <row r="91" spans="2:20" ht="15">
      <c r="C91" s="259" t="s">
        <v>982</v>
      </c>
      <c r="D91" s="260"/>
      <c r="G91" s="212"/>
      <c r="H91" s="212"/>
      <c r="I91" s="212"/>
      <c r="J91" s="212"/>
      <c r="K91" s="212"/>
      <c r="L91" s="212"/>
      <c r="M91" s="212"/>
      <c r="N91" s="172"/>
      <c r="O91" s="172"/>
      <c r="P91" s="172"/>
      <c r="Q91" s="172"/>
      <c r="R91" s="172"/>
    </row>
    <row r="92" spans="2:20">
      <c r="C92" s="260" t="s">
        <v>983</v>
      </c>
      <c r="D92" s="261" t="e">
        <f>I47</f>
        <v>#REF!</v>
      </c>
      <c r="F92" s="251" t="s">
        <v>9</v>
      </c>
      <c r="G92" s="212"/>
      <c r="N92" s="172"/>
      <c r="O92" s="172"/>
      <c r="P92" s="172"/>
      <c r="Q92" s="172"/>
      <c r="R92" s="172"/>
    </row>
    <row r="93" spans="2:20" ht="25.5">
      <c r="C93" s="262" t="s">
        <v>984</v>
      </c>
      <c r="D93" s="263" t="e">
        <f>O47</f>
        <v>#REF!</v>
      </c>
    </row>
    <row r="94" spans="2:20" ht="25.5">
      <c r="C94" s="262" t="s">
        <v>985</v>
      </c>
      <c r="D94" s="263" t="e">
        <f>K47</f>
        <v>#REF!</v>
      </c>
    </row>
    <row r="95" spans="2:20">
      <c r="C95" s="264" t="s">
        <v>986</v>
      </c>
      <c r="D95" s="263" t="e">
        <f>D93</f>
        <v>#REF!</v>
      </c>
      <c r="F95" s="265" t="s">
        <v>9</v>
      </c>
    </row>
    <row r="96" spans="2:20">
      <c r="C96" s="260" t="s">
        <v>987</v>
      </c>
      <c r="D96" s="266" t="e">
        <f>Q47</f>
        <v>#REF!</v>
      </c>
    </row>
    <row r="97" spans="3:4">
      <c r="C97" s="260" t="s">
        <v>988</v>
      </c>
      <c r="D97" s="267">
        <v>0</v>
      </c>
    </row>
    <row r="98" spans="3:4">
      <c r="C98" s="262" t="s">
        <v>989</v>
      </c>
      <c r="D98" s="263" t="e">
        <f>AF47</f>
        <v>#REF!</v>
      </c>
    </row>
    <row r="99" spans="3:4">
      <c r="C99" s="262" t="s">
        <v>990</v>
      </c>
      <c r="D99" s="263" t="e">
        <f>AE47</f>
        <v>#REF!</v>
      </c>
    </row>
    <row r="100" spans="3:4">
      <c r="C100" s="260" t="s">
        <v>991</v>
      </c>
      <c r="D100" s="268" t="e">
        <f>1-D98/D93</f>
        <v>#REF!</v>
      </c>
    </row>
  </sheetData>
  <mergeCells count="25">
    <mergeCell ref="B53:G53"/>
    <mergeCell ref="B54:G54"/>
    <mergeCell ref="B40:B46"/>
    <mergeCell ref="C7:C14"/>
    <mergeCell ref="C16:C25"/>
    <mergeCell ref="C26:C31"/>
    <mergeCell ref="C33:C35"/>
    <mergeCell ref="C36:C38"/>
    <mergeCell ref="C39:C46"/>
    <mergeCell ref="D33:E35"/>
    <mergeCell ref="D36:E38"/>
    <mergeCell ref="D39:E46"/>
    <mergeCell ref="D7:E14"/>
    <mergeCell ref="D16:E25"/>
    <mergeCell ref="D26:E31"/>
    <mergeCell ref="D32:E32"/>
    <mergeCell ref="C47:F47"/>
    <mergeCell ref="C48:F48"/>
    <mergeCell ref="C49:F49"/>
    <mergeCell ref="C50:G50"/>
    <mergeCell ref="C2:H2"/>
    <mergeCell ref="B4:G4"/>
    <mergeCell ref="D5:E5"/>
    <mergeCell ref="D6:E6"/>
    <mergeCell ref="D15:E15"/>
  </mergeCells>
  <printOptions horizontalCentered="1" verticalCentered="1"/>
  <pageMargins left="0.35433070866141703" right="0.35433070866141703" top="0.59055118110236204" bottom="0.59055118110236204" header="0.511811023622047" footer="0.511811023622047"/>
  <pageSetup paperSize="9" scale="48" orientation="landscape" r:id="rId1"/>
  <headerFooter alignWithMargins="0"/>
  <rowBreaks count="1" manualBreakCount="1">
    <brk id="38" max="16383" man="1"/>
  </rowBreaks>
  <colBreaks count="1" manualBreakCount="1">
    <brk id="20" max="1048575" man="1"/>
  </col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R23"/>
  <sheetViews>
    <sheetView topLeftCell="A17" workbookViewId="0">
      <selection activeCell="E9" sqref="E9"/>
    </sheetView>
  </sheetViews>
  <sheetFormatPr defaultColWidth="8.85546875" defaultRowHeight="12.75"/>
  <cols>
    <col min="3" max="3" width="10.85546875" customWidth="1"/>
    <col min="4" max="7" width="8.85546875" customWidth="1"/>
    <col min="8" max="8" width="9.28515625" customWidth="1"/>
    <col min="9" max="9" width="11.28515625" customWidth="1"/>
    <col min="11" max="11" width="6.28515625" customWidth="1"/>
    <col min="12" max="12" width="6.85546875" customWidth="1"/>
    <col min="13" max="13" width="11.28515625" customWidth="1"/>
    <col min="14" max="14" width="12.7109375" customWidth="1"/>
    <col min="15" max="15" width="11" customWidth="1"/>
    <col min="16" max="16" width="10.7109375" customWidth="1"/>
    <col min="18" max="18" width="14.28515625" customWidth="1"/>
  </cols>
  <sheetData>
    <row r="2" spans="2:18">
      <c r="B2" t="s">
        <v>992</v>
      </c>
    </row>
    <row r="3" spans="2:18">
      <c r="B3" s="55"/>
      <c r="C3" s="131">
        <v>2018</v>
      </c>
      <c r="D3" s="131">
        <v>2019</v>
      </c>
      <c r="E3" s="131">
        <v>2020</v>
      </c>
      <c r="F3" s="131">
        <v>2021</v>
      </c>
      <c r="G3" s="131">
        <v>2022</v>
      </c>
      <c r="H3" s="131">
        <v>2023</v>
      </c>
    </row>
    <row r="4" spans="2:18">
      <c r="B4" s="132" t="s">
        <v>993</v>
      </c>
      <c r="C4" s="133">
        <v>3.6999999999999998E-2</v>
      </c>
      <c r="D4" s="134">
        <v>2.8000000000000001E-2</v>
      </c>
      <c r="E4" s="134">
        <v>2.5999999999999999E-2</v>
      </c>
      <c r="F4" s="134">
        <v>2.5000000000000001E-2</v>
      </c>
      <c r="G4" s="134">
        <v>2.4E-2</v>
      </c>
      <c r="H4" s="135">
        <v>0.02</v>
      </c>
    </row>
    <row r="5" spans="2:18">
      <c r="B5" s="132" t="s">
        <v>994</v>
      </c>
      <c r="C5" s="136">
        <v>1</v>
      </c>
      <c r="D5" s="137">
        <f>C5*(1+E4)</f>
        <v>1.026</v>
      </c>
      <c r="E5" s="137">
        <f>D5*(1+F4)</f>
        <v>1.05165</v>
      </c>
      <c r="F5" s="137">
        <f>E5*(1+G4)</f>
        <v>1.0768895999999999</v>
      </c>
      <c r="G5" s="137">
        <f>F5*(1+H4)</f>
        <v>1.0984273920000001</v>
      </c>
      <c r="H5" s="137">
        <f>G5*(1+I4)</f>
        <v>1.0984273920000001</v>
      </c>
    </row>
    <row r="6" spans="2:18">
      <c r="B6" s="132" t="s">
        <v>7</v>
      </c>
      <c r="C6" s="138" t="s">
        <v>995</v>
      </c>
      <c r="D6" s="139">
        <v>4.62</v>
      </c>
      <c r="E6" s="139">
        <v>4.5999999999999996</v>
      </c>
      <c r="F6" s="139">
        <v>4.58</v>
      </c>
      <c r="G6" s="139">
        <v>4.5599999999999996</v>
      </c>
      <c r="H6" s="132">
        <v>4.5</v>
      </c>
    </row>
    <row r="7" spans="2:18">
      <c r="C7" s="140" t="s">
        <v>996</v>
      </c>
    </row>
    <row r="11" spans="2:18" ht="15.75">
      <c r="B11" s="141" t="s">
        <v>997</v>
      </c>
    </row>
    <row r="13" spans="2:18">
      <c r="B13" t="s">
        <v>998</v>
      </c>
      <c r="K13" t="s">
        <v>998</v>
      </c>
    </row>
    <row r="14" spans="2:18">
      <c r="B14" s="142"/>
      <c r="C14" s="143"/>
      <c r="D14" s="143"/>
      <c r="E14" s="143"/>
      <c r="F14" s="143"/>
      <c r="G14" s="143"/>
      <c r="H14" s="143"/>
      <c r="I14" s="2119" t="s">
        <v>999</v>
      </c>
      <c r="K14" s="142"/>
      <c r="L14" s="143"/>
      <c r="M14" s="143"/>
      <c r="N14" s="143"/>
      <c r="O14" s="143"/>
      <c r="P14" s="143"/>
      <c r="Q14" s="143"/>
      <c r="R14" s="2119" t="s">
        <v>999</v>
      </c>
    </row>
    <row r="15" spans="2:18">
      <c r="B15" s="144" t="s">
        <v>1000</v>
      </c>
      <c r="C15" s="145">
        <v>2018</v>
      </c>
      <c r="D15" s="145">
        <v>2019</v>
      </c>
      <c r="E15" s="145">
        <v>2020</v>
      </c>
      <c r="F15" s="145">
        <v>2021</v>
      </c>
      <c r="G15" s="145">
        <v>2022</v>
      </c>
      <c r="H15" s="145">
        <v>2023</v>
      </c>
      <c r="I15" s="2120"/>
      <c r="K15" s="144" t="s">
        <v>1000</v>
      </c>
      <c r="L15" s="145">
        <v>2018</v>
      </c>
      <c r="M15" s="145">
        <v>2019</v>
      </c>
      <c r="N15" s="145">
        <v>2020</v>
      </c>
      <c r="O15" s="145">
        <v>2021</v>
      </c>
      <c r="P15" s="145">
        <v>2022</v>
      </c>
      <c r="Q15" s="145">
        <v>2023</v>
      </c>
      <c r="R15" s="2120"/>
    </row>
    <row r="16" spans="2:18">
      <c r="B16" s="146"/>
      <c r="C16" s="147"/>
      <c r="D16" s="147"/>
      <c r="E16" s="147"/>
      <c r="F16" s="147"/>
      <c r="G16" s="147"/>
      <c r="H16" s="147"/>
      <c r="I16" s="158"/>
      <c r="K16" s="146"/>
      <c r="L16" s="147"/>
      <c r="M16" s="147"/>
      <c r="N16" s="147"/>
      <c r="O16" s="147"/>
      <c r="P16" s="147"/>
      <c r="Q16" s="147"/>
      <c r="R16" s="158"/>
    </row>
    <row r="17" spans="2:18" ht="19.5">
      <c r="B17" s="148" t="s">
        <v>1001</v>
      </c>
      <c r="C17" s="149" t="e">
        <f>'esalonare investitie'!#REF!</f>
        <v>#REF!</v>
      </c>
      <c r="D17" s="150" t="e">
        <f>ROUND('esalonare investitie'!#REF!,0)</f>
        <v>#REF!</v>
      </c>
      <c r="E17" s="150" t="e">
        <f>ROUND('esalonare investitie'!#REF!,0)</f>
        <v>#REF!</v>
      </c>
      <c r="F17" s="150" t="e">
        <f>ROUNDDOWN('esalonare investitie'!#REF!,0)</f>
        <v>#REF!</v>
      </c>
      <c r="G17" s="150" t="e">
        <f>ROUND('esalonare investitie'!#REF!,0)</f>
        <v>#REF!</v>
      </c>
      <c r="H17" s="151" t="s">
        <v>9</v>
      </c>
      <c r="I17" s="159" t="e">
        <f>C17+D17+E17+F17+G17</f>
        <v>#REF!</v>
      </c>
      <c r="K17" s="148" t="s">
        <v>1002</v>
      </c>
      <c r="L17" s="149" t="e">
        <f>C17*euro</f>
        <v>#REF!</v>
      </c>
      <c r="M17" s="149" t="e">
        <f>D17*euro</f>
        <v>#REF!</v>
      </c>
      <c r="N17" s="149" t="e">
        <f>E17*euro</f>
        <v>#REF!</v>
      </c>
      <c r="O17" s="149" t="e">
        <f>F17*euro</f>
        <v>#REF!</v>
      </c>
      <c r="P17" s="149" t="e">
        <f>G17*euro</f>
        <v>#REF!</v>
      </c>
      <c r="Q17" s="168" t="s">
        <v>9</v>
      </c>
      <c r="R17" s="159" t="e">
        <f>L17+M17+N17+O17+P17</f>
        <v>#REF!</v>
      </c>
    </row>
    <row r="18" spans="2:18">
      <c r="B18" s="152" t="s">
        <v>9</v>
      </c>
      <c r="C18" s="153"/>
      <c r="D18" s="153"/>
      <c r="E18" s="153"/>
      <c r="F18" s="153"/>
      <c r="G18" s="153"/>
      <c r="H18" s="153"/>
      <c r="I18" s="160" t="s">
        <v>9</v>
      </c>
      <c r="K18" s="152" t="s">
        <v>9</v>
      </c>
      <c r="L18" s="153"/>
      <c r="M18" s="153"/>
      <c r="N18" s="153"/>
      <c r="O18" s="153"/>
      <c r="P18" s="153"/>
      <c r="Q18" s="153"/>
      <c r="R18" s="160" t="s">
        <v>9</v>
      </c>
    </row>
    <row r="19" spans="2:18">
      <c r="B19" s="154" t="s">
        <v>37</v>
      </c>
      <c r="C19" s="155"/>
      <c r="D19" s="156" t="e">
        <f>ROUND(D17/$I$17,4)</f>
        <v>#REF!</v>
      </c>
      <c r="E19" s="156" t="e">
        <f>ROUND(E17/$I$17,4)</f>
        <v>#REF!</v>
      </c>
      <c r="F19" s="156" t="e">
        <f>ROUNDDOWN(F17/$I$17,4)</f>
        <v>#REF!</v>
      </c>
      <c r="G19" s="156" t="e">
        <f>ROUNDDOWN(G17/$I$17,4)</f>
        <v>#REF!</v>
      </c>
      <c r="H19" s="55"/>
      <c r="I19" s="155" t="e">
        <f>SUM(C19:H19)</f>
        <v>#REF!</v>
      </c>
      <c r="K19" s="154" t="s">
        <v>37</v>
      </c>
      <c r="L19" s="161">
        <v>0</v>
      </c>
      <c r="M19" s="162" t="e">
        <f>ROUNDDOWN(D19,8)</f>
        <v>#REF!</v>
      </c>
      <c r="N19" s="162" t="e">
        <f>E19</f>
        <v>#REF!</v>
      </c>
      <c r="O19" s="162" t="e">
        <f>ROUNDUP(F19,8)</f>
        <v>#REF!</v>
      </c>
      <c r="P19" s="162" t="e">
        <f>G19</f>
        <v>#REF!</v>
      </c>
      <c r="Q19" s="132"/>
      <c r="R19" s="155" t="e">
        <f>L19+M19+N19+O19+P19</f>
        <v>#REF!</v>
      </c>
    </row>
    <row r="21" spans="2:18">
      <c r="B21" t="s">
        <v>1003</v>
      </c>
      <c r="I21" s="163" t="s">
        <v>9</v>
      </c>
      <c r="K21" t="s">
        <v>1003</v>
      </c>
      <c r="M21" s="164" t="s">
        <v>9</v>
      </c>
      <c r="N21" s="164" t="s">
        <v>9</v>
      </c>
      <c r="O21" s="164" t="s">
        <v>9</v>
      </c>
      <c r="P21" s="164" t="s">
        <v>9</v>
      </c>
      <c r="Q21" s="164" t="s">
        <v>9</v>
      </c>
      <c r="R21" s="53" t="s">
        <v>9</v>
      </c>
    </row>
    <row r="22" spans="2:18">
      <c r="B22" t="s">
        <v>339</v>
      </c>
      <c r="C22" s="157" t="e">
        <f>'esalonare investitie'!#REF!</f>
        <v>#REF!</v>
      </c>
      <c r="D22" s="157" t="e">
        <f>'esalonare investitie'!#REF!</f>
        <v>#REF!</v>
      </c>
      <c r="E22" s="157">
        <f>'esalonare investitie'!C64</f>
        <v>302833.90999999997</v>
      </c>
      <c r="F22" s="157">
        <f>'esalonare investitie'!G64</f>
        <v>29356538.800000001</v>
      </c>
      <c r="G22" s="157" t="e">
        <f>'esalonare investitie'!#REF!</f>
        <v>#REF!</v>
      </c>
      <c r="H22" s="157" t="s">
        <v>9</v>
      </c>
      <c r="I22" s="157" t="e">
        <f>SUM(C22:H22)</f>
        <v>#REF!</v>
      </c>
      <c r="K22" t="s">
        <v>108</v>
      </c>
      <c r="L22" s="165">
        <v>0</v>
      </c>
      <c r="M22" s="166" t="e">
        <f>M17*'esalonare investitie'!$O$64</f>
        <v>#REF!</v>
      </c>
      <c r="N22" s="166" t="e">
        <f>N17*'esalonare investitie'!$O$64</f>
        <v>#REF!</v>
      </c>
      <c r="O22" s="166" t="e">
        <f>O17*'esalonare investitie'!$O$64</f>
        <v>#REF!</v>
      </c>
      <c r="P22" s="166" t="e">
        <f>P17*'esalonare investitie'!$O$64</f>
        <v>#REF!</v>
      </c>
      <c r="Q22" s="165" t="s">
        <v>9</v>
      </c>
      <c r="R22" s="157" t="e">
        <f>SUM(L22:P22)</f>
        <v>#REF!</v>
      </c>
    </row>
    <row r="23" spans="2:18">
      <c r="M23" s="167" t="s">
        <v>9</v>
      </c>
      <c r="O23" t="s">
        <v>9</v>
      </c>
      <c r="Q23" t="s">
        <v>9</v>
      </c>
      <c r="R23" s="53" t="s">
        <v>9</v>
      </c>
    </row>
  </sheetData>
  <mergeCells count="2">
    <mergeCell ref="I14:I15"/>
    <mergeCell ref="R14:R15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opLeftCell="A37" workbookViewId="0">
      <selection activeCell="E53" sqref="E53"/>
    </sheetView>
  </sheetViews>
  <sheetFormatPr defaultColWidth="8.85546875" defaultRowHeight="12.75"/>
  <cols>
    <col min="1" max="1" width="11.28515625" style="58" customWidth="1"/>
    <col min="2" max="2" width="32.28515625" customWidth="1"/>
    <col min="3" max="3" width="17.28515625" customWidth="1"/>
    <col min="4" max="4" width="13.7109375" hidden="1" customWidth="1"/>
    <col min="5" max="7" width="8.85546875" style="58"/>
    <col min="8" max="8" width="6.28515625" customWidth="1"/>
    <col min="9" max="9" width="4.85546875" customWidth="1"/>
    <col min="10" max="10" width="18.140625" customWidth="1"/>
    <col min="11" max="11" width="18" customWidth="1"/>
    <col min="12" max="57" width="8.85546875" style="58"/>
  </cols>
  <sheetData>
    <row r="1" spans="2:11" s="58" customFormat="1"/>
    <row r="2" spans="2:11" s="58" customFormat="1" ht="15">
      <c r="B2" s="82" t="s">
        <v>1004</v>
      </c>
      <c r="H2" s="58" t="s">
        <v>1005</v>
      </c>
      <c r="K2" s="121" t="s">
        <v>1006</v>
      </c>
    </row>
    <row r="3" spans="2:11" ht="41.25" customHeight="1">
      <c r="B3" s="91" t="s">
        <v>1007</v>
      </c>
      <c r="C3" s="92" t="s">
        <v>1008</v>
      </c>
      <c r="D3" s="93" t="s">
        <v>1009</v>
      </c>
      <c r="H3" s="2121" t="s">
        <v>1007</v>
      </c>
      <c r="I3" s="2122"/>
      <c r="J3" s="2122"/>
      <c r="K3" s="122" t="s">
        <v>759</v>
      </c>
    </row>
    <row r="4" spans="2:11" ht="39">
      <c r="B4" s="56" t="str">
        <f>'DEVIZ GENERAL'!B49</f>
        <v>3.5.5 Verificarea tehnica de calitate a proiectului tehnic si a detaliilor de executie</v>
      </c>
      <c r="C4" s="76"/>
      <c r="H4" s="94" t="s">
        <v>1010</v>
      </c>
      <c r="I4" s="123" t="s">
        <v>1011</v>
      </c>
      <c r="J4" s="124" t="s">
        <v>767</v>
      </c>
      <c r="K4" s="125">
        <v>2323377</v>
      </c>
    </row>
    <row r="5" spans="2:11" ht="25.5">
      <c r="B5" s="95" t="s">
        <v>1012</v>
      </c>
      <c r="C5" s="63">
        <v>0</v>
      </c>
      <c r="D5" s="53">
        <v>0</v>
      </c>
      <c r="H5" s="71"/>
      <c r="I5" s="123" t="s">
        <v>1013</v>
      </c>
      <c r="J5" s="124" t="s">
        <v>1014</v>
      </c>
      <c r="K5" s="125">
        <v>3296690</v>
      </c>
    </row>
    <row r="6" spans="2:11" ht="38.25">
      <c r="B6" s="56" t="s">
        <v>1015</v>
      </c>
      <c r="C6" s="63">
        <f>ROUND('DEVIZ GENERAL'!C57,0)</f>
        <v>0</v>
      </c>
      <c r="D6" s="53" t="e">
        <f>#REF!</f>
        <v>#REF!</v>
      </c>
      <c r="H6" s="71"/>
      <c r="I6" s="123" t="s">
        <v>1016</v>
      </c>
      <c r="J6" s="124" t="s">
        <v>199</v>
      </c>
      <c r="K6" s="125">
        <v>2000000</v>
      </c>
    </row>
    <row r="7" spans="2:11" ht="25.5">
      <c r="B7" s="56" t="str">
        <f>'DEVIZ GENERAL'!B60</f>
        <v xml:space="preserve">3.7.1 Managementul de proiect pentru obiectivul de investitii </v>
      </c>
      <c r="C7" s="63">
        <f>'DEVIZ GENERAL'!C60</f>
        <v>3483060</v>
      </c>
      <c r="D7" s="57" t="e">
        <f>#REF!</f>
        <v>#REF!</v>
      </c>
      <c r="H7" s="71"/>
      <c r="I7" s="123"/>
      <c r="J7" s="123"/>
      <c r="K7" s="126">
        <f>SUM(K4:K6)</f>
        <v>7620067</v>
      </c>
    </row>
    <row r="8" spans="2:11" ht="25.5">
      <c r="B8" s="96" t="str">
        <f>'DEVIZ GENERAL'!B63</f>
        <v>3.8.1 Asistenta tehnica din partea proiectantului</v>
      </c>
      <c r="C8" s="63">
        <v>0</v>
      </c>
      <c r="D8" s="53">
        <v>0</v>
      </c>
      <c r="H8" s="71"/>
      <c r="I8" s="123"/>
      <c r="J8" s="123"/>
      <c r="K8" s="125"/>
    </row>
    <row r="9" spans="2:11" ht="15">
      <c r="B9" s="97" t="s">
        <v>1017</v>
      </c>
      <c r="C9" s="76"/>
      <c r="H9" s="94" t="s">
        <v>1018</v>
      </c>
      <c r="I9" s="123" t="s">
        <v>1019</v>
      </c>
      <c r="J9" s="123" t="s">
        <v>1020</v>
      </c>
      <c r="K9" s="126">
        <v>7675355</v>
      </c>
    </row>
    <row r="10" spans="2:11" ht="26.25">
      <c r="B10" s="98" t="s">
        <v>1021</v>
      </c>
      <c r="C10" s="63">
        <f>C11+C12</f>
        <v>1709476</v>
      </c>
      <c r="D10" s="53" t="e">
        <f>D11+D12</f>
        <v>#REF!</v>
      </c>
      <c r="H10" s="94"/>
      <c r="I10" s="123"/>
      <c r="J10" s="123"/>
      <c r="K10" s="126"/>
    </row>
    <row r="11" spans="2:11" ht="39">
      <c r="B11" s="99" t="str">
        <f>'DEVIZ GENERAL'!B141</f>
        <v>Cheltuieli de informare și publicitate pentru proiect, care rezultă din obligațiile beneficiarului</v>
      </c>
      <c r="C11" s="100">
        <f>'DEVIZ GENERAL'!C141</f>
        <v>497580</v>
      </c>
      <c r="D11" s="101" t="e">
        <f>#REF!</f>
        <v>#REF!</v>
      </c>
      <c r="H11" s="102"/>
      <c r="I11" s="127"/>
      <c r="J11" s="127" t="s">
        <v>257</v>
      </c>
      <c r="K11" s="128">
        <f>SUM(K7:K9)</f>
        <v>15295422</v>
      </c>
    </row>
    <row r="12" spans="2:11" ht="38.25">
      <c r="B12" s="99" t="str">
        <f>'DEVIZ GENERAL'!B142</f>
        <v>Cheltuieli de promovare a serviciului - campania de constientizare a publicului</v>
      </c>
      <c r="C12" s="100">
        <f>'DEVIZ GENERAL'!C142</f>
        <v>1211896</v>
      </c>
      <c r="D12" s="101" t="e">
        <f>#REF!</f>
        <v>#REF!</v>
      </c>
      <c r="H12" s="58"/>
      <c r="I12" s="58"/>
      <c r="J12" s="58"/>
      <c r="K12" s="58"/>
    </row>
    <row r="13" spans="2:11">
      <c r="B13" s="71"/>
      <c r="C13" s="76"/>
      <c r="H13" s="58"/>
      <c r="I13" s="58"/>
      <c r="J13" s="58"/>
      <c r="K13" s="129">
        <v>84596</v>
      </c>
    </row>
    <row r="14" spans="2:11">
      <c r="B14" s="49" t="s">
        <v>257</v>
      </c>
      <c r="C14" s="69">
        <f>SUM(C5:C10)</f>
        <v>5192536</v>
      </c>
      <c r="D14" s="103" t="e">
        <f>SUM(D5:D10)</f>
        <v>#REF!</v>
      </c>
      <c r="H14" s="58"/>
      <c r="I14" s="58"/>
      <c r="J14" s="58"/>
      <c r="K14" s="129">
        <v>372560</v>
      </c>
    </row>
    <row r="15" spans="2:11">
      <c r="B15" s="71"/>
      <c r="C15" s="76"/>
      <c r="H15" s="58"/>
      <c r="I15" s="58"/>
      <c r="J15" s="58"/>
      <c r="K15" s="129">
        <v>350000</v>
      </c>
    </row>
    <row r="16" spans="2:11">
      <c r="B16" s="104" t="s">
        <v>1022</v>
      </c>
      <c r="C16" s="105">
        <f>'DEVIZ GENERAL'!C70</f>
        <v>9933997</v>
      </c>
      <c r="D16" s="103" t="e">
        <f>#REF!</f>
        <v>#REF!</v>
      </c>
      <c r="H16" s="58"/>
      <c r="I16" s="58"/>
      <c r="J16" s="58"/>
      <c r="K16" s="129">
        <v>139000</v>
      </c>
    </row>
    <row r="17" spans="1:11" s="58" customFormat="1">
      <c r="K17" s="129">
        <v>120000</v>
      </c>
    </row>
    <row r="18" spans="1:11" s="58" customFormat="1">
      <c r="B18" s="58" t="s">
        <v>9</v>
      </c>
      <c r="C18" s="58" t="s">
        <v>9</v>
      </c>
      <c r="D18" s="58" t="s">
        <v>1023</v>
      </c>
      <c r="K18" s="129">
        <v>57945184</v>
      </c>
    </row>
    <row r="19" spans="1:11" s="58" customFormat="1">
      <c r="B19" s="58" t="s">
        <v>9</v>
      </c>
      <c r="C19" s="81" t="s">
        <v>9</v>
      </c>
      <c r="D19" s="81">
        <v>15350711</v>
      </c>
      <c r="K19" s="129">
        <v>51072889</v>
      </c>
    </row>
    <row r="20" spans="1:11" s="58" customFormat="1">
      <c r="K20" s="129">
        <v>8977000</v>
      </c>
    </row>
    <row r="21" spans="1:11" s="58" customFormat="1">
      <c r="K21" s="129">
        <v>169569192</v>
      </c>
    </row>
    <row r="22" spans="1:11" s="58" customFormat="1">
      <c r="K22" s="129">
        <v>32036886</v>
      </c>
    </row>
    <row r="23" spans="1:11" s="58" customFormat="1">
      <c r="K23" s="130">
        <f>SUM(K11:K22)</f>
        <v>335962729</v>
      </c>
    </row>
    <row r="24" spans="1:11" s="58" customFormat="1"/>
    <row r="25" spans="1:11" s="58" customFormat="1"/>
    <row r="26" spans="1:11" s="58" customFormat="1"/>
    <row r="27" spans="1:11" s="58" customFormat="1"/>
    <row r="28" spans="1:11" s="58" customFormat="1"/>
    <row r="29" spans="1:11" s="58" customFormat="1" ht="15.75">
      <c r="A29" s="106" t="s">
        <v>1024</v>
      </c>
      <c r="B29" s="107"/>
      <c r="C29" s="107"/>
      <c r="D29" s="107"/>
      <c r="E29" s="107"/>
      <c r="F29" s="107"/>
      <c r="G29" s="108"/>
    </row>
    <row r="30" spans="1:11" s="58" customFormat="1">
      <c r="A30" s="109" t="s">
        <v>1025</v>
      </c>
      <c r="G30" s="110"/>
    </row>
    <row r="31" spans="1:11" s="58" customFormat="1">
      <c r="A31" s="111">
        <v>2013</v>
      </c>
      <c r="B31" s="112">
        <v>277465.5</v>
      </c>
      <c r="C31" s="82" t="s">
        <v>1026</v>
      </c>
      <c r="E31" s="58" t="s">
        <v>1027</v>
      </c>
      <c r="G31" s="110"/>
    </row>
    <row r="32" spans="1:11" s="58" customFormat="1">
      <c r="A32" s="111">
        <v>2015</v>
      </c>
      <c r="B32" s="113">
        <v>277465.5</v>
      </c>
      <c r="C32" s="58" t="s">
        <v>1028</v>
      </c>
      <c r="G32" s="110"/>
    </row>
    <row r="33" spans="1:7" s="58" customFormat="1">
      <c r="A33" s="111">
        <v>2018</v>
      </c>
      <c r="B33" s="113">
        <v>84000</v>
      </c>
      <c r="C33" s="58" t="s">
        <v>1029</v>
      </c>
      <c r="G33" s="110"/>
    </row>
    <row r="34" spans="1:7" s="58" customFormat="1">
      <c r="A34" s="111" t="s">
        <v>1030</v>
      </c>
      <c r="B34" s="113">
        <v>110986.2</v>
      </c>
      <c r="C34" s="58" t="s">
        <v>1031</v>
      </c>
      <c r="G34" s="110"/>
    </row>
    <row r="35" spans="1:7" s="58" customFormat="1">
      <c r="A35" s="111"/>
      <c r="B35" s="113">
        <v>77690.34</v>
      </c>
      <c r="C35" s="58" t="s">
        <v>1032</v>
      </c>
      <c r="G35" s="110"/>
    </row>
    <row r="36" spans="1:7" s="58" customFormat="1">
      <c r="A36" s="111"/>
      <c r="B36" s="113">
        <v>332958.59999999998</v>
      </c>
      <c r="C36" s="58" t="s">
        <v>1033</v>
      </c>
      <c r="G36" s="110"/>
    </row>
    <row r="37" spans="1:7" s="58" customFormat="1">
      <c r="A37" s="111"/>
      <c r="B37" s="113">
        <v>110000</v>
      </c>
      <c r="C37" s="58" t="s">
        <v>1034</v>
      </c>
      <c r="G37" s="110"/>
    </row>
    <row r="38" spans="1:7" s="58" customFormat="1">
      <c r="A38" s="111"/>
      <c r="B38" s="113">
        <v>92437</v>
      </c>
      <c r="C38" s="58" t="s">
        <v>1035</v>
      </c>
      <c r="G38" s="110"/>
    </row>
    <row r="39" spans="1:7" s="58" customFormat="1">
      <c r="A39" s="111"/>
      <c r="B39" s="113">
        <v>33295.86</v>
      </c>
      <c r="C39" s="58" t="s">
        <v>1036</v>
      </c>
      <c r="G39" s="110"/>
    </row>
    <row r="40" spans="1:7" s="58" customFormat="1">
      <c r="A40" s="114" t="s">
        <v>24</v>
      </c>
      <c r="B40" s="115">
        <f>SUM(B31:B39)</f>
        <v>1396299</v>
      </c>
      <c r="C40" s="116"/>
      <c r="D40" s="116"/>
      <c r="E40" s="116"/>
      <c r="G40" s="110"/>
    </row>
    <row r="41" spans="1:7" s="58" customFormat="1">
      <c r="A41" s="111"/>
      <c r="B41" s="117"/>
      <c r="G41" s="110"/>
    </row>
    <row r="42" spans="1:7" s="58" customFormat="1">
      <c r="A42" s="109" t="s">
        <v>1037</v>
      </c>
      <c r="B42" s="117"/>
      <c r="G42" s="110"/>
    </row>
    <row r="43" spans="1:7" s="58" customFormat="1">
      <c r="A43" s="111" t="s">
        <v>1038</v>
      </c>
      <c r="B43" s="117">
        <v>1109862</v>
      </c>
      <c r="G43" s="110"/>
    </row>
    <row r="44" spans="1:7" s="58" customFormat="1">
      <c r="A44" s="111" t="s">
        <v>1039</v>
      </c>
      <c r="B44" s="117">
        <v>92437</v>
      </c>
      <c r="G44" s="110"/>
    </row>
    <row r="45" spans="1:7" s="58" customFormat="1">
      <c r="A45" s="111" t="s">
        <v>1040</v>
      </c>
      <c r="B45" s="117">
        <v>84000</v>
      </c>
      <c r="G45" s="110"/>
    </row>
    <row r="46" spans="1:7" s="58" customFormat="1">
      <c r="A46" s="111" t="s">
        <v>1041</v>
      </c>
      <c r="B46" s="117">
        <v>110000</v>
      </c>
      <c r="G46" s="110"/>
    </row>
    <row r="47" spans="1:7" s="58" customFormat="1">
      <c r="A47" s="109" t="s">
        <v>261</v>
      </c>
      <c r="B47" s="112">
        <f>SUM(B43:B46)</f>
        <v>1396299</v>
      </c>
      <c r="G47" s="110"/>
    </row>
    <row r="48" spans="1:7" s="58" customFormat="1">
      <c r="A48" s="118"/>
      <c r="B48" s="119">
        <f>B47-B40</f>
        <v>0</v>
      </c>
      <c r="C48" s="116"/>
      <c r="D48" s="116"/>
      <c r="E48" s="116"/>
      <c r="F48" s="116"/>
      <c r="G48" s="120"/>
    </row>
    <row r="49" spans="2:2" s="58" customFormat="1">
      <c r="B49" s="42"/>
    </row>
    <row r="50" spans="2:2" s="58" customFormat="1">
      <c r="B50" s="42"/>
    </row>
    <row r="51" spans="2:2" s="58" customFormat="1">
      <c r="B51" s="42"/>
    </row>
    <row r="52" spans="2:2" s="58" customFormat="1"/>
    <row r="53" spans="2:2" s="58" customFormat="1"/>
    <row r="54" spans="2:2" s="58" customFormat="1"/>
    <row r="55" spans="2:2" s="58" customFormat="1"/>
    <row r="56" spans="2:2" s="58" customFormat="1"/>
    <row r="57" spans="2:2" s="58" customFormat="1"/>
    <row r="58" spans="2:2" s="58" customFormat="1"/>
    <row r="59" spans="2:2" s="58" customFormat="1"/>
    <row r="60" spans="2:2" s="58" customFormat="1"/>
    <row r="61" spans="2:2" s="58" customFormat="1"/>
    <row r="62" spans="2:2" s="58" customFormat="1"/>
    <row r="63" spans="2:2" s="58" customFormat="1"/>
    <row r="64" spans="2:2" s="58" customFormat="1"/>
    <row r="65" s="58" customFormat="1"/>
    <row r="66" s="58" customFormat="1"/>
    <row r="67" s="58" customFormat="1"/>
    <row r="68" s="58" customFormat="1"/>
    <row r="69" s="58" customFormat="1"/>
    <row r="70" s="58" customFormat="1"/>
    <row r="71" s="58" customFormat="1"/>
  </sheetData>
  <mergeCells count="1">
    <mergeCell ref="H3:J3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4"/>
  <sheetViews>
    <sheetView zoomScale="79" zoomScaleNormal="79" workbookViewId="0">
      <selection activeCell="C1" sqref="C1"/>
    </sheetView>
  </sheetViews>
  <sheetFormatPr defaultColWidth="8.85546875" defaultRowHeight="12.75"/>
  <cols>
    <col min="1" max="1" width="8.85546875" style="58"/>
    <col min="2" max="2" width="33.7109375" customWidth="1"/>
    <col min="3" max="3" width="17.85546875" customWidth="1"/>
    <col min="4" max="4" width="18" hidden="1" customWidth="1"/>
    <col min="5" max="5" width="17.85546875" customWidth="1"/>
    <col min="6" max="6" width="17.28515625" hidden="1" customWidth="1"/>
    <col min="7" max="7" width="17.85546875" customWidth="1"/>
    <col min="8" max="8" width="18" hidden="1" customWidth="1"/>
    <col min="9" max="9" width="18" customWidth="1"/>
    <col min="10" max="10" width="18.140625" hidden="1" customWidth="1"/>
    <col min="11" max="60" width="8.85546875" style="58"/>
  </cols>
  <sheetData>
    <row r="1" spans="2:11" s="58" customFormat="1"/>
    <row r="2" spans="2:11" s="58" customFormat="1"/>
    <row r="3" spans="2:11" s="58" customFormat="1">
      <c r="B3" s="82" t="s">
        <v>1042</v>
      </c>
    </row>
    <row r="4" spans="2:11" ht="38.25" customHeight="1">
      <c r="B4" s="45" t="s">
        <v>1043</v>
      </c>
      <c r="C4" s="46" t="s">
        <v>1008</v>
      </c>
      <c r="D4" s="46" t="s">
        <v>1009</v>
      </c>
      <c r="E4" s="46" t="s">
        <v>1008</v>
      </c>
      <c r="F4" s="46" t="s">
        <v>1009</v>
      </c>
      <c r="G4" s="46" t="s">
        <v>1008</v>
      </c>
      <c r="H4" s="46" t="s">
        <v>1009</v>
      </c>
      <c r="I4" s="46" t="s">
        <v>1008</v>
      </c>
      <c r="J4" s="60" t="s">
        <v>1009</v>
      </c>
    </row>
    <row r="5" spans="2:11">
      <c r="B5" s="47" t="s">
        <v>257</v>
      </c>
      <c r="C5" s="2123" t="s">
        <v>257</v>
      </c>
      <c r="D5" s="2123"/>
      <c r="E5" s="2124" t="s">
        <v>1044</v>
      </c>
      <c r="F5" s="2124"/>
      <c r="G5" s="2124" t="s">
        <v>1045</v>
      </c>
      <c r="H5" s="2124"/>
      <c r="I5" s="2124" t="s">
        <v>1046</v>
      </c>
      <c r="J5" s="2125"/>
    </row>
    <row r="6" spans="2:11">
      <c r="B6" s="49" t="s">
        <v>136</v>
      </c>
      <c r="C6" s="73"/>
      <c r="D6" s="50"/>
      <c r="E6" s="55"/>
      <c r="F6" s="55"/>
      <c r="G6" s="55"/>
      <c r="H6" s="55"/>
      <c r="I6" s="55"/>
      <c r="J6" s="76"/>
    </row>
    <row r="7" spans="2:11">
      <c r="B7" s="83" t="s">
        <v>125</v>
      </c>
      <c r="C7" s="65" t="e">
        <f>E7+G7+I7</f>
        <v>#REF!</v>
      </c>
      <c r="D7" s="52" t="e">
        <f>F7+H7+J7</f>
        <v>#REF!</v>
      </c>
      <c r="E7" s="52" t="e">
        <f>#REF!</f>
        <v>#REF!</v>
      </c>
      <c r="F7" s="84" t="e">
        <f>E7/$E$28</f>
        <v>#REF!</v>
      </c>
      <c r="G7" s="52" t="e">
        <f>#REF!</f>
        <v>#REF!</v>
      </c>
      <c r="H7" s="55"/>
      <c r="I7" s="52" t="e">
        <f>#REF!</f>
        <v>#REF!</v>
      </c>
      <c r="J7" s="76"/>
    </row>
    <row r="8" spans="2:11" ht="24" customHeight="1">
      <c r="B8" s="51" t="s">
        <v>143</v>
      </c>
      <c r="C8" s="65" t="e">
        <f>E8+G8+I8</f>
        <v>#REF!</v>
      </c>
      <c r="D8" s="52" t="e">
        <f>F8+H8+J8</f>
        <v>#REF!</v>
      </c>
      <c r="E8" s="52" t="e">
        <f>#REF!</f>
        <v>#REF!</v>
      </c>
      <c r="F8" s="84" t="e">
        <f t="shared" ref="F8:F27" si="0">E8/$E$28</f>
        <v>#REF!</v>
      </c>
      <c r="G8" s="52" t="e">
        <f>#REF!</f>
        <v>#REF!</v>
      </c>
      <c r="H8" s="55"/>
      <c r="I8" s="52" t="e">
        <f>#REF!</f>
        <v>#REF!</v>
      </c>
      <c r="J8" s="76"/>
      <c r="K8" s="59" t="s">
        <v>9</v>
      </c>
    </row>
    <row r="9" spans="2:11" ht="33.75" customHeight="1">
      <c r="B9" s="51" t="s">
        <v>142</v>
      </c>
      <c r="C9" s="65" t="e">
        <f t="shared" ref="C9:D13" si="1">E9+G9+I9</f>
        <v>#REF!</v>
      </c>
      <c r="D9" s="52" t="e">
        <f t="shared" si="1"/>
        <v>#REF!</v>
      </c>
      <c r="E9" s="52" t="e">
        <f>#REF!</f>
        <v>#REF!</v>
      </c>
      <c r="F9" s="84" t="e">
        <f t="shared" si="0"/>
        <v>#REF!</v>
      </c>
      <c r="G9" s="52" t="e">
        <f>#REF!</f>
        <v>#REF!</v>
      </c>
      <c r="H9" s="55"/>
      <c r="I9" s="52" t="e">
        <f>#REF!</f>
        <v>#REF!</v>
      </c>
      <c r="J9" s="76"/>
      <c r="K9" s="59" t="s">
        <v>9</v>
      </c>
    </row>
    <row r="10" spans="2:11" ht="36" customHeight="1">
      <c r="B10" s="51" t="s">
        <v>140</v>
      </c>
      <c r="C10" s="65" t="e">
        <f t="shared" si="1"/>
        <v>#REF!</v>
      </c>
      <c r="D10" s="52" t="e">
        <f t="shared" si="1"/>
        <v>#REF!</v>
      </c>
      <c r="E10" s="52" t="e">
        <f>#REF!</f>
        <v>#REF!</v>
      </c>
      <c r="F10" s="84" t="e">
        <f t="shared" si="0"/>
        <v>#REF!</v>
      </c>
      <c r="G10" s="52" t="e">
        <f>#REF!</f>
        <v>#REF!</v>
      </c>
      <c r="H10" s="55"/>
      <c r="I10" s="52" t="e">
        <f>#REF!</f>
        <v>#REF!</v>
      </c>
      <c r="J10" s="76"/>
      <c r="K10" s="59" t="s">
        <v>9</v>
      </c>
    </row>
    <row r="11" spans="2:11" ht="30.95" customHeight="1">
      <c r="B11" s="51" t="s">
        <v>153</v>
      </c>
      <c r="C11" s="65" t="e">
        <f t="shared" si="1"/>
        <v>#REF!</v>
      </c>
      <c r="D11" s="52" t="e">
        <f t="shared" si="1"/>
        <v>#REF!</v>
      </c>
      <c r="E11" s="85" t="e">
        <f>E12+E13</f>
        <v>#REF!</v>
      </c>
      <c r="F11" s="84" t="e">
        <f t="shared" si="0"/>
        <v>#REF!</v>
      </c>
      <c r="G11" s="85" t="e">
        <f>G12+G13</f>
        <v>#REF!</v>
      </c>
      <c r="H11" s="55"/>
      <c r="I11" s="85" t="e">
        <f>I12+I13</f>
        <v>#REF!</v>
      </c>
      <c r="J11" s="76"/>
    </row>
    <row r="12" spans="2:11" ht="24.95" customHeight="1">
      <c r="B12" s="51" t="s">
        <v>154</v>
      </c>
      <c r="C12" s="65" t="e">
        <f t="shared" si="1"/>
        <v>#REF!</v>
      </c>
      <c r="D12" s="52" t="e">
        <f t="shared" si="1"/>
        <v>#REF!</v>
      </c>
      <c r="E12" s="52" t="e">
        <f>#REF!</f>
        <v>#REF!</v>
      </c>
      <c r="F12" s="84" t="e">
        <f t="shared" si="0"/>
        <v>#REF!</v>
      </c>
      <c r="G12" s="52" t="e">
        <f>#REF!</f>
        <v>#REF!</v>
      </c>
      <c r="H12" s="55"/>
      <c r="I12" s="52" t="e">
        <f>#REF!</f>
        <v>#REF!</v>
      </c>
      <c r="J12" s="76"/>
      <c r="K12" s="90" t="s">
        <v>9</v>
      </c>
    </row>
    <row r="13" spans="2:11" ht="52.7" customHeight="1">
      <c r="B13" s="51" t="s">
        <v>155</v>
      </c>
      <c r="C13" s="65" t="e">
        <f t="shared" si="1"/>
        <v>#REF!</v>
      </c>
      <c r="D13" s="52" t="e">
        <f t="shared" si="1"/>
        <v>#REF!</v>
      </c>
      <c r="E13" s="52" t="e">
        <f>#REF!</f>
        <v>#REF!</v>
      </c>
      <c r="F13" s="84" t="e">
        <f t="shared" si="0"/>
        <v>#REF!</v>
      </c>
      <c r="G13" s="52" t="e">
        <f>#REF!</f>
        <v>#REF!</v>
      </c>
      <c r="H13" s="55"/>
      <c r="I13" s="52" t="e">
        <f>#REF!</f>
        <v>#REF!</v>
      </c>
      <c r="J13" s="76"/>
    </row>
    <row r="14" spans="2:11">
      <c r="B14" s="49" t="s">
        <v>1047</v>
      </c>
      <c r="C14" s="68" t="e">
        <f>SUM(C7:C11)</f>
        <v>#REF!</v>
      </c>
      <c r="D14" s="54" t="e">
        <f>SUM(D7:D11)</f>
        <v>#REF!</v>
      </c>
      <c r="E14" s="54" t="e">
        <f>SUM(E7:E11)</f>
        <v>#REF!</v>
      </c>
      <c r="F14" s="84" t="e">
        <f t="shared" si="0"/>
        <v>#REF!</v>
      </c>
      <c r="G14" s="54" t="e">
        <f>SUM(G7:G11)</f>
        <v>#REF!</v>
      </c>
      <c r="H14" s="55"/>
      <c r="I14" s="54" t="e">
        <f>SUM(I7:I11)</f>
        <v>#REF!</v>
      </c>
      <c r="J14" s="76"/>
      <c r="K14" s="59" t="s">
        <v>9</v>
      </c>
    </row>
    <row r="15" spans="2:11">
      <c r="B15" s="49" t="s">
        <v>1048</v>
      </c>
      <c r="C15" s="68"/>
      <c r="D15" s="54"/>
      <c r="E15" s="55"/>
      <c r="F15" s="84" t="e">
        <f t="shared" si="0"/>
        <v>#REF!</v>
      </c>
      <c r="G15" s="55"/>
      <c r="H15" s="55"/>
      <c r="I15" s="55"/>
      <c r="J15" s="76"/>
    </row>
    <row r="16" spans="2:11">
      <c r="B16" s="49" t="s">
        <v>1049</v>
      </c>
      <c r="C16" s="65" t="e">
        <f>E16+G16+I16</f>
        <v>#REF!</v>
      </c>
      <c r="D16" s="52" t="e">
        <f>F16+H16+J16</f>
        <v>#REF!</v>
      </c>
      <c r="E16" s="85" t="e">
        <f>#REF!</f>
        <v>#REF!</v>
      </c>
      <c r="F16" s="84" t="e">
        <f t="shared" si="0"/>
        <v>#REF!</v>
      </c>
      <c r="G16" s="52" t="e">
        <f>#REF!</f>
        <v>#REF!</v>
      </c>
      <c r="H16" s="55"/>
      <c r="I16" s="52" t="e">
        <f>#REF!</f>
        <v>#REF!</v>
      </c>
      <c r="J16" s="76"/>
    </row>
    <row r="17" spans="2:12">
      <c r="B17" s="49" t="s">
        <v>1050</v>
      </c>
      <c r="C17" s="65" t="e">
        <f>E17+G17+I17</f>
        <v>#REF!</v>
      </c>
      <c r="D17" s="52" t="e">
        <f>F17+H17+J17</f>
        <v>#REF!</v>
      </c>
      <c r="E17" s="55" t="e">
        <f>#REF!</f>
        <v>#REF!</v>
      </c>
      <c r="F17" s="84" t="e">
        <f t="shared" si="0"/>
        <v>#REF!</v>
      </c>
      <c r="G17" s="52" t="e">
        <f>#REF!-#REF!</f>
        <v>#REF!</v>
      </c>
      <c r="H17" s="55"/>
      <c r="I17" s="52" t="e">
        <f>#REF!</f>
        <v>#REF!</v>
      </c>
      <c r="J17" s="76"/>
    </row>
    <row r="18" spans="2:12">
      <c r="B18" s="49"/>
      <c r="C18" s="68"/>
      <c r="D18" s="54"/>
      <c r="E18" s="55"/>
      <c r="F18" s="84" t="e">
        <f t="shared" si="0"/>
        <v>#REF!</v>
      </c>
      <c r="G18" s="55"/>
      <c r="H18" s="55"/>
      <c r="I18" s="55"/>
      <c r="J18" s="76"/>
    </row>
    <row r="19" spans="2:12">
      <c r="B19" s="49" t="s">
        <v>1051</v>
      </c>
      <c r="C19" s="75"/>
      <c r="D19" s="55"/>
      <c r="E19" s="55"/>
      <c r="F19" s="84" t="e">
        <f t="shared" si="0"/>
        <v>#REF!</v>
      </c>
      <c r="G19" s="55"/>
      <c r="H19" s="55"/>
      <c r="I19" s="55"/>
      <c r="J19" s="76"/>
    </row>
    <row r="20" spans="2:12">
      <c r="B20" s="71" t="e">
        <f>#REF!</f>
        <v>#REF!</v>
      </c>
      <c r="C20" s="65" t="e">
        <f t="shared" ref="C20:D22" si="2">E20+G20+I20</f>
        <v>#REF!</v>
      </c>
      <c r="D20" s="52" t="e">
        <f t="shared" si="2"/>
        <v>#REF!</v>
      </c>
      <c r="E20" s="52" t="e">
        <f>#REF!</f>
        <v>#REF!</v>
      </c>
      <c r="F20" s="84" t="e">
        <f t="shared" si="0"/>
        <v>#REF!</v>
      </c>
      <c r="G20" s="52" t="e">
        <f>#REF!</f>
        <v>#REF!</v>
      </c>
      <c r="H20" s="55"/>
      <c r="I20" s="52" t="e">
        <f>#REF!</f>
        <v>#REF!</v>
      </c>
      <c r="J20" s="76"/>
    </row>
    <row r="21" spans="2:12" ht="29.25" customHeight="1">
      <c r="B21" s="51" t="e">
        <f>#REF!</f>
        <v>#REF!</v>
      </c>
      <c r="C21" s="65" t="e">
        <f t="shared" si="2"/>
        <v>#REF!</v>
      </c>
      <c r="D21" s="52" t="e">
        <f t="shared" si="2"/>
        <v>#REF!</v>
      </c>
      <c r="E21" s="52" t="e">
        <f>#REF!</f>
        <v>#REF!</v>
      </c>
      <c r="F21" s="84" t="e">
        <f t="shared" si="0"/>
        <v>#REF!</v>
      </c>
      <c r="G21" s="52" t="e">
        <f>#REF!</f>
        <v>#REF!</v>
      </c>
      <c r="H21" s="55"/>
      <c r="I21" s="52" t="e">
        <f>#REF!</f>
        <v>#REF!</v>
      </c>
      <c r="J21" s="76"/>
    </row>
    <row r="22" spans="2:12">
      <c r="B22" s="71" t="s">
        <v>1052</v>
      </c>
      <c r="C22" s="65" t="e">
        <f t="shared" si="2"/>
        <v>#REF!</v>
      </c>
      <c r="D22" s="52" t="e">
        <f t="shared" si="2"/>
        <v>#REF!</v>
      </c>
      <c r="E22" s="52" t="e">
        <f>#REF!+#REF!</f>
        <v>#REF!</v>
      </c>
      <c r="F22" s="84" t="e">
        <f t="shared" si="0"/>
        <v>#REF!</v>
      </c>
      <c r="G22" s="52" t="e">
        <f>#REF!+#REF!</f>
        <v>#REF!</v>
      </c>
      <c r="H22" s="55"/>
      <c r="I22" s="52" t="e">
        <f>#REF!+#REF!</f>
        <v>#REF!</v>
      </c>
      <c r="J22" s="76"/>
    </row>
    <row r="23" spans="2:12">
      <c r="B23" s="71" t="s">
        <v>1053</v>
      </c>
      <c r="C23" s="68" t="e">
        <f>SUM(C16:C22)</f>
        <v>#REF!</v>
      </c>
      <c r="D23" s="54" t="e">
        <f>SUM(D16:D22)</f>
        <v>#REF!</v>
      </c>
      <c r="E23" s="54" t="e">
        <f>SUM(E16:E22)</f>
        <v>#REF!</v>
      </c>
      <c r="F23" s="84" t="e">
        <f t="shared" si="0"/>
        <v>#REF!</v>
      </c>
      <c r="G23" s="54" t="e">
        <f>SUM(G16:G22)</f>
        <v>#REF!</v>
      </c>
      <c r="H23" s="55"/>
      <c r="I23" s="54" t="e">
        <f>SUM(I16:I22)</f>
        <v>#REF!</v>
      </c>
      <c r="J23" s="76"/>
    </row>
    <row r="24" spans="2:12" ht="30.95" customHeight="1">
      <c r="B24" s="51" t="e">
        <f>#REF!</f>
        <v>#REF!</v>
      </c>
      <c r="C24" s="65" t="e">
        <f t="shared" ref="C24:D26" si="3">E24+G24+I24</f>
        <v>#REF!</v>
      </c>
      <c r="D24" s="52" t="e">
        <f t="shared" si="3"/>
        <v>#REF!</v>
      </c>
      <c r="E24" s="52" t="e">
        <f>#REF!</f>
        <v>#REF!</v>
      </c>
      <c r="F24" s="84" t="e">
        <f t="shared" si="0"/>
        <v>#REF!</v>
      </c>
      <c r="G24" s="52" t="e">
        <f>#REF!</f>
        <v>#REF!</v>
      </c>
      <c r="H24" s="55"/>
      <c r="I24" s="52" t="e">
        <f>#REF!</f>
        <v>#REF!</v>
      </c>
      <c r="J24" s="76"/>
    </row>
    <row r="25" spans="2:12" ht="39" customHeight="1">
      <c r="B25" s="51" t="e">
        <f>#REF!</f>
        <v>#REF!</v>
      </c>
      <c r="C25" s="65" t="e">
        <f t="shared" si="3"/>
        <v>#REF!</v>
      </c>
      <c r="D25" s="52" t="e">
        <f t="shared" si="3"/>
        <v>#REF!</v>
      </c>
      <c r="E25" s="52" t="e">
        <f>#REF!</f>
        <v>#REF!</v>
      </c>
      <c r="F25" s="84" t="e">
        <f t="shared" si="0"/>
        <v>#REF!</v>
      </c>
      <c r="G25" s="52" t="e">
        <f>#REF!</f>
        <v>#REF!</v>
      </c>
      <c r="H25" s="55"/>
      <c r="I25" s="52" t="e">
        <f>#REF!</f>
        <v>#REF!</v>
      </c>
      <c r="J25" s="76"/>
    </row>
    <row r="26" spans="2:12">
      <c r="B26" s="71" t="e">
        <f>#REF!</f>
        <v>#REF!</v>
      </c>
      <c r="C26" s="65" t="e">
        <f t="shared" si="3"/>
        <v>#REF!</v>
      </c>
      <c r="D26" s="52" t="e">
        <f t="shared" si="3"/>
        <v>#REF!</v>
      </c>
      <c r="E26" s="52" t="e">
        <f>#REF!</f>
        <v>#REF!</v>
      </c>
      <c r="F26" s="84" t="e">
        <f t="shared" si="0"/>
        <v>#REF!</v>
      </c>
      <c r="G26" s="52" t="e">
        <f>#REF!</f>
        <v>#REF!</v>
      </c>
      <c r="H26" s="55"/>
      <c r="I26" s="52" t="e">
        <f>#REF!</f>
        <v>#REF!</v>
      </c>
      <c r="J26" s="76"/>
    </row>
    <row r="27" spans="2:12" ht="33.75" customHeight="1">
      <c r="B27" s="86" t="s">
        <v>787</v>
      </c>
      <c r="C27" s="65" t="e">
        <f>E27+G27+I27</f>
        <v>#REF!</v>
      </c>
      <c r="D27" s="52" t="e">
        <f>F27+H27+J27</f>
        <v>#REF!</v>
      </c>
      <c r="E27" s="52" t="e">
        <f>#REF!</f>
        <v>#REF!</v>
      </c>
      <c r="F27" s="84" t="e">
        <f t="shared" si="0"/>
        <v>#REF!</v>
      </c>
      <c r="G27" s="52" t="e">
        <f>#REF!</f>
        <v>#REF!</v>
      </c>
      <c r="H27" s="55"/>
      <c r="I27" s="52" t="e">
        <f>#REF!</f>
        <v>#REF!</v>
      </c>
      <c r="J27" s="76"/>
      <c r="L27" s="59" t="s">
        <v>9</v>
      </c>
    </row>
    <row r="28" spans="2:12" ht="23.25" customHeight="1">
      <c r="B28" s="56" t="s">
        <v>1054</v>
      </c>
      <c r="C28" s="68" t="e">
        <f>SUM(C23:C27)+C14</f>
        <v>#REF!</v>
      </c>
      <c r="D28" s="54" t="e">
        <f>SUM(D23:D27)+D14</f>
        <v>#REF!</v>
      </c>
      <c r="E28" s="54" t="e">
        <f>SUM(E23:E27)+E14</f>
        <v>#REF!</v>
      </c>
      <c r="F28" s="55"/>
      <c r="G28" s="54" t="e">
        <f>SUM(G23:G27)+G14</f>
        <v>#REF!</v>
      </c>
      <c r="H28" s="55"/>
      <c r="I28" s="54" t="e">
        <f>SUM(I23:I27)+I14</f>
        <v>#REF!</v>
      </c>
      <c r="J28" s="76"/>
    </row>
    <row r="29" spans="2:12">
      <c r="B29" s="87" t="s">
        <v>197</v>
      </c>
      <c r="C29" s="88" t="e">
        <f>E29+G29+I29</f>
        <v>#REF!</v>
      </c>
      <c r="D29" s="79" t="e">
        <f>F29+H29+J29</f>
        <v>#REF!</v>
      </c>
      <c r="E29" s="79" t="e">
        <f>#REF!</f>
        <v>#REF!</v>
      </c>
      <c r="F29" s="89" t="e">
        <f>E29/E28</f>
        <v>#REF!</v>
      </c>
      <c r="G29" s="79" t="e">
        <f>#REF!</f>
        <v>#REF!</v>
      </c>
      <c r="H29" s="89"/>
      <c r="I29" s="79" t="e">
        <f>#REF!</f>
        <v>#REF!</v>
      </c>
      <c r="J29" s="80"/>
    </row>
    <row r="30" spans="2:12" s="58" customFormat="1">
      <c r="B30" s="58" t="s">
        <v>833</v>
      </c>
      <c r="C30" s="59" t="e">
        <f>C27+C26+C25+C24+C22+C21+C20+C17+C13+C12+C10+C9+C8+C7+C16</f>
        <v>#REF!</v>
      </c>
      <c r="E30" s="59" t="e">
        <f>E27+E26+E25+E24+E22+E21+E20+E17+E13+E12+E10+E9+E8+E7+E16</f>
        <v>#REF!</v>
      </c>
      <c r="F30" s="59" t="e">
        <f>F27+F26+F25+F24+F22+F21+F20+F17+F13+F12+F10+F9+F8+F7+F16</f>
        <v>#REF!</v>
      </c>
      <c r="G30" s="59" t="e">
        <f>G27+G26+G25+G24+G22+G21+G20+G17+G13+G12+G10+G9+G8+G7+G16</f>
        <v>#REF!</v>
      </c>
      <c r="H30" s="59">
        <f>H27+H26+H25+H24+H22+H21+H20+H17+H13+H12+H10+H9+H8+H7+H16</f>
        <v>0</v>
      </c>
      <c r="I30" s="59" t="e">
        <f>I27+I26+I25+I24+I22+I21+I20+I17+I13+I12+I10+I9+I8+I7+I16</f>
        <v>#REF!</v>
      </c>
    </row>
    <row r="31" spans="2:12" s="58" customFormat="1" hidden="1">
      <c r="C31" s="59" t="e">
        <f>SUM(E29:I29)</f>
        <v>#REF!</v>
      </c>
    </row>
    <row r="32" spans="2:12" s="58" customFormat="1" hidden="1">
      <c r="C32" s="59" t="e">
        <f>C30+C31</f>
        <v>#REF!</v>
      </c>
    </row>
    <row r="33" s="58" customFormat="1"/>
    <row r="34" s="58" customFormat="1"/>
    <row r="35" s="58" customFormat="1"/>
    <row r="36" s="58" customFormat="1"/>
    <row r="37" s="58" customFormat="1"/>
    <row r="38" s="58" customFormat="1"/>
    <row r="39" s="58" customFormat="1"/>
    <row r="40" s="58" customFormat="1"/>
    <row r="41" s="58" customFormat="1"/>
    <row r="42" s="58" customFormat="1"/>
    <row r="43" s="58" customFormat="1"/>
    <row r="44" s="58" customFormat="1"/>
    <row r="45" s="58" customFormat="1"/>
    <row r="46" s="58" customFormat="1"/>
    <row r="47" s="58" customFormat="1"/>
    <row r="48" s="58" customFormat="1"/>
    <row r="49" s="58" customFormat="1"/>
    <row r="50" s="58" customFormat="1"/>
    <row r="51" s="58" customFormat="1"/>
    <row r="52" s="58" customFormat="1"/>
    <row r="53" s="58" customFormat="1"/>
    <row r="54" s="58" customFormat="1"/>
    <row r="55" s="58" customFormat="1"/>
    <row r="56" s="58" customFormat="1"/>
    <row r="57" s="58" customFormat="1"/>
    <row r="58" s="58" customFormat="1"/>
    <row r="59" s="58" customFormat="1"/>
    <row r="60" s="58" customFormat="1"/>
    <row r="61" s="58" customFormat="1"/>
    <row r="62" s="58" customFormat="1"/>
    <row r="63" s="58" customFormat="1"/>
    <row r="64" s="58" customFormat="1"/>
    <row r="65" s="58" customFormat="1"/>
    <row r="66" s="58" customFormat="1"/>
    <row r="67" s="58" customFormat="1"/>
    <row r="68" s="58" customFormat="1"/>
    <row r="69" s="58" customFormat="1"/>
    <row r="70" s="58" customFormat="1"/>
    <row r="71" s="58" customFormat="1"/>
    <row r="72" s="58" customFormat="1"/>
    <row r="73" s="58" customFormat="1"/>
    <row r="74" s="58" customFormat="1"/>
    <row r="75" s="58" customFormat="1"/>
    <row r="76" s="58" customFormat="1"/>
    <row r="77" s="58" customFormat="1"/>
    <row r="78" s="58" customFormat="1"/>
    <row r="79" s="58" customFormat="1"/>
    <row r="80" s="58" customFormat="1"/>
    <row r="81" s="58" customFormat="1"/>
    <row r="82" s="58" customFormat="1"/>
    <row r="83" s="58" customFormat="1"/>
    <row r="84" s="58" customFormat="1"/>
    <row r="85" s="58" customFormat="1"/>
    <row r="86" s="58" customFormat="1"/>
    <row r="87" s="58" customFormat="1"/>
    <row r="88" s="58" customFormat="1"/>
    <row r="89" s="58" customFormat="1"/>
    <row r="90" s="58" customFormat="1"/>
    <row r="91" s="58" customFormat="1"/>
    <row r="92" s="58" customFormat="1"/>
    <row r="93" s="58" customFormat="1"/>
    <row r="94" s="58" customFormat="1"/>
    <row r="95" s="58" customFormat="1"/>
    <row r="96" s="58" customFormat="1"/>
    <row r="97" s="58" customFormat="1"/>
    <row r="98" s="58" customFormat="1"/>
    <row r="99" s="58" customFormat="1"/>
    <row r="100" s="58" customFormat="1"/>
    <row r="101" s="58" customFormat="1"/>
    <row r="102" s="58" customFormat="1"/>
    <row r="103" s="58" customFormat="1"/>
    <row r="104" s="58" customFormat="1"/>
    <row r="105" s="58" customFormat="1"/>
    <row r="106" s="58" customFormat="1"/>
    <row r="107" s="58" customFormat="1"/>
    <row r="108" s="58" customFormat="1"/>
    <row r="109" s="58" customFormat="1"/>
    <row r="110" s="58" customFormat="1"/>
    <row r="111" s="58" customFormat="1"/>
    <row r="112" s="58" customFormat="1"/>
    <row r="113" s="58" customFormat="1"/>
    <row r="114" s="58" customFormat="1"/>
    <row r="115" s="58" customFormat="1"/>
    <row r="116" s="58" customFormat="1"/>
    <row r="117" s="58" customFormat="1"/>
    <row r="118" s="58" customFormat="1"/>
    <row r="119" s="58" customFormat="1"/>
    <row r="120" s="58" customFormat="1"/>
    <row r="121" s="58" customFormat="1"/>
    <row r="122" s="58" customFormat="1"/>
    <row r="123" s="58" customFormat="1"/>
    <row r="124" s="58" customFormat="1"/>
    <row r="125" s="58" customFormat="1"/>
    <row r="126" s="58" customFormat="1"/>
    <row r="127" s="58" customFormat="1"/>
    <row r="128" s="58" customFormat="1"/>
    <row r="129" s="58" customFormat="1"/>
    <row r="130" s="58" customFormat="1"/>
    <row r="131" s="58" customFormat="1"/>
    <row r="132" s="58" customFormat="1"/>
    <row r="133" s="58" customFormat="1"/>
    <row r="134" s="58" customFormat="1"/>
    <row r="135" s="58" customFormat="1"/>
    <row r="136" s="58" customFormat="1"/>
    <row r="137" s="58" customFormat="1"/>
    <row r="138" s="58" customFormat="1"/>
    <row r="139" s="58" customFormat="1"/>
    <row r="140" s="58" customFormat="1"/>
    <row r="141" s="58" customFormat="1"/>
    <row r="142" s="58" customFormat="1"/>
    <row r="143" s="58" customFormat="1"/>
    <row r="144" s="58" customFormat="1"/>
    <row r="145" s="58" customFormat="1"/>
    <row r="146" s="58" customFormat="1"/>
    <row r="147" s="58" customFormat="1"/>
    <row r="148" s="58" customFormat="1"/>
    <row r="149" s="58" customFormat="1"/>
    <row r="150" s="58" customFormat="1"/>
    <row r="151" s="58" customFormat="1"/>
    <row r="152" s="58" customFormat="1"/>
    <row r="153" s="58" customFormat="1"/>
    <row r="154" s="58" customFormat="1"/>
    <row r="155" s="58" customFormat="1"/>
    <row r="156" s="58" customFormat="1"/>
    <row r="157" s="58" customFormat="1"/>
    <row r="158" s="58" customFormat="1"/>
    <row r="159" s="58" customFormat="1"/>
    <row r="160" s="58" customFormat="1"/>
    <row r="161" s="58" customFormat="1"/>
    <row r="162" s="58" customFormat="1"/>
    <row r="163" s="58" customFormat="1"/>
    <row r="164" s="58" customFormat="1"/>
    <row r="165" s="58" customFormat="1"/>
    <row r="166" s="58" customFormat="1"/>
    <row r="167" s="58" customFormat="1"/>
    <row r="168" s="58" customFormat="1"/>
    <row r="169" s="58" customFormat="1"/>
    <row r="170" s="58" customFormat="1"/>
    <row r="171" s="58" customFormat="1"/>
    <row r="172" s="58" customFormat="1"/>
    <row r="173" s="58" customFormat="1"/>
    <row r="174" s="58" customFormat="1"/>
    <row r="175" s="58" customFormat="1"/>
    <row r="176" s="58" customFormat="1"/>
    <row r="177" s="58" customFormat="1"/>
    <row r="178" s="58" customFormat="1"/>
    <row r="179" s="58" customFormat="1"/>
    <row r="180" s="58" customFormat="1"/>
    <row r="181" s="58" customFormat="1"/>
    <row r="182" s="58" customFormat="1"/>
    <row r="183" s="58" customFormat="1"/>
    <row r="184" s="58" customFormat="1"/>
    <row r="185" s="58" customFormat="1"/>
    <row r="186" s="58" customFormat="1"/>
    <row r="187" s="58" customFormat="1"/>
    <row r="188" s="58" customFormat="1"/>
    <row r="189" s="58" customFormat="1"/>
    <row r="190" s="58" customFormat="1"/>
    <row r="191" s="58" customFormat="1"/>
    <row r="192" s="58" customFormat="1"/>
    <row r="193" s="58" customFormat="1"/>
    <row r="194" s="58" customFormat="1"/>
    <row r="195" s="58" customFormat="1"/>
    <row r="196" s="58" customFormat="1"/>
    <row r="197" s="58" customFormat="1"/>
    <row r="198" s="58" customFormat="1"/>
    <row r="199" s="58" customFormat="1"/>
    <row r="200" s="58" customFormat="1"/>
    <row r="201" s="58" customFormat="1"/>
    <row r="202" s="58" customFormat="1"/>
    <row r="203" s="58" customFormat="1"/>
    <row r="204" s="58" customFormat="1"/>
    <row r="205" s="58" customFormat="1"/>
    <row r="206" s="58" customFormat="1"/>
    <row r="207" s="58" customFormat="1"/>
    <row r="208" s="58" customFormat="1"/>
    <row r="209" s="58" customFormat="1"/>
    <row r="210" s="58" customFormat="1"/>
    <row r="211" s="58" customFormat="1"/>
    <row r="212" s="58" customFormat="1"/>
    <row r="213" s="58" customFormat="1"/>
    <row r="214" s="58" customFormat="1"/>
    <row r="215" s="58" customFormat="1"/>
    <row r="216" s="58" customFormat="1"/>
    <row r="217" s="58" customFormat="1"/>
    <row r="218" s="58" customFormat="1"/>
    <row r="219" s="58" customFormat="1"/>
    <row r="220" s="58" customFormat="1"/>
    <row r="221" s="58" customFormat="1"/>
    <row r="222" s="58" customFormat="1"/>
    <row r="223" s="58" customFormat="1"/>
    <row r="224" s="58" customFormat="1"/>
    <row r="225" s="58" customFormat="1"/>
    <row r="226" s="58" customFormat="1"/>
    <row r="227" s="58" customFormat="1"/>
    <row r="228" s="58" customFormat="1"/>
    <row r="229" s="58" customFormat="1"/>
    <row r="230" s="58" customFormat="1"/>
    <row r="231" s="58" customFormat="1"/>
    <row r="232" s="58" customFormat="1"/>
    <row r="233" s="58" customFormat="1"/>
    <row r="234" s="58" customFormat="1"/>
    <row r="235" s="58" customFormat="1"/>
    <row r="236" s="58" customFormat="1"/>
    <row r="237" s="58" customFormat="1"/>
    <row r="238" s="58" customFormat="1"/>
    <row r="239" s="58" customFormat="1"/>
    <row r="240" s="58" customFormat="1"/>
    <row r="241" s="58" customFormat="1"/>
    <row r="242" s="58" customFormat="1"/>
    <row r="243" s="58" customFormat="1"/>
    <row r="244" s="58" customFormat="1"/>
    <row r="245" s="58" customFormat="1"/>
    <row r="246" s="58" customFormat="1"/>
    <row r="247" s="58" customFormat="1"/>
    <row r="248" s="58" customFormat="1"/>
    <row r="249" s="58" customFormat="1"/>
    <row r="250" s="58" customFormat="1"/>
    <row r="251" s="58" customFormat="1"/>
    <row r="252" s="58" customFormat="1"/>
    <row r="253" s="58" customFormat="1"/>
    <row r="254" s="58" customFormat="1"/>
    <row r="255" s="58" customFormat="1"/>
    <row r="256" s="58" customFormat="1"/>
    <row r="257" s="58" customFormat="1"/>
    <row r="258" s="58" customFormat="1"/>
    <row r="259" s="58" customFormat="1"/>
    <row r="260" s="58" customFormat="1"/>
    <row r="261" s="58" customFormat="1"/>
    <row r="262" s="58" customFormat="1"/>
    <row r="263" s="58" customFormat="1"/>
    <row r="264" s="58" customFormat="1"/>
    <row r="265" s="58" customFormat="1"/>
    <row r="266" s="58" customFormat="1"/>
    <row r="267" s="58" customFormat="1"/>
    <row r="268" s="58" customFormat="1"/>
    <row r="269" s="58" customFormat="1"/>
    <row r="270" s="58" customFormat="1"/>
    <row r="271" s="58" customFormat="1"/>
    <row r="272" s="58" customFormat="1"/>
    <row r="273" s="58" customFormat="1"/>
    <row r="274" s="58" customFormat="1"/>
    <row r="275" s="58" customFormat="1"/>
    <row r="276" s="58" customFormat="1"/>
    <row r="277" s="58" customFormat="1"/>
    <row r="278" s="58" customFormat="1"/>
    <row r="279" s="58" customFormat="1"/>
    <row r="280" s="58" customFormat="1"/>
    <row r="281" s="58" customFormat="1"/>
    <row r="282" s="58" customFormat="1"/>
    <row r="283" s="58" customFormat="1"/>
    <row r="284" s="58" customFormat="1"/>
    <row r="285" s="58" customFormat="1"/>
    <row r="286" s="58" customFormat="1"/>
    <row r="287" s="58" customFormat="1"/>
    <row r="288" s="58" customFormat="1"/>
    <row r="289" s="58" customFormat="1"/>
    <row r="290" s="58" customFormat="1"/>
    <row r="291" s="58" customFormat="1"/>
    <row r="292" s="58" customFormat="1"/>
    <row r="293" s="58" customFormat="1"/>
    <row r="294" s="58" customFormat="1"/>
  </sheetData>
  <mergeCells count="4">
    <mergeCell ref="C5:D5"/>
    <mergeCell ref="E5:F5"/>
    <mergeCell ref="G5:H5"/>
    <mergeCell ref="I5:J5"/>
  </mergeCells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4"/>
  <sheetViews>
    <sheetView topLeftCell="A29" workbookViewId="0">
      <selection activeCell="C59" sqref="C59"/>
    </sheetView>
  </sheetViews>
  <sheetFormatPr defaultColWidth="8.85546875" defaultRowHeight="12.75"/>
  <cols>
    <col min="1" max="1" width="8.85546875" style="58"/>
    <col min="2" max="2" width="48.28515625" customWidth="1"/>
    <col min="3" max="3" width="23.85546875" customWidth="1"/>
    <col min="4" max="5" width="20" customWidth="1"/>
    <col min="6" max="6" width="24" hidden="1" customWidth="1"/>
    <col min="7" max="7" width="12.28515625" style="58" customWidth="1"/>
    <col min="8" max="9" width="13.28515625" style="58" customWidth="1"/>
    <col min="10" max="10" width="8.85546875" style="58"/>
    <col min="11" max="11" width="10.85546875" style="58" customWidth="1"/>
    <col min="12" max="61" width="8.85546875" style="58"/>
  </cols>
  <sheetData>
    <row r="1" spans="2:10" s="58" customFormat="1">
      <c r="D1" s="59"/>
      <c r="E1" s="59"/>
    </row>
    <row r="2" spans="2:10" ht="38.25">
      <c r="B2" s="45" t="s">
        <v>1043</v>
      </c>
      <c r="C2" s="46" t="s">
        <v>1008</v>
      </c>
      <c r="D2" s="46" t="s">
        <v>1008</v>
      </c>
      <c r="E2" s="46" t="s">
        <v>1008</v>
      </c>
      <c r="F2" s="60" t="s">
        <v>1009</v>
      </c>
    </row>
    <row r="3" spans="2:10">
      <c r="B3" s="47" t="s">
        <v>257</v>
      </c>
      <c r="C3" s="61" t="s">
        <v>1055</v>
      </c>
      <c r="D3" s="61" t="s">
        <v>1056</v>
      </c>
      <c r="E3" s="2123" t="s">
        <v>1057</v>
      </c>
      <c r="F3" s="2126"/>
      <c r="H3" s="58" t="s">
        <v>9</v>
      </c>
      <c r="I3" s="58" t="s">
        <v>9</v>
      </c>
      <c r="J3" s="58" t="s">
        <v>9</v>
      </c>
    </row>
    <row r="4" spans="2:10" s="58" customFormat="1">
      <c r="B4" s="49" t="s">
        <v>109</v>
      </c>
      <c r="C4" s="62"/>
      <c r="D4" s="62"/>
      <c r="E4" s="62"/>
      <c r="F4" s="63"/>
    </row>
    <row r="5" spans="2:10" s="58" customFormat="1" ht="25.5">
      <c r="B5" s="64" t="s">
        <v>565</v>
      </c>
      <c r="C5" s="65"/>
      <c r="D5" s="62"/>
      <c r="E5" s="62"/>
      <c r="F5" s="63"/>
    </row>
    <row r="6" spans="2:10" s="58" customFormat="1">
      <c r="B6" s="66" t="s">
        <v>1058</v>
      </c>
      <c r="C6" s="65" t="e">
        <f>D6+E6</f>
        <v>#REF!</v>
      </c>
      <c r="D6" s="67" t="e">
        <f>#REF!</f>
        <v>#REF!</v>
      </c>
      <c r="E6" s="67" t="e">
        <f>#REF!</f>
        <v>#REF!</v>
      </c>
      <c r="F6" s="63"/>
      <c r="G6" s="41" t="s">
        <v>9</v>
      </c>
      <c r="H6" s="41" t="s">
        <v>9</v>
      </c>
      <c r="I6" s="41" t="s">
        <v>9</v>
      </c>
      <c r="J6" s="41" t="s">
        <v>9</v>
      </c>
    </row>
    <row r="7" spans="2:10" s="58" customFormat="1">
      <c r="B7" s="64" t="s">
        <v>1059</v>
      </c>
      <c r="C7" s="68" t="e">
        <f>D7+E7</f>
        <v>#REF!</v>
      </c>
      <c r="D7" s="62" t="e">
        <f>SUM(D5:D6)</f>
        <v>#REF!</v>
      </c>
      <c r="E7" s="62" t="e">
        <f>SUM(E5:E6)</f>
        <v>#REF!</v>
      </c>
      <c r="F7" s="69"/>
      <c r="G7" s="59" t="s">
        <v>9</v>
      </c>
      <c r="H7" s="41" t="s">
        <v>9</v>
      </c>
    </row>
    <row r="8" spans="2:10" s="58" customFormat="1">
      <c r="B8" s="49" t="s">
        <v>120</v>
      </c>
      <c r="C8" s="65"/>
      <c r="D8" s="62"/>
      <c r="E8" s="70"/>
      <c r="F8" s="63"/>
    </row>
    <row r="9" spans="2:10" s="58" customFormat="1">
      <c r="B9" s="71" t="e">
        <f>#REF!</f>
        <v>#REF!</v>
      </c>
      <c r="C9" s="65">
        <f>D9+E9</f>
        <v>0</v>
      </c>
      <c r="D9" s="62"/>
      <c r="E9" s="67">
        <v>0</v>
      </c>
      <c r="F9" s="63"/>
    </row>
    <row r="10" spans="2:10" s="58" customFormat="1">
      <c r="B10" s="71" t="e">
        <f>#REF!</f>
        <v>#REF!</v>
      </c>
      <c r="C10" s="65">
        <f>D10+E10</f>
        <v>0</v>
      </c>
      <c r="D10" s="62"/>
      <c r="E10" s="67">
        <v>0</v>
      </c>
      <c r="F10" s="63"/>
    </row>
    <row r="11" spans="2:10" s="58" customFormat="1">
      <c r="B11" s="49" t="s">
        <v>1060</v>
      </c>
      <c r="C11" s="68">
        <f>SUM(C9:C10)</f>
        <v>0</v>
      </c>
      <c r="D11" s="62"/>
      <c r="E11" s="72">
        <f>SUM(E9:E10)</f>
        <v>0</v>
      </c>
      <c r="F11" s="63"/>
    </row>
    <row r="12" spans="2:10">
      <c r="B12" s="49" t="s">
        <v>123</v>
      </c>
      <c r="C12" s="73"/>
      <c r="D12" s="50"/>
      <c r="E12" s="50"/>
      <c r="F12" s="63"/>
    </row>
    <row r="13" spans="2:10">
      <c r="B13" s="71" t="e">
        <f>#REF!</f>
        <v>#REF!</v>
      </c>
      <c r="C13" s="65" t="e">
        <f>D13+E13+G13</f>
        <v>#REF!</v>
      </c>
      <c r="D13" s="50"/>
      <c r="E13" s="74" t="e">
        <f>#REF!</f>
        <v>#REF!</v>
      </c>
      <c r="F13" s="63"/>
    </row>
    <row r="14" spans="2:10">
      <c r="B14" s="71" t="e">
        <f>#REF!</f>
        <v>#REF!</v>
      </c>
      <c r="C14" s="65" t="e">
        <f>D14+E14+G14</f>
        <v>#REF!</v>
      </c>
      <c r="D14" s="50"/>
      <c r="E14" s="74" t="e">
        <f>#REF!</f>
        <v>#REF!</v>
      </c>
      <c r="F14" s="63"/>
    </row>
    <row r="15" spans="2:10">
      <c r="B15" s="51" t="e">
        <f>#REF!</f>
        <v>#REF!</v>
      </c>
      <c r="C15" s="65" t="e">
        <f>D15+E15</f>
        <v>#REF!</v>
      </c>
      <c r="D15" s="52" t="e">
        <f>#REF!</f>
        <v>#REF!</v>
      </c>
      <c r="E15" s="52" t="e">
        <f>#REF!-'contract lucrari'!C7</f>
        <v>#REF!</v>
      </c>
      <c r="F15" s="63"/>
      <c r="G15" s="59" t="s">
        <v>9</v>
      </c>
    </row>
    <row r="16" spans="2:10">
      <c r="B16" s="51" t="e">
        <f>#REF!</f>
        <v>#REF!</v>
      </c>
      <c r="C16" s="65" t="e">
        <f>D16+E16</f>
        <v>#REF!</v>
      </c>
      <c r="D16" s="52" t="e">
        <f>#REF!</f>
        <v>#REF!</v>
      </c>
      <c r="E16" s="52" t="e">
        <f>#REF!-'contract lucrari'!C8</f>
        <v>#REF!</v>
      </c>
      <c r="F16" s="69"/>
      <c r="G16" s="59" t="s">
        <v>9</v>
      </c>
    </row>
    <row r="17" spans="2:9">
      <c r="B17" s="51" t="e">
        <f>#REF!</f>
        <v>#REF!</v>
      </c>
      <c r="C17" s="65" t="e">
        <f>D17+E17</f>
        <v>#REF!</v>
      </c>
      <c r="D17" s="52" t="e">
        <f>#REF!</f>
        <v>#REF!</v>
      </c>
      <c r="E17" s="52" t="e">
        <f>#REF!-'contract lucrari'!C6-'contract lucrari'!C10</f>
        <v>#REF!</v>
      </c>
      <c r="F17" s="63"/>
      <c r="G17" s="59" t="s">
        <v>9</v>
      </c>
    </row>
    <row r="18" spans="2:9">
      <c r="B18" s="51" t="e">
        <f>#REF!</f>
        <v>#REF!</v>
      </c>
      <c r="C18" s="65" t="e">
        <f>D18+E18</f>
        <v>#REF!</v>
      </c>
      <c r="D18" s="52" t="e">
        <f>#REF!</f>
        <v>#REF!</v>
      </c>
      <c r="E18" s="52" t="e">
        <f>#REF!-'contract lucrari'!C9/2</f>
        <v>#REF!</v>
      </c>
      <c r="F18" s="63"/>
      <c r="G18" s="59" t="s">
        <v>9</v>
      </c>
    </row>
    <row r="19" spans="2:9">
      <c r="B19" s="51" t="e">
        <f>#REF!</f>
        <v>#REF!</v>
      </c>
      <c r="C19" s="65" t="e">
        <f>D19+E19</f>
        <v>#REF!</v>
      </c>
      <c r="D19" s="52" t="e">
        <f>#REF!</f>
        <v>#REF!</v>
      </c>
      <c r="E19" s="52" t="e">
        <f>#REF!-'contract lucrari'!C9/2</f>
        <v>#REF!</v>
      </c>
      <c r="F19" s="63"/>
    </row>
    <row r="20" spans="2:9">
      <c r="B20" s="51"/>
      <c r="C20" s="65"/>
      <c r="D20" s="52"/>
      <c r="E20" s="52">
        <f>G20+I20+K20</f>
        <v>0</v>
      </c>
      <c r="F20" s="63"/>
    </row>
    <row r="21" spans="2:9">
      <c r="B21" s="49" t="s">
        <v>1047</v>
      </c>
      <c r="C21" s="68" t="e">
        <f>SUM(C13:C20)</f>
        <v>#REF!</v>
      </c>
      <c r="D21" s="54" t="e">
        <f>SUM(D13:D20)</f>
        <v>#REF!</v>
      </c>
      <c r="E21" s="54" t="e">
        <f>SUM(E13:E20)</f>
        <v>#REF!</v>
      </c>
      <c r="F21" s="69"/>
      <c r="G21" s="59" t="s">
        <v>9</v>
      </c>
    </row>
    <row r="22" spans="2:9">
      <c r="B22" s="49"/>
      <c r="C22" s="75"/>
      <c r="D22" s="52"/>
      <c r="E22" s="55"/>
      <c r="F22" s="63"/>
    </row>
    <row r="23" spans="2:9">
      <c r="B23" s="49" t="e">
        <f>#REF!</f>
        <v>#REF!</v>
      </c>
      <c r="C23" s="75"/>
      <c r="D23" s="52"/>
      <c r="E23" s="55"/>
      <c r="F23" s="63"/>
    </row>
    <row r="24" spans="2:9" ht="18.95" customHeight="1">
      <c r="B24" s="51" t="e">
        <f>#REF!</f>
        <v>#REF!</v>
      </c>
      <c r="C24" s="65" t="e">
        <f t="shared" ref="C24:C29" si="0">D24+E24</f>
        <v>#REF!</v>
      </c>
      <c r="D24" s="52" t="e">
        <f>#REF!</f>
        <v>#REF!</v>
      </c>
      <c r="E24" s="52" t="e">
        <f>#REF!</f>
        <v>#REF!</v>
      </c>
      <c r="F24" s="63"/>
      <c r="G24" s="41" t="s">
        <v>9</v>
      </c>
      <c r="H24" s="41" t="s">
        <v>9</v>
      </c>
      <c r="I24" s="41" t="s">
        <v>9</v>
      </c>
    </row>
    <row r="25" spans="2:9">
      <c r="B25" s="51" t="e">
        <f>#REF!</f>
        <v>#REF!</v>
      </c>
      <c r="C25" s="65" t="e">
        <f t="shared" si="0"/>
        <v>#REF!</v>
      </c>
      <c r="D25" s="52" t="e">
        <f>#REF!</f>
        <v>#REF!</v>
      </c>
      <c r="E25" s="52" t="e">
        <f>#REF!</f>
        <v>#REF!</v>
      </c>
      <c r="F25" s="63"/>
      <c r="G25" s="41" t="s">
        <v>9</v>
      </c>
      <c r="H25" s="41" t="s">
        <v>9</v>
      </c>
      <c r="I25" s="41" t="s">
        <v>9</v>
      </c>
    </row>
    <row r="26" spans="2:9" ht="25.5">
      <c r="B26" s="51" t="s">
        <v>167</v>
      </c>
      <c r="C26" s="65" t="e">
        <f t="shared" si="0"/>
        <v>#REF!</v>
      </c>
      <c r="D26" s="52" t="e">
        <f>#REF!</f>
        <v>#REF!</v>
      </c>
      <c r="E26" s="52" t="e">
        <f>#REF!</f>
        <v>#REF!</v>
      </c>
      <c r="F26" s="63"/>
      <c r="G26" s="41" t="s">
        <v>9</v>
      </c>
      <c r="H26" s="41" t="s">
        <v>9</v>
      </c>
      <c r="I26" s="41" t="s">
        <v>9</v>
      </c>
    </row>
    <row r="27" spans="2:9" ht="25.5">
      <c r="B27" s="51" t="s">
        <v>170</v>
      </c>
      <c r="C27" s="65" t="e">
        <f t="shared" si="0"/>
        <v>#REF!</v>
      </c>
      <c r="D27" s="52" t="e">
        <f>#REF!</f>
        <v>#REF!</v>
      </c>
      <c r="E27" s="52" t="e">
        <f>#REF!</f>
        <v>#REF!</v>
      </c>
      <c r="F27" s="63"/>
      <c r="G27" s="41" t="s">
        <v>9</v>
      </c>
      <c r="H27" s="41" t="s">
        <v>9</v>
      </c>
      <c r="I27" s="41" t="s">
        <v>9</v>
      </c>
    </row>
    <row r="28" spans="2:9">
      <c r="B28" s="51" t="s">
        <v>175</v>
      </c>
      <c r="C28" s="65" t="e">
        <f t="shared" si="0"/>
        <v>#REF!</v>
      </c>
      <c r="D28" s="52" t="e">
        <f>#REF!</f>
        <v>#REF!</v>
      </c>
      <c r="E28" s="52" t="e">
        <f>#REF!</f>
        <v>#REF!</v>
      </c>
      <c r="F28" s="63"/>
      <c r="G28" s="41" t="s">
        <v>9</v>
      </c>
      <c r="H28" s="41" t="s">
        <v>9</v>
      </c>
      <c r="I28" s="41" t="s">
        <v>9</v>
      </c>
    </row>
    <row r="29" spans="2:9">
      <c r="B29" s="56" t="e">
        <f>#REF!</f>
        <v>#REF!</v>
      </c>
      <c r="C29" s="65" t="e">
        <f t="shared" si="0"/>
        <v>#REF!</v>
      </c>
      <c r="D29" s="54" t="e">
        <f>SUM(D24:D28)</f>
        <v>#REF!</v>
      </c>
      <c r="E29" s="54" t="e">
        <f>SUM(E24:E28)</f>
        <v>#REF!</v>
      </c>
      <c r="F29" s="63"/>
      <c r="G29" s="41" t="s">
        <v>9</v>
      </c>
      <c r="H29" s="41" t="s">
        <v>9</v>
      </c>
      <c r="I29" s="41" t="s">
        <v>9</v>
      </c>
    </row>
    <row r="30" spans="2:9">
      <c r="B30" s="51"/>
      <c r="C30" s="75"/>
      <c r="D30" s="52" t="s">
        <v>9</v>
      </c>
      <c r="E30" s="52" t="s">
        <v>9</v>
      </c>
      <c r="F30" s="69"/>
      <c r="G30" s="59" t="s">
        <v>9</v>
      </c>
      <c r="H30" s="41" t="s">
        <v>9</v>
      </c>
    </row>
    <row r="31" spans="2:9">
      <c r="B31" s="56" t="s">
        <v>187</v>
      </c>
      <c r="C31" s="75"/>
      <c r="D31" s="52"/>
      <c r="E31" s="55"/>
      <c r="F31" s="63"/>
      <c r="G31" s="59" t="s">
        <v>9</v>
      </c>
      <c r="H31" s="41" t="s">
        <v>9</v>
      </c>
      <c r="I31" s="58" t="s">
        <v>9</v>
      </c>
    </row>
    <row r="32" spans="2:9">
      <c r="B32" s="56" t="s">
        <v>1061</v>
      </c>
      <c r="C32" s="65" t="e">
        <f>D32+E32</f>
        <v>#REF!</v>
      </c>
      <c r="D32" s="52" t="e">
        <f>#REF!+#REF!</f>
        <v>#REF!</v>
      </c>
      <c r="E32" s="52" t="e">
        <f>#REF!+#REF!-'contract lucrari'!C30</f>
        <v>#REF!</v>
      </c>
      <c r="F32" s="63"/>
      <c r="G32" s="41" t="s">
        <v>9</v>
      </c>
      <c r="H32" s="41" t="s">
        <v>9</v>
      </c>
      <c r="I32" s="41" t="s">
        <v>9</v>
      </c>
    </row>
    <row r="33" spans="2:9">
      <c r="B33" s="56" t="s">
        <v>9</v>
      </c>
      <c r="C33" s="65" t="s">
        <v>9</v>
      </c>
      <c r="D33" s="52"/>
      <c r="E33" s="52"/>
      <c r="F33" s="63"/>
      <c r="G33" s="41" t="s">
        <v>9</v>
      </c>
      <c r="H33" s="41" t="s">
        <v>9</v>
      </c>
      <c r="I33" s="58" t="s">
        <v>9</v>
      </c>
    </row>
    <row r="34" spans="2:9">
      <c r="B34" s="51"/>
      <c r="C34" s="65" t="e">
        <f>D34+E34</f>
        <v>#REF!</v>
      </c>
      <c r="D34" s="54" t="e">
        <f>SUM(D32:D33)</f>
        <v>#REF!</v>
      </c>
      <c r="E34" s="54" t="e">
        <f>SUM(E32:E33)</f>
        <v>#REF!</v>
      </c>
      <c r="F34" s="63"/>
      <c r="G34" s="41" t="s">
        <v>9</v>
      </c>
      <c r="H34" s="41" t="s">
        <v>9</v>
      </c>
      <c r="I34" s="41" t="s">
        <v>9</v>
      </c>
    </row>
    <row r="35" spans="2:9" ht="25.5">
      <c r="B35" s="51" t="s">
        <v>787</v>
      </c>
      <c r="C35" s="65" t="e">
        <f>D35+E35</f>
        <v>#REF!</v>
      </c>
      <c r="D35" s="54" t="e">
        <f>#REF!+#REF!</f>
        <v>#REF!</v>
      </c>
      <c r="E35" s="54" t="e">
        <f>#REF!+#REF!</f>
        <v>#REF!</v>
      </c>
      <c r="F35" s="63"/>
      <c r="G35" s="41" t="s">
        <v>9</v>
      </c>
      <c r="H35" s="41" t="s">
        <v>9</v>
      </c>
      <c r="I35" s="41" t="s">
        <v>9</v>
      </c>
    </row>
    <row r="36" spans="2:9">
      <c r="B36" s="51"/>
      <c r="C36" s="65"/>
      <c r="D36" s="52"/>
      <c r="E36" s="55"/>
      <c r="F36" s="63"/>
      <c r="G36" s="41" t="s">
        <v>9</v>
      </c>
      <c r="H36" s="41" t="s">
        <v>9</v>
      </c>
      <c r="I36" s="58" t="s">
        <v>9</v>
      </c>
    </row>
    <row r="37" spans="2:9">
      <c r="B37" s="51" t="s">
        <v>1062</v>
      </c>
      <c r="C37" s="68" t="e">
        <f>D37+E37</f>
        <v>#REF!</v>
      </c>
      <c r="D37" s="54" t="e">
        <f>ROUNDUP((D7+D21+D34+D29+D35),2)</f>
        <v>#REF!</v>
      </c>
      <c r="E37" s="54" t="e">
        <f>E7+E11+E21+E34+E29+E35</f>
        <v>#REF!</v>
      </c>
      <c r="F37" s="63"/>
      <c r="G37" s="41" t="s">
        <v>9</v>
      </c>
      <c r="H37" s="41" t="s">
        <v>9</v>
      </c>
      <c r="I37" s="81" t="s">
        <v>9</v>
      </c>
    </row>
    <row r="38" spans="2:9">
      <c r="B38" s="51" t="e">
        <f>#REF!</f>
        <v>#REF!</v>
      </c>
      <c r="C38" s="65" t="e">
        <f>D38+E38</f>
        <v>#REF!</v>
      </c>
      <c r="D38" s="52" t="e">
        <f>#REF!</f>
        <v>#REF!</v>
      </c>
      <c r="E38" s="52" t="e">
        <f>#REF!-'contract lucrari'!C31</f>
        <v>#REF!</v>
      </c>
      <c r="F38" s="76"/>
      <c r="G38" s="41" t="s">
        <v>9</v>
      </c>
      <c r="H38" s="41" t="s">
        <v>9</v>
      </c>
      <c r="I38" s="81" t="s">
        <v>9</v>
      </c>
    </row>
    <row r="39" spans="2:9">
      <c r="B39" s="51"/>
      <c r="C39" s="75"/>
      <c r="D39" s="52"/>
      <c r="E39" s="55"/>
      <c r="F39" s="76"/>
      <c r="G39" s="41" t="s">
        <v>9</v>
      </c>
    </row>
    <row r="40" spans="2:9">
      <c r="B40" s="77"/>
      <c r="C40" s="78"/>
      <c r="D40" s="79"/>
      <c r="E40" s="79"/>
      <c r="F40" s="80"/>
    </row>
    <row r="41" spans="2:9" s="58" customFormat="1" hidden="1">
      <c r="B41"/>
      <c r="C41" s="53" t="e">
        <f>C37+C38</f>
        <v>#REF!</v>
      </c>
      <c r="D41" s="53" t="s">
        <v>9</v>
      </c>
      <c r="E41" s="53" t="s">
        <v>9</v>
      </c>
    </row>
    <row r="42" spans="2:9" s="58" customFormat="1" hidden="1">
      <c r="B42"/>
      <c r="C42" s="53" t="e">
        <f>C41/euro</f>
        <v>#REF!</v>
      </c>
      <c r="D42" s="53" t="s">
        <v>9</v>
      </c>
      <c r="E42" s="53" t="s">
        <v>9</v>
      </c>
      <c r="G42" s="58" t="s">
        <v>9</v>
      </c>
    </row>
    <row r="43" spans="2:9" s="58" customFormat="1">
      <c r="B43"/>
      <c r="C43" s="53" t="s">
        <v>9</v>
      </c>
      <c r="D43"/>
      <c r="E43"/>
    </row>
    <row r="44" spans="2:9" s="58" customFormat="1">
      <c r="B44" s="58" t="s">
        <v>9</v>
      </c>
    </row>
    <row r="45" spans="2:9" s="58" customFormat="1"/>
    <row r="46" spans="2:9" s="58" customFormat="1"/>
    <row r="47" spans="2:9" s="58" customFormat="1"/>
    <row r="48" spans="2:9" s="58" customFormat="1"/>
    <row r="49" s="58" customFormat="1"/>
    <row r="50" s="58" customFormat="1"/>
    <row r="51" s="58" customFormat="1"/>
    <row r="52" s="58" customFormat="1"/>
    <row r="53" s="58" customFormat="1"/>
    <row r="54" s="58" customFormat="1"/>
    <row r="55" s="58" customFormat="1"/>
    <row r="56" s="58" customFormat="1"/>
    <row r="57" s="58" customFormat="1"/>
    <row r="58" s="58" customFormat="1"/>
    <row r="59" s="58" customFormat="1"/>
    <row r="60" s="58" customFormat="1"/>
    <row r="61" s="58" customFormat="1"/>
    <row r="62" s="58" customFormat="1"/>
    <row r="63" s="58" customFormat="1"/>
    <row r="64" s="58" customFormat="1"/>
    <row r="65" s="58" customFormat="1"/>
    <row r="66" s="58" customFormat="1"/>
    <row r="67" s="58" customFormat="1"/>
    <row r="68" s="58" customFormat="1"/>
    <row r="69" s="58" customFormat="1"/>
    <row r="70" s="58" customFormat="1"/>
    <row r="71" s="58" customFormat="1"/>
    <row r="72" s="58" customFormat="1"/>
    <row r="73" s="58" customFormat="1"/>
    <row r="74" s="58" customFormat="1"/>
    <row r="75" s="58" customFormat="1"/>
    <row r="76" s="58" customFormat="1"/>
    <row r="77" s="58" customFormat="1"/>
    <row r="78" s="58" customFormat="1"/>
    <row r="79" s="58" customFormat="1"/>
    <row r="80" s="58" customFormat="1"/>
    <row r="81" s="58" customFormat="1"/>
    <row r="82" s="58" customFormat="1"/>
    <row r="83" s="58" customFormat="1"/>
    <row r="84" s="58" customFormat="1"/>
    <row r="85" s="58" customFormat="1"/>
    <row r="86" s="58" customFormat="1"/>
    <row r="87" s="58" customFormat="1"/>
    <row r="88" s="58" customFormat="1"/>
    <row r="89" s="58" customFormat="1"/>
    <row r="90" s="58" customFormat="1"/>
    <row r="91" s="58" customFormat="1"/>
    <row r="92" s="58" customFormat="1"/>
    <row r="93" s="58" customFormat="1"/>
    <row r="94" s="58" customFormat="1"/>
    <row r="95" s="58" customFormat="1"/>
    <row r="96" s="58" customFormat="1"/>
    <row r="97" s="58" customFormat="1"/>
    <row r="98" s="58" customFormat="1"/>
    <row r="99" s="58" customFormat="1"/>
    <row r="100" s="58" customFormat="1"/>
    <row r="101" s="58" customFormat="1"/>
    <row r="102" s="58" customFormat="1"/>
    <row r="103" s="58" customFormat="1"/>
    <row r="104" s="58" customFormat="1"/>
    <row r="105" s="58" customFormat="1"/>
    <row r="106" s="58" customFormat="1"/>
    <row r="107" s="58" customFormat="1"/>
    <row r="108" s="58" customFormat="1"/>
    <row r="109" s="58" customFormat="1"/>
    <row r="110" s="58" customFormat="1"/>
    <row r="111" s="58" customFormat="1"/>
    <row r="112" s="58" customFormat="1"/>
    <row r="113" s="58" customFormat="1"/>
    <row r="114" s="58" customFormat="1"/>
    <row r="115" s="58" customFormat="1"/>
    <row r="116" s="58" customFormat="1"/>
    <row r="117" s="58" customFormat="1"/>
    <row r="118" s="58" customFormat="1"/>
    <row r="119" s="58" customFormat="1"/>
    <row r="120" s="58" customFormat="1"/>
    <row r="121" s="58" customFormat="1"/>
    <row r="122" s="58" customFormat="1"/>
    <row r="123" s="58" customFormat="1"/>
    <row r="124" s="58" customFormat="1"/>
    <row r="125" s="58" customFormat="1"/>
    <row r="126" s="58" customFormat="1"/>
    <row r="127" s="58" customFormat="1"/>
    <row r="128" s="58" customFormat="1"/>
    <row r="129" s="58" customFormat="1"/>
    <row r="130" s="58" customFormat="1"/>
    <row r="131" s="58" customFormat="1"/>
    <row r="132" s="58" customFormat="1"/>
    <row r="133" s="58" customFormat="1"/>
    <row r="134" s="58" customFormat="1"/>
    <row r="135" s="58" customFormat="1"/>
    <row r="136" s="58" customFormat="1"/>
    <row r="137" s="58" customFormat="1"/>
    <row r="138" s="58" customFormat="1"/>
    <row r="139" s="58" customFormat="1"/>
    <row r="140" s="58" customFormat="1"/>
    <row r="141" s="58" customFormat="1"/>
    <row r="142" s="58" customFormat="1"/>
    <row r="143" s="58" customFormat="1"/>
    <row r="144" s="58" customFormat="1"/>
    <row r="145" s="58" customFormat="1"/>
    <row r="146" s="58" customFormat="1"/>
    <row r="147" s="58" customFormat="1"/>
    <row r="148" s="58" customFormat="1"/>
    <row r="149" s="58" customFormat="1"/>
    <row r="150" s="58" customFormat="1"/>
    <row r="151" s="58" customFormat="1"/>
    <row r="152" s="58" customFormat="1"/>
    <row r="153" s="58" customFormat="1"/>
    <row r="154" s="58" customFormat="1"/>
    <row r="155" s="58" customFormat="1"/>
    <row r="156" s="58" customFormat="1"/>
    <row r="157" s="58" customFormat="1"/>
    <row r="158" s="58" customFormat="1"/>
    <row r="159" s="58" customFormat="1"/>
    <row r="160" s="58" customFormat="1"/>
    <row r="161" s="58" customFormat="1"/>
    <row r="162" s="58" customFormat="1"/>
    <row r="163" s="58" customFormat="1"/>
    <row r="164" s="58" customFormat="1"/>
    <row r="165" s="58" customFormat="1"/>
    <row r="166" s="58" customFormat="1"/>
    <row r="167" s="58" customFormat="1"/>
    <row r="168" s="58" customFormat="1"/>
    <row r="169" s="58" customFormat="1"/>
    <row r="170" s="58" customFormat="1"/>
    <row r="171" s="58" customFormat="1"/>
    <row r="172" s="58" customFormat="1"/>
    <row r="173" s="58" customFormat="1"/>
    <row r="174" s="58" customFormat="1"/>
    <row r="175" s="58" customFormat="1"/>
    <row r="176" s="58" customFormat="1"/>
    <row r="177" s="58" customFormat="1"/>
    <row r="178" s="58" customFormat="1"/>
    <row r="179" s="58" customFormat="1"/>
    <row r="180" s="58" customFormat="1"/>
    <row r="181" s="58" customFormat="1"/>
    <row r="182" s="58" customFormat="1"/>
    <row r="183" s="58" customFormat="1"/>
    <row r="184" s="58" customFormat="1"/>
    <row r="185" s="58" customFormat="1"/>
    <row r="186" s="58" customFormat="1"/>
    <row r="187" s="58" customFormat="1"/>
    <row r="188" s="58" customFormat="1"/>
    <row r="189" s="58" customFormat="1"/>
    <row r="190" s="58" customFormat="1"/>
    <row r="191" s="58" customFormat="1"/>
    <row r="192" s="58" customFormat="1"/>
    <row r="193" s="58" customFormat="1"/>
    <row r="194" s="58" customFormat="1"/>
    <row r="195" s="58" customFormat="1"/>
    <row r="196" s="58" customFormat="1"/>
    <row r="197" s="58" customFormat="1"/>
    <row r="198" s="58" customFormat="1"/>
    <row r="199" s="58" customFormat="1"/>
    <row r="200" s="58" customFormat="1"/>
    <row r="201" s="58" customFormat="1"/>
    <row r="202" s="58" customFormat="1"/>
    <row r="203" s="58" customFormat="1"/>
    <row r="204" s="58" customFormat="1"/>
    <row r="205" s="58" customFormat="1"/>
    <row r="206" s="58" customFormat="1"/>
    <row r="207" s="58" customFormat="1"/>
    <row r="208" s="58" customFormat="1"/>
    <row r="209" s="58" customFormat="1"/>
    <row r="210" s="58" customFormat="1"/>
    <row r="211" s="58" customFormat="1"/>
    <row r="212" s="58" customFormat="1"/>
    <row r="213" s="58" customFormat="1"/>
    <row r="214" s="58" customFormat="1"/>
    <row r="215" s="58" customFormat="1"/>
    <row r="216" s="58" customFormat="1"/>
    <row r="217" s="58" customFormat="1"/>
    <row r="218" s="58" customFormat="1"/>
    <row r="219" s="58" customFormat="1"/>
    <row r="220" s="58" customFormat="1"/>
    <row r="221" s="58" customFormat="1"/>
    <row r="222" s="58" customFormat="1"/>
    <row r="223" s="58" customFormat="1"/>
    <row r="224" s="58" customFormat="1"/>
    <row r="225" s="58" customFormat="1"/>
    <row r="226" s="58" customFormat="1"/>
    <row r="227" s="58" customFormat="1"/>
    <row r="228" s="58" customFormat="1"/>
    <row r="229" s="58" customFormat="1"/>
    <row r="230" s="58" customFormat="1"/>
    <row r="231" s="58" customFormat="1"/>
    <row r="232" s="58" customFormat="1"/>
    <row r="233" s="58" customFormat="1"/>
    <row r="234" s="58" customFormat="1"/>
    <row r="235" s="58" customFormat="1"/>
    <row r="236" s="58" customFormat="1"/>
    <row r="237" s="58" customFormat="1"/>
    <row r="238" s="58" customFormat="1"/>
    <row r="239" s="58" customFormat="1"/>
    <row r="240" s="58" customFormat="1"/>
    <row r="241" s="58" customFormat="1"/>
    <row r="242" s="58" customFormat="1"/>
    <row r="243" s="58" customFormat="1"/>
    <row r="244" s="58" customFormat="1"/>
    <row r="245" s="58" customFormat="1"/>
    <row r="246" s="58" customFormat="1"/>
    <row r="247" s="58" customFormat="1"/>
    <row r="248" s="58" customFormat="1"/>
    <row r="249" s="58" customFormat="1"/>
    <row r="250" s="58" customFormat="1"/>
    <row r="251" s="58" customFormat="1"/>
    <row r="252" s="58" customFormat="1"/>
    <row r="253" s="58" customFormat="1"/>
    <row r="254" s="58" customFormat="1"/>
    <row r="255" s="58" customFormat="1"/>
    <row r="256" s="58" customFormat="1"/>
    <row r="257" s="58" customFormat="1"/>
    <row r="258" s="58" customFormat="1"/>
    <row r="259" s="58" customFormat="1"/>
    <row r="260" s="58" customFormat="1"/>
    <row r="261" s="58" customFormat="1"/>
    <row r="262" s="58" customFormat="1"/>
    <row r="263" s="58" customFormat="1"/>
    <row r="264" s="58" customFormat="1"/>
    <row r="265" s="58" customFormat="1"/>
    <row r="266" s="58" customFormat="1"/>
    <row r="267" s="58" customFormat="1"/>
    <row r="268" s="58" customFormat="1"/>
    <row r="269" s="58" customFormat="1"/>
    <row r="270" s="58" customFormat="1"/>
    <row r="271" s="58" customFormat="1"/>
    <row r="272" s="58" customFormat="1"/>
    <row r="273" s="58" customFormat="1"/>
    <row r="274" s="58" customFormat="1"/>
    <row r="275" s="58" customFormat="1"/>
    <row r="276" s="58" customFormat="1"/>
    <row r="277" s="58" customFormat="1"/>
    <row r="278" s="58" customFormat="1"/>
    <row r="279" s="58" customFormat="1"/>
    <row r="280" s="58" customFormat="1"/>
    <row r="281" s="58" customFormat="1"/>
    <row r="282" s="58" customFormat="1"/>
    <row r="283" s="58" customFormat="1"/>
    <row r="284" s="58" customFormat="1"/>
    <row r="285" s="58" customFormat="1"/>
    <row r="286" s="58" customFormat="1"/>
    <row r="287" s="58" customFormat="1"/>
    <row r="288" s="58" customFormat="1"/>
    <row r="289" s="58" customFormat="1"/>
    <row r="290" s="58" customFormat="1"/>
    <row r="291" s="58" customFormat="1"/>
    <row r="292" s="58" customFormat="1"/>
    <row r="293" s="58" customFormat="1"/>
    <row r="294" s="58" customFormat="1"/>
    <row r="295" s="58" customFormat="1"/>
    <row r="296" s="58" customFormat="1"/>
    <row r="297" s="58" customFormat="1"/>
    <row r="298" s="58" customFormat="1"/>
    <row r="299" s="58" customFormat="1"/>
    <row r="300" s="58" customFormat="1"/>
    <row r="301" s="58" customFormat="1"/>
    <row r="302" s="58" customFormat="1"/>
    <row r="303" s="58" customFormat="1"/>
    <row r="304" s="58" customFormat="1"/>
    <row r="305" s="58" customFormat="1"/>
    <row r="306" s="58" customFormat="1"/>
    <row r="307" s="58" customFormat="1"/>
    <row r="308" s="58" customFormat="1"/>
    <row r="309" s="58" customFormat="1"/>
    <row r="310" s="58" customFormat="1"/>
    <row r="311" s="58" customFormat="1"/>
    <row r="312" s="58" customFormat="1"/>
    <row r="313" s="58" customFormat="1"/>
    <row r="314" s="58" customFormat="1"/>
    <row r="315" s="58" customFormat="1"/>
    <row r="316" s="58" customFormat="1"/>
    <row r="317" s="58" customFormat="1"/>
    <row r="318" s="58" customFormat="1"/>
    <row r="319" s="58" customFormat="1"/>
    <row r="320" s="58" customFormat="1"/>
    <row r="321" s="58" customFormat="1"/>
    <row r="322" s="58" customFormat="1"/>
    <row r="323" s="58" customFormat="1"/>
    <row r="324" s="58" customFormat="1"/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0"/>
  <sheetViews>
    <sheetView workbookViewId="0">
      <selection activeCell="C6" sqref="C6"/>
    </sheetView>
  </sheetViews>
  <sheetFormatPr defaultColWidth="8.85546875" defaultRowHeight="12.75"/>
  <cols>
    <col min="2" max="2" width="48.28515625" customWidth="1"/>
    <col min="3" max="3" width="20" customWidth="1"/>
    <col min="5" max="5" width="21" customWidth="1"/>
    <col min="6" max="6" width="9.7109375" customWidth="1"/>
  </cols>
  <sheetData>
    <row r="2" spans="2:8">
      <c r="B2" t="s">
        <v>1063</v>
      </c>
    </row>
    <row r="3" spans="2:8" ht="38.25">
      <c r="B3" s="45" t="s">
        <v>1043</v>
      </c>
      <c r="C3" s="46" t="s">
        <v>1008</v>
      </c>
    </row>
    <row r="4" spans="2:8">
      <c r="B4" s="47" t="s">
        <v>257</v>
      </c>
      <c r="C4" s="48" t="s">
        <v>9</v>
      </c>
    </row>
    <row r="5" spans="2:8">
      <c r="B5" s="49" t="s">
        <v>123</v>
      </c>
      <c r="C5" s="50"/>
    </row>
    <row r="6" spans="2:8">
      <c r="B6" s="51" t="s">
        <v>143</v>
      </c>
      <c r="C6" s="52">
        <v>275000</v>
      </c>
      <c r="E6" s="53" t="s">
        <v>9</v>
      </c>
    </row>
    <row r="7" spans="2:8" ht="25.5">
      <c r="B7" s="51" t="s">
        <v>140</v>
      </c>
      <c r="C7" s="52">
        <v>2500</v>
      </c>
      <c r="E7" s="53" t="s">
        <v>9</v>
      </c>
    </row>
    <row r="8" spans="2:8" ht="25.5">
      <c r="B8" s="51" t="s">
        <v>142</v>
      </c>
      <c r="C8" s="52">
        <f>C6*2%</f>
        <v>5500</v>
      </c>
      <c r="E8" s="53" t="s">
        <v>9</v>
      </c>
    </row>
    <row r="9" spans="2:8" ht="63.75">
      <c r="B9" s="51" t="s">
        <v>1064</v>
      </c>
      <c r="C9" s="52">
        <v>42000</v>
      </c>
      <c r="E9" t="s">
        <v>9</v>
      </c>
    </row>
    <row r="10" spans="2:8">
      <c r="B10" s="51" t="s">
        <v>1065</v>
      </c>
      <c r="C10" s="52">
        <v>219649</v>
      </c>
      <c r="E10" s="53" t="str">
        <f>'centralizator contracte'!D9</f>
        <v/>
      </c>
    </row>
    <row r="11" spans="2:8">
      <c r="B11" s="49" t="s">
        <v>1047</v>
      </c>
      <c r="C11" s="54">
        <f>SUM(C6:C10)</f>
        <v>544649</v>
      </c>
      <c r="E11" s="53"/>
    </row>
    <row r="12" spans="2:8">
      <c r="B12" s="49"/>
      <c r="C12" s="55"/>
      <c r="E12" s="53" t="s">
        <v>9</v>
      </c>
    </row>
    <row r="13" spans="2:8">
      <c r="B13" s="49" t="e">
        <f>#REF!</f>
        <v>#REF!</v>
      </c>
      <c r="C13" s="55"/>
    </row>
    <row r="14" spans="2:8" ht="18.95" customHeight="1">
      <c r="B14" s="51" t="s">
        <v>1066</v>
      </c>
      <c r="C14" s="52" t="e">
        <f>'D2.Deviz ITDCS-summary '!#REF!</f>
        <v>#REF!</v>
      </c>
      <c r="E14" t="s">
        <v>9</v>
      </c>
      <c r="F14" s="53" t="s">
        <v>9</v>
      </c>
    </row>
    <row r="15" spans="2:8">
      <c r="B15" s="51" t="s">
        <v>1067</v>
      </c>
      <c r="C15" s="52" t="e">
        <f>'D2.Deviz ITDCS-summary '!#REF!</f>
        <v>#REF!</v>
      </c>
      <c r="E15" t="s">
        <v>9</v>
      </c>
      <c r="F15" s="53" t="s">
        <v>9</v>
      </c>
      <c r="G15" s="53" t="s">
        <v>9</v>
      </c>
      <c r="H15" s="53" t="s">
        <v>9</v>
      </c>
    </row>
    <row r="16" spans="2:8">
      <c r="B16" s="51" t="s">
        <v>1068</v>
      </c>
      <c r="C16" s="52" t="e">
        <f>#REF!</f>
        <v>#REF!</v>
      </c>
      <c r="E16" t="s">
        <v>9</v>
      </c>
      <c r="F16" s="53" t="s">
        <v>9</v>
      </c>
    </row>
    <row r="17" spans="2:3">
      <c r="B17" s="51" t="s">
        <v>1069</v>
      </c>
      <c r="C17" s="52" t="e">
        <f>#REF!</f>
        <v>#REF!</v>
      </c>
    </row>
    <row r="18" spans="2:3">
      <c r="B18" s="56" t="s">
        <v>1070</v>
      </c>
      <c r="C18" s="54" t="e">
        <f>SUM(C14:C17)</f>
        <v>#REF!</v>
      </c>
    </row>
    <row r="19" spans="2:3">
      <c r="B19" s="51"/>
      <c r="C19" s="55"/>
    </row>
    <row r="20" spans="2:3">
      <c r="B20" s="51" t="s">
        <v>1071</v>
      </c>
      <c r="C20" s="52">
        <f>'D2.Deviz ITDCS-summary '!C24</f>
        <v>3845627.5</v>
      </c>
    </row>
    <row r="21" spans="2:3">
      <c r="B21" s="51" t="s">
        <v>1072</v>
      </c>
      <c r="C21" s="52">
        <f>'D2.Deviz ITDCS-summary '!C25</f>
        <v>0</v>
      </c>
    </row>
    <row r="22" spans="2:3">
      <c r="B22" s="51" t="s">
        <v>1073</v>
      </c>
      <c r="C22" s="52" t="e">
        <f>#REF!</f>
        <v>#REF!</v>
      </c>
    </row>
    <row r="23" spans="2:3">
      <c r="B23" s="51" t="s">
        <v>1074</v>
      </c>
      <c r="C23" s="52" t="e">
        <f>#REF!</f>
        <v>#REF!</v>
      </c>
    </row>
    <row r="24" spans="2:3">
      <c r="B24" s="51" t="s">
        <v>1075</v>
      </c>
      <c r="C24" s="52" t="e">
        <f>#REF!</f>
        <v>#REF!</v>
      </c>
    </row>
    <row r="25" spans="2:3">
      <c r="B25" s="56" t="s">
        <v>1076</v>
      </c>
      <c r="C25" s="54" t="e">
        <f>SUM(C20:C24)</f>
        <v>#REF!</v>
      </c>
    </row>
    <row r="26" spans="2:3">
      <c r="B26" s="51"/>
      <c r="C26" s="52"/>
    </row>
    <row r="27" spans="2:3">
      <c r="B27" s="56" t="s">
        <v>1077</v>
      </c>
      <c r="C27" s="54" t="e">
        <f>C18+C25</f>
        <v>#REF!</v>
      </c>
    </row>
    <row r="28" spans="2:3">
      <c r="B28" s="51"/>
      <c r="C28" s="52"/>
    </row>
    <row r="29" spans="2:3">
      <c r="B29" s="56" t="s">
        <v>187</v>
      </c>
      <c r="C29" s="55"/>
    </row>
    <row r="30" spans="2:3">
      <c r="B30" s="56" t="s">
        <v>1061</v>
      </c>
      <c r="C30" s="52">
        <v>204600</v>
      </c>
    </row>
    <row r="31" spans="2:3">
      <c r="B31" s="56" t="s">
        <v>1078</v>
      </c>
      <c r="C31" s="52">
        <v>768100</v>
      </c>
    </row>
    <row r="32" spans="2:3">
      <c r="B32" s="51" t="s">
        <v>1079</v>
      </c>
      <c r="C32" s="54">
        <f>C30+C31</f>
        <v>972700</v>
      </c>
    </row>
    <row r="33" spans="2:6">
      <c r="B33" s="51"/>
      <c r="C33" s="52" t="s">
        <v>9</v>
      </c>
    </row>
    <row r="34" spans="2:6">
      <c r="B34" s="56" t="s">
        <v>1080</v>
      </c>
      <c r="C34" s="54" t="e">
        <f>C32+C27+C11</f>
        <v>#REF!</v>
      </c>
      <c r="E34" s="57" t="s">
        <v>9</v>
      </c>
    </row>
    <row r="35" spans="2:6">
      <c r="B35" s="51" t="s">
        <v>9</v>
      </c>
      <c r="C35" s="52" t="s">
        <v>9</v>
      </c>
    </row>
    <row r="36" spans="2:6">
      <c r="B36" s="56" t="s">
        <v>9</v>
      </c>
      <c r="C36" s="52" t="s">
        <v>9</v>
      </c>
    </row>
    <row r="37" spans="2:6">
      <c r="B37" s="51" t="s">
        <v>9</v>
      </c>
      <c r="C37" s="52" t="s">
        <v>9</v>
      </c>
    </row>
    <row r="39" spans="2:6">
      <c r="B39" t="s">
        <v>9</v>
      </c>
      <c r="C39" s="53" t="s">
        <v>9</v>
      </c>
      <c r="E39" s="57" t="s">
        <v>9</v>
      </c>
    </row>
    <row r="40" spans="2:6">
      <c r="B40" t="s">
        <v>9</v>
      </c>
      <c r="C40" s="53" t="s">
        <v>9</v>
      </c>
      <c r="E40" s="57" t="s">
        <v>9</v>
      </c>
      <c r="F40" s="53" t="s">
        <v>9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76"/>
  <sheetViews>
    <sheetView view="pageBreakPreview" topLeftCell="A122" zoomScaleNormal="100" workbookViewId="0">
      <selection activeCell="C19" sqref="C19"/>
    </sheetView>
  </sheetViews>
  <sheetFormatPr defaultColWidth="8.85546875" defaultRowHeight="12.75"/>
  <cols>
    <col min="1" max="1" width="8.28515625" style="273" customWidth="1"/>
    <col min="2" max="2" width="56.85546875" customWidth="1"/>
    <col min="3" max="4" width="23.7109375" customWidth="1"/>
    <col min="5" max="7" width="19.140625" customWidth="1"/>
    <col min="8" max="8" width="25.140625" customWidth="1"/>
    <col min="9" max="9" width="19" hidden="1" customWidth="1"/>
    <col min="10" max="10" width="15.28515625" hidden="1" customWidth="1"/>
    <col min="11" max="11" width="12.28515625" hidden="1" customWidth="1"/>
    <col min="12" max="12" width="12" hidden="1" customWidth="1"/>
    <col min="13" max="13" width="21" customWidth="1"/>
    <col min="14" max="15" width="12.7109375" customWidth="1"/>
    <col min="16" max="16" width="10.85546875" customWidth="1"/>
  </cols>
  <sheetData>
    <row r="1" spans="1:13" s="730" customFormat="1" ht="12.75" customHeight="1">
      <c r="A1" s="1463"/>
      <c r="B1" s="1797" t="s">
        <v>95</v>
      </c>
      <c r="C1" s="1797"/>
      <c r="D1" s="1797"/>
      <c r="E1" s="1797"/>
      <c r="F1" s="1797"/>
      <c r="G1" s="1797"/>
      <c r="H1" s="1797"/>
    </row>
    <row r="2" spans="1:13" s="730" customFormat="1" ht="12.75" customHeight="1">
      <c r="A2" s="1464"/>
      <c r="B2" s="1797"/>
      <c r="C2" s="1797"/>
      <c r="D2" s="1797"/>
      <c r="E2" s="1797"/>
      <c r="F2" s="1797"/>
      <c r="G2" s="1797"/>
      <c r="H2" s="1797"/>
    </row>
    <row r="3" spans="1:13" s="730" customFormat="1" ht="13.7" customHeight="1">
      <c r="A3" s="1465"/>
      <c r="B3" s="1798"/>
      <c r="C3" s="1798"/>
      <c r="D3" s="1798"/>
      <c r="E3" s="1798"/>
      <c r="F3" s="1798"/>
      <c r="G3" s="1798"/>
      <c r="H3" s="1798"/>
    </row>
    <row r="4" spans="1:13" s="730" customFormat="1">
      <c r="A4" s="1466"/>
      <c r="B4" s="1466"/>
      <c r="C4" s="1466"/>
      <c r="D4" s="1466"/>
      <c r="E4" s="1467"/>
      <c r="F4" s="1467"/>
      <c r="G4" s="1467"/>
      <c r="H4" s="1468"/>
    </row>
    <row r="5" spans="1:13" ht="26.25">
      <c r="A5" s="1746" t="s">
        <v>238</v>
      </c>
      <c r="B5" s="1747"/>
      <c r="C5" s="1747"/>
      <c r="D5" s="1747"/>
      <c r="E5" s="1747"/>
      <c r="F5" s="1747"/>
      <c r="G5" s="1747"/>
      <c r="H5" s="1748"/>
    </row>
    <row r="6" spans="1:13" s="1018" customFormat="1" ht="39.75" customHeight="1">
      <c r="A6" s="1749" t="s">
        <v>239</v>
      </c>
      <c r="B6" s="1750"/>
      <c r="C6" s="1750"/>
      <c r="D6" s="1750"/>
      <c r="E6" s="1750"/>
      <c r="F6" s="1750"/>
      <c r="G6" s="1750"/>
      <c r="H6" s="1751"/>
      <c r="I6" s="1099"/>
      <c r="J6" s="1099"/>
      <c r="K6" s="1099"/>
      <c r="L6" s="1099"/>
      <c r="M6" s="1099"/>
    </row>
    <row r="7" spans="1:13">
      <c r="A7" s="1752" t="s">
        <v>240</v>
      </c>
      <c r="B7" s="1753"/>
      <c r="C7" s="1753"/>
      <c r="D7" s="1753"/>
      <c r="E7" s="1753"/>
      <c r="F7" s="1753"/>
      <c r="G7" s="1753"/>
      <c r="H7" s="1754"/>
    </row>
    <row r="8" spans="1:13" ht="25.5">
      <c r="A8" s="1758" t="s">
        <v>99</v>
      </c>
      <c r="B8" s="1795" t="s">
        <v>100</v>
      </c>
      <c r="C8" s="1755" t="s">
        <v>101</v>
      </c>
      <c r="D8" s="1756"/>
      <c r="E8" s="1755" t="s">
        <v>102</v>
      </c>
      <c r="F8" s="1756"/>
      <c r="G8" s="1755" t="s">
        <v>103</v>
      </c>
      <c r="H8" s="1757"/>
      <c r="I8" s="1509" t="s">
        <v>104</v>
      </c>
      <c r="J8" s="1510" t="s">
        <v>105</v>
      </c>
      <c r="K8" s="1511" t="s">
        <v>106</v>
      </c>
      <c r="L8" s="1512" t="s">
        <v>107</v>
      </c>
    </row>
    <row r="9" spans="1:13" s="585" customFormat="1" ht="17.25" customHeight="1">
      <c r="A9" s="1759"/>
      <c r="B9" s="1796"/>
      <c r="C9" s="1471" t="s">
        <v>108</v>
      </c>
      <c r="D9" s="1471" t="s">
        <v>81</v>
      </c>
      <c r="E9" s="1471" t="s">
        <v>108</v>
      </c>
      <c r="F9" s="1472" t="s">
        <v>81</v>
      </c>
      <c r="G9" s="1472" t="s">
        <v>108</v>
      </c>
      <c r="H9" s="1473" t="s">
        <v>81</v>
      </c>
      <c r="I9" s="1509" t="s">
        <v>108</v>
      </c>
      <c r="J9" s="1510" t="s">
        <v>108</v>
      </c>
      <c r="K9" s="1510" t="s">
        <v>108</v>
      </c>
      <c r="L9" s="1510" t="s">
        <v>108</v>
      </c>
    </row>
    <row r="10" spans="1:13">
      <c r="A10" s="1469">
        <v>1</v>
      </c>
      <c r="B10" s="1470">
        <v>2</v>
      </c>
      <c r="C10" s="1470">
        <v>3</v>
      </c>
      <c r="D10" s="1470"/>
      <c r="E10" s="1470">
        <v>4</v>
      </c>
      <c r="F10" s="1474"/>
      <c r="G10" s="1474"/>
      <c r="H10" s="1475">
        <v>5</v>
      </c>
      <c r="I10" s="1513"/>
      <c r="J10" s="1510"/>
      <c r="K10" s="1511"/>
      <c r="L10" s="1511"/>
    </row>
    <row r="11" spans="1:13">
      <c r="A11" s="1760" t="s">
        <v>109</v>
      </c>
      <c r="B11" s="1761"/>
      <c r="C11" s="1761"/>
      <c r="D11" s="1761"/>
      <c r="E11" s="1761"/>
      <c r="F11" s="1762"/>
      <c r="G11" s="1762"/>
      <c r="H11" s="1763"/>
    </row>
    <row r="12" spans="1:13">
      <c r="A12" s="1476" t="s">
        <v>110</v>
      </c>
      <c r="B12" s="928" t="s">
        <v>111</v>
      </c>
      <c r="C12" s="1034">
        <f>SUM(C13:C14)</f>
        <v>0</v>
      </c>
      <c r="D12" s="1034">
        <f>SUM(D13:D14)</f>
        <v>0</v>
      </c>
      <c r="E12" s="1034">
        <f>SUM(E13:E14)</f>
        <v>0</v>
      </c>
      <c r="F12" s="1038"/>
      <c r="G12" s="1038">
        <f>SUM(G13:G14)</f>
        <v>0</v>
      </c>
      <c r="H12" s="1039">
        <f>SUM(H13:H14)</f>
        <v>0</v>
      </c>
    </row>
    <row r="13" spans="1:13">
      <c r="A13" s="1476"/>
      <c r="B13" s="1477" t="s">
        <v>112</v>
      </c>
      <c r="C13" s="1034">
        <f>'DEVIZ GENERAL'!C14*coef</f>
        <v>0</v>
      </c>
      <c r="D13" s="1034">
        <f>'DEVIZ GENERAL'!D14*coef</f>
        <v>0</v>
      </c>
      <c r="E13" s="1034">
        <f>'DEVIZ GENERAL'!E14*coef</f>
        <v>0</v>
      </c>
      <c r="F13" s="1038"/>
      <c r="G13" s="1038">
        <f>'DEVIZ GENERAL'!G14*coef</f>
        <v>0</v>
      </c>
      <c r="H13" s="1039">
        <f>'DEVIZ GENERAL'!H14*coef</f>
        <v>0</v>
      </c>
    </row>
    <row r="14" spans="1:13">
      <c r="A14" s="1476"/>
      <c r="B14" s="1477" t="s">
        <v>9</v>
      </c>
      <c r="C14" s="1034">
        <f>'DEVIZ GENERAL'!C15*coef</f>
        <v>0</v>
      </c>
      <c r="D14" s="1034">
        <f>'DEVIZ GENERAL'!D15*coef</f>
        <v>0</v>
      </c>
      <c r="E14" s="1034">
        <f>'DEVIZ GENERAL'!E15*coef</f>
        <v>0</v>
      </c>
      <c r="F14" s="1038"/>
      <c r="G14" s="1038">
        <f>'DEVIZ GENERAL'!G15*coef</f>
        <v>0</v>
      </c>
      <c r="H14" s="1039">
        <f>'DEVIZ GENERAL'!H15*coef</f>
        <v>0</v>
      </c>
    </row>
    <row r="15" spans="1:13">
      <c r="A15" s="1476" t="s">
        <v>113</v>
      </c>
      <c r="B15" s="928" t="s">
        <v>114</v>
      </c>
      <c r="C15" s="1034">
        <f>SUM(C16:C17)</f>
        <v>0</v>
      </c>
      <c r="D15" s="1034">
        <f>SUM(D16:D17)</f>
        <v>0</v>
      </c>
      <c r="E15" s="1034">
        <f>SUM(E16:E17)</f>
        <v>0</v>
      </c>
      <c r="F15" s="1038"/>
      <c r="G15" s="1038">
        <f>SUM(G16:G17)</f>
        <v>0</v>
      </c>
      <c r="H15" s="1039">
        <f>SUM(H16:H17)</f>
        <v>0</v>
      </c>
    </row>
    <row r="16" spans="1:13">
      <c r="A16" s="1476"/>
      <c r="B16" s="1477" t="s">
        <v>112</v>
      </c>
      <c r="C16" s="1034">
        <f>'DEVIZ GENERAL'!C17*coef</f>
        <v>0</v>
      </c>
      <c r="D16" s="1034">
        <f>'DEVIZ GENERAL'!D17*coef</f>
        <v>0</v>
      </c>
      <c r="E16" s="1034">
        <f>'DEVIZ GENERAL'!E17*coef</f>
        <v>0</v>
      </c>
      <c r="F16" s="1038"/>
      <c r="G16" s="1038">
        <f>'DEVIZ GENERAL'!G17*coef</f>
        <v>0</v>
      </c>
      <c r="H16" s="1039">
        <f>'DEVIZ GENERAL'!H17*coef</f>
        <v>0</v>
      </c>
    </row>
    <row r="17" spans="1:8">
      <c r="A17" s="1476"/>
      <c r="B17" s="1477" t="s">
        <v>9</v>
      </c>
      <c r="C17" s="1034">
        <f>'DEVIZ GENERAL'!C18*coef</f>
        <v>0</v>
      </c>
      <c r="D17" s="1034">
        <f>'DEVIZ GENERAL'!D18*coef</f>
        <v>0</v>
      </c>
      <c r="E17" s="1034">
        <f>'DEVIZ GENERAL'!E18*coef</f>
        <v>0</v>
      </c>
      <c r="F17" s="1038"/>
      <c r="G17" s="1038">
        <f>'DEVIZ GENERAL'!G18*coef</f>
        <v>0</v>
      </c>
      <c r="H17" s="1039">
        <f>'DEVIZ GENERAL'!H18*coef</f>
        <v>0</v>
      </c>
    </row>
    <row r="18" spans="1:8">
      <c r="A18" s="1476" t="s">
        <v>115</v>
      </c>
      <c r="B18" s="928" t="s">
        <v>116</v>
      </c>
      <c r="C18" s="1034">
        <f>SUM(C19:C20)</f>
        <v>8129398</v>
      </c>
      <c r="D18" s="1034">
        <f t="shared" ref="D18:H18" si="0">SUM(D19:D20)</f>
        <v>1633787.12</v>
      </c>
      <c r="E18" s="1034">
        <f t="shared" si="0"/>
        <v>1544585.62</v>
      </c>
      <c r="F18" s="1038">
        <f t="shared" si="0"/>
        <v>310419.55</v>
      </c>
      <c r="G18" s="1038">
        <f t="shared" si="0"/>
        <v>9673983.620000001</v>
      </c>
      <c r="H18" s="1039">
        <f t="shared" si="0"/>
        <v>1944206.6700000002</v>
      </c>
    </row>
    <row r="19" spans="1:8">
      <c r="A19" s="1476"/>
      <c r="B19" s="1477" t="s">
        <v>112</v>
      </c>
      <c r="C19" s="1034">
        <f>ROUND('DEVIZ GENERAL'!C20*coef,0)</f>
        <v>8129398</v>
      </c>
      <c r="D19" s="1034">
        <f>ROUNDDOWN(C19/euro,2)</f>
        <v>1633787.12</v>
      </c>
      <c r="E19" s="1034">
        <f>ROUNDDOWN(C19*TVA,2)</f>
        <v>1544585.62</v>
      </c>
      <c r="F19" s="1034">
        <f>ROUND(D19*TVA,2)</f>
        <v>310419.55</v>
      </c>
      <c r="G19" s="1038">
        <f>C19+E19</f>
        <v>9673983.620000001</v>
      </c>
      <c r="H19" s="1039">
        <f>D19+F19</f>
        <v>1944206.6700000002</v>
      </c>
    </row>
    <row r="20" spans="1:8">
      <c r="A20" s="1476"/>
      <c r="B20" s="1477" t="s">
        <v>9</v>
      </c>
      <c r="C20" s="1034">
        <f>'DEVIZ GENERAL'!C21*coef</f>
        <v>0</v>
      </c>
      <c r="D20" s="1034">
        <f>'DEVIZ GENERAL'!D21*coef</f>
        <v>0</v>
      </c>
      <c r="E20" s="1034">
        <f>'DEVIZ GENERAL'!E21*coef</f>
        <v>0</v>
      </c>
      <c r="F20" s="1038"/>
      <c r="G20" s="1038">
        <f>'DEVIZ GENERAL'!G21*coef</f>
        <v>0</v>
      </c>
      <c r="H20" s="1039">
        <f>'DEVIZ GENERAL'!H21*coef</f>
        <v>0</v>
      </c>
    </row>
    <row r="21" spans="1:8">
      <c r="A21" s="1476" t="s">
        <v>117</v>
      </c>
      <c r="B21" s="928" t="s">
        <v>118</v>
      </c>
      <c r="C21" s="1034">
        <f>SUM(C22:C23)</f>
        <v>0</v>
      </c>
      <c r="D21" s="1034">
        <f>SUM(D22:D23)</f>
        <v>0</v>
      </c>
      <c r="E21" s="1034">
        <f>SUM(E22:E23)</f>
        <v>0</v>
      </c>
      <c r="F21" s="1038"/>
      <c r="G21" s="1038">
        <f>SUM(G22:G23)</f>
        <v>0</v>
      </c>
      <c r="H21" s="1039">
        <f>SUM(H22:H23)</f>
        <v>0</v>
      </c>
    </row>
    <row r="22" spans="1:8">
      <c r="A22" s="1476"/>
      <c r="B22" s="1477" t="s">
        <v>112</v>
      </c>
      <c r="C22" s="1034">
        <f>'DEVIZ GENERAL'!C22*coef</f>
        <v>0</v>
      </c>
      <c r="D22" s="1034">
        <f>'DEVIZ GENERAL'!D22*coef</f>
        <v>0</v>
      </c>
      <c r="E22" s="1034">
        <f>'DEVIZ GENERAL'!E22*coef</f>
        <v>0</v>
      </c>
      <c r="F22" s="1038"/>
      <c r="G22" s="1038">
        <f>'DEVIZ GENERAL'!G22*coef</f>
        <v>0</v>
      </c>
      <c r="H22" s="1039">
        <f>'DEVIZ GENERAL'!H22*coef</f>
        <v>0</v>
      </c>
    </row>
    <row r="23" spans="1:8">
      <c r="A23" s="1476"/>
      <c r="B23" s="1477" t="s">
        <v>9</v>
      </c>
      <c r="C23" s="1034">
        <f>'DEVIZ GENERAL'!C23*coef</f>
        <v>0</v>
      </c>
      <c r="D23" s="1034">
        <f>'DEVIZ GENERAL'!D23*coef</f>
        <v>0</v>
      </c>
      <c r="E23" s="1034">
        <f>'DEVIZ GENERAL'!E23*coef</f>
        <v>0</v>
      </c>
      <c r="F23" s="1038"/>
      <c r="G23" s="1038">
        <f>'DEVIZ GENERAL'!G23*coef</f>
        <v>0</v>
      </c>
      <c r="H23" s="1039">
        <f>'DEVIZ GENERAL'!H23*coef</f>
        <v>0</v>
      </c>
    </row>
    <row r="24" spans="1:8">
      <c r="A24" s="1764" t="s">
        <v>119</v>
      </c>
      <c r="B24" s="1765"/>
      <c r="C24" s="1480">
        <f>C21+C18+C15+C12</f>
        <v>8129398</v>
      </c>
      <c r="D24" s="1480">
        <f t="shared" ref="D24:H24" si="1">D21+D18+D15+D12</f>
        <v>1633787.12</v>
      </c>
      <c r="E24" s="1480">
        <f t="shared" si="1"/>
        <v>1544585.62</v>
      </c>
      <c r="F24" s="1481">
        <f t="shared" si="1"/>
        <v>310419.55</v>
      </c>
      <c r="G24" s="1481">
        <f t="shared" si="1"/>
        <v>9673983.620000001</v>
      </c>
      <c r="H24" s="1482">
        <f t="shared" si="1"/>
        <v>1944206.6700000002</v>
      </c>
    </row>
    <row r="25" spans="1:8">
      <c r="A25" s="1766" t="s">
        <v>120</v>
      </c>
      <c r="B25" s="1767"/>
      <c r="C25" s="1767"/>
      <c r="D25" s="1767"/>
      <c r="E25" s="1767"/>
      <c r="F25" s="1768"/>
      <c r="G25" s="1768"/>
      <c r="H25" s="1769"/>
    </row>
    <row r="26" spans="1:8">
      <c r="A26" s="916" t="s">
        <v>121</v>
      </c>
      <c r="B26" s="1477" t="s">
        <v>112</v>
      </c>
      <c r="C26" s="1034">
        <f>ROUND('DEVIZ GENERAL'!C27*coef,0)</f>
        <v>4278139</v>
      </c>
      <c r="D26" s="1034">
        <f>ROUNDDOWN(C26/euro,2)</f>
        <v>859789.17</v>
      </c>
      <c r="E26" s="1034">
        <f>ROUNDDOWN(C26*TVA,2)</f>
        <v>812846.41</v>
      </c>
      <c r="F26" s="1034">
        <f>ROUND(D26*TVA,2)</f>
        <v>163359.94</v>
      </c>
      <c r="G26" s="1034">
        <f>C26+E26</f>
        <v>5090985.41</v>
      </c>
      <c r="H26" s="1039">
        <f>D26+F26</f>
        <v>1023149.1100000001</v>
      </c>
    </row>
    <row r="27" spans="1:8">
      <c r="A27" s="916" t="s">
        <v>9</v>
      </c>
      <c r="B27" s="1477" t="s">
        <v>9</v>
      </c>
      <c r="C27" s="1034">
        <f>ROUND('DEVIZ GENERAL'!C28*coef,0)</f>
        <v>0</v>
      </c>
      <c r="D27" s="1034">
        <f>ROUND(C27/euro,2)</f>
        <v>0</v>
      </c>
      <c r="E27" s="1034">
        <f>ROUND(C27*TVA,2)</f>
        <v>0</v>
      </c>
      <c r="F27" s="1034">
        <f>ROUND(D27*TVA,2)</f>
        <v>0</v>
      </c>
      <c r="G27" s="1034">
        <f>'DEVIZ GENERAL'!G28*coef</f>
        <v>0</v>
      </c>
      <c r="H27" s="1039">
        <f>'DEVIZ GENERAL'!H28*coef</f>
        <v>0</v>
      </c>
    </row>
    <row r="28" spans="1:8" hidden="1">
      <c r="A28" s="916" t="s">
        <v>9</v>
      </c>
      <c r="B28" s="1484" t="s">
        <v>9</v>
      </c>
      <c r="C28" s="1034">
        <f>'DEVIZ GENERAL'!C29*coef</f>
        <v>0</v>
      </c>
      <c r="D28" s="1034">
        <f>'DEVIZ GENERAL'!D29*coef</f>
        <v>0</v>
      </c>
      <c r="E28" s="1034">
        <f>'DEVIZ GENERAL'!E29*coef</f>
        <v>0</v>
      </c>
      <c r="F28" s="1038"/>
      <c r="G28" s="1038">
        <f>'DEVIZ GENERAL'!G29*coef</f>
        <v>0</v>
      </c>
      <c r="H28" s="1039">
        <f>'DEVIZ GENERAL'!H29*coef</f>
        <v>0</v>
      </c>
    </row>
    <row r="29" spans="1:8">
      <c r="A29" s="1764" t="s">
        <v>122</v>
      </c>
      <c r="B29" s="1765"/>
      <c r="C29" s="1480">
        <f>C26+C27</f>
        <v>4278139</v>
      </c>
      <c r="D29" s="1480">
        <f t="shared" ref="D29:H29" si="2">D26+D27</f>
        <v>859789.17</v>
      </c>
      <c r="E29" s="1480">
        <f t="shared" si="2"/>
        <v>812846.41</v>
      </c>
      <c r="F29" s="1481">
        <f t="shared" si="2"/>
        <v>163359.94</v>
      </c>
      <c r="G29" s="1481">
        <f t="shared" si="2"/>
        <v>5090985.41</v>
      </c>
      <c r="H29" s="1482">
        <f t="shared" si="2"/>
        <v>1023149.1100000001</v>
      </c>
    </row>
    <row r="30" spans="1:8">
      <c r="A30" s="1766" t="s">
        <v>123</v>
      </c>
      <c r="B30" s="1767"/>
      <c r="C30" s="1767"/>
      <c r="D30" s="1767"/>
      <c r="E30" s="1767"/>
      <c r="F30" s="1768"/>
      <c r="G30" s="1768"/>
      <c r="H30" s="1769"/>
    </row>
    <row r="31" spans="1:8">
      <c r="A31" s="927" t="s">
        <v>42</v>
      </c>
      <c r="B31" s="928" t="s">
        <v>124</v>
      </c>
      <c r="C31" s="1485">
        <f>'DEVIZ GENERAL'!C32*coef</f>
        <v>0</v>
      </c>
      <c r="D31" s="1480">
        <f>'DEVIZ GENERAL'!D32*coef</f>
        <v>0</v>
      </c>
      <c r="E31" s="1485">
        <f>'DEVIZ GENERAL'!E32*coef</f>
        <v>0</v>
      </c>
      <c r="F31" s="1486"/>
      <c r="G31" s="1481">
        <f>'DEVIZ GENERAL'!G32*coef</f>
        <v>0</v>
      </c>
      <c r="H31" s="1482">
        <f>'DEVIZ GENERAL'!H32*coef</f>
        <v>0</v>
      </c>
    </row>
    <row r="32" spans="1:8">
      <c r="A32" s="1793"/>
      <c r="B32" s="928" t="s">
        <v>125</v>
      </c>
      <c r="C32" s="1059">
        <f>'DEVIZ GENERAL'!C33*coef</f>
        <v>0</v>
      </c>
      <c r="D32" s="1034">
        <f>'DEVIZ GENERAL'!D33*coef</f>
        <v>0</v>
      </c>
      <c r="E32" s="1034">
        <f>'DEVIZ GENERAL'!E33*coef</f>
        <v>0</v>
      </c>
      <c r="F32" s="1038"/>
      <c r="G32" s="1038">
        <f>'DEVIZ GENERAL'!G33*coef</f>
        <v>0</v>
      </c>
      <c r="H32" s="1039">
        <f>'DEVIZ GENERAL'!H33*coef</f>
        <v>0</v>
      </c>
    </row>
    <row r="33" spans="1:15">
      <c r="A33" s="1793"/>
      <c r="B33" s="928" t="s">
        <v>126</v>
      </c>
      <c r="C33" s="1059">
        <f>'DEVIZ GENERAL'!C34*coef</f>
        <v>0</v>
      </c>
      <c r="D33" s="1034">
        <f>'DEVIZ GENERAL'!D34*coef</f>
        <v>0</v>
      </c>
      <c r="E33" s="1034">
        <f>'DEVIZ GENERAL'!E34*coef</f>
        <v>0</v>
      </c>
      <c r="F33" s="1038"/>
      <c r="G33" s="1038">
        <f>'DEVIZ GENERAL'!G34*coef</f>
        <v>0</v>
      </c>
      <c r="H33" s="1039">
        <f>'DEVIZ GENERAL'!H34*coef</f>
        <v>0</v>
      </c>
    </row>
    <row r="34" spans="1:15">
      <c r="A34" s="1793"/>
      <c r="B34" s="928" t="s">
        <v>127</v>
      </c>
      <c r="C34" s="1059">
        <f>'DEVIZ GENERAL'!C35*coef</f>
        <v>0</v>
      </c>
      <c r="D34" s="1034">
        <f>'DEVIZ GENERAL'!D35*coef</f>
        <v>0</v>
      </c>
      <c r="E34" s="1059">
        <f>'DEVIZ GENERAL'!E35*coef</f>
        <v>0</v>
      </c>
      <c r="F34" s="1487"/>
      <c r="G34" s="1038">
        <f>'DEVIZ GENERAL'!G35*coef</f>
        <v>0</v>
      </c>
      <c r="H34" s="1039">
        <f>'DEVIZ GENERAL'!H35*coef</f>
        <v>0</v>
      </c>
    </row>
    <row r="35" spans="1:15" ht="25.5">
      <c r="A35" s="1793"/>
      <c r="B35" s="1477" t="s">
        <v>128</v>
      </c>
      <c r="C35" s="1488">
        <f>'DEVIZ GENERAL'!C36*coef</f>
        <v>0</v>
      </c>
      <c r="D35" s="1489">
        <f>'DEVIZ GENERAL'!D36*coef</f>
        <v>0</v>
      </c>
      <c r="E35" s="1489">
        <f>'DEVIZ GENERAL'!E36*coef</f>
        <v>0</v>
      </c>
      <c r="F35" s="1490"/>
      <c r="G35" s="1490">
        <f>'DEVIZ GENERAL'!G36*coef</f>
        <v>0</v>
      </c>
      <c r="H35" s="1491">
        <f>'DEVIZ GENERAL'!H36*coef</f>
        <v>0</v>
      </c>
      <c r="M35" t="s">
        <v>9</v>
      </c>
    </row>
    <row r="36" spans="1:15" ht="25.5">
      <c r="A36" s="1793"/>
      <c r="B36" s="1477" t="s">
        <v>129</v>
      </c>
      <c r="C36" s="1488">
        <f>'DEVIZ GENERAL'!C37*coef</f>
        <v>0</v>
      </c>
      <c r="D36" s="1489">
        <f>'DEVIZ GENERAL'!D37*coef</f>
        <v>0</v>
      </c>
      <c r="E36" s="1489">
        <f>'DEVIZ GENERAL'!E37*coef</f>
        <v>0</v>
      </c>
      <c r="F36" s="1490"/>
      <c r="G36" s="1490">
        <f>'DEVIZ GENERAL'!G37*coef</f>
        <v>0</v>
      </c>
      <c r="H36" s="1491">
        <f>'DEVIZ GENERAL'!H37*coef</f>
        <v>0</v>
      </c>
    </row>
    <row r="37" spans="1:15">
      <c r="A37" s="1793"/>
      <c r="B37" s="1477" t="s">
        <v>130</v>
      </c>
      <c r="C37" s="1488">
        <f>'DEVIZ GENERAL'!C38*coef</f>
        <v>0</v>
      </c>
      <c r="D37" s="1489">
        <f>'DEVIZ GENERAL'!D38*coef</f>
        <v>0</v>
      </c>
      <c r="E37" s="1489">
        <f>'DEVIZ GENERAL'!E38*coef</f>
        <v>0</v>
      </c>
      <c r="F37" s="1490"/>
      <c r="G37" s="1490">
        <f>'DEVIZ GENERAL'!G38*coef</f>
        <v>0</v>
      </c>
      <c r="H37" s="1491">
        <f>'DEVIZ GENERAL'!H38*coef</f>
        <v>0</v>
      </c>
    </row>
    <row r="38" spans="1:15" ht="28.5" customHeight="1">
      <c r="A38" s="927" t="s">
        <v>46</v>
      </c>
      <c r="B38" s="928" t="s">
        <v>131</v>
      </c>
      <c r="C38" s="1480">
        <f>ROUND('DEVIZ GENERAL'!C39*coef,0)</f>
        <v>2003775</v>
      </c>
      <c r="D38" s="1480">
        <f>ROUNDDOWN(C38/euro,2)</f>
        <v>402704.08</v>
      </c>
      <c r="E38" s="1480">
        <f>ROUNDDOWN(C38*TVA,2)</f>
        <v>380717.25</v>
      </c>
      <c r="F38" s="1480">
        <f>ROUND(D38*TVA,2)</f>
        <v>76513.78</v>
      </c>
      <c r="G38" s="1480">
        <f>C38+E38</f>
        <v>2384492.25</v>
      </c>
      <c r="H38" s="1482">
        <f>D38+F38</f>
        <v>479217.86</v>
      </c>
    </row>
    <row r="39" spans="1:15">
      <c r="A39" s="927" t="s">
        <v>132</v>
      </c>
      <c r="B39" s="928" t="s">
        <v>133</v>
      </c>
      <c r="C39" s="1059">
        <f>'DEVIZ GENERAL'!C40*coef</f>
        <v>0</v>
      </c>
      <c r="D39" s="1034">
        <f>'DEVIZ GENERAL'!D40*coef</f>
        <v>0</v>
      </c>
      <c r="E39" s="1034">
        <f>'DEVIZ GENERAL'!E40*coef</f>
        <v>0</v>
      </c>
      <c r="F39" s="1038"/>
      <c r="G39" s="1038">
        <f>'DEVIZ GENERAL'!G40*coef</f>
        <v>0</v>
      </c>
      <c r="H39" s="1039">
        <f>'DEVIZ GENERAL'!H40*coef</f>
        <v>0</v>
      </c>
    </row>
    <row r="40" spans="1:15">
      <c r="A40" s="927" t="s">
        <v>134</v>
      </c>
      <c r="B40" s="928" t="s">
        <v>135</v>
      </c>
      <c r="C40" s="1059">
        <f>'DEVIZ GENERAL'!C41*coef</f>
        <v>0</v>
      </c>
      <c r="D40" s="1034">
        <f>'DEVIZ GENERAL'!D41*coef</f>
        <v>0</v>
      </c>
      <c r="E40" s="1034">
        <f>'DEVIZ GENERAL'!E41*coef</f>
        <v>0</v>
      </c>
      <c r="F40" s="1038"/>
      <c r="G40" s="1038">
        <f>'DEVIZ GENERAL'!G41*coef</f>
        <v>0</v>
      </c>
      <c r="H40" s="1039">
        <f>'DEVIZ GENERAL'!H41*coef</f>
        <v>0</v>
      </c>
    </row>
    <row r="41" spans="1:15">
      <c r="A41" s="927" t="s">
        <v>50</v>
      </c>
      <c r="B41" s="928" t="s">
        <v>136</v>
      </c>
      <c r="C41" s="1492">
        <f t="shared" ref="C41:H41" si="3">C42+C43+C44+C45+C48+C51</f>
        <v>4851945</v>
      </c>
      <c r="D41" s="1492">
        <f t="shared" si="3"/>
        <v>975108.52</v>
      </c>
      <c r="E41" s="1492">
        <f t="shared" si="3"/>
        <v>921869.55</v>
      </c>
      <c r="F41" s="1493">
        <f t="shared" si="3"/>
        <v>185270.62</v>
      </c>
      <c r="G41" s="1481">
        <f t="shared" si="3"/>
        <v>5773814.5499999998</v>
      </c>
      <c r="H41" s="1482">
        <f t="shared" si="3"/>
        <v>1160379.1400000001</v>
      </c>
      <c r="M41" s="1514" t="s">
        <v>9</v>
      </c>
    </row>
    <row r="42" spans="1:15">
      <c r="A42" s="1793"/>
      <c r="B42" s="928" t="s">
        <v>137</v>
      </c>
      <c r="C42" s="1063">
        <f>'DEVIZ GENERAL'!C43*coef</f>
        <v>0</v>
      </c>
      <c r="D42" s="1034">
        <f>'DEVIZ GENERAL'!D43*coef</f>
        <v>0</v>
      </c>
      <c r="E42" s="1064">
        <f>'DEVIZ GENERAL'!E43*coef</f>
        <v>0</v>
      </c>
      <c r="F42" s="1494"/>
      <c r="G42" s="1038">
        <f>'DEVIZ GENERAL'!G43*coef</f>
        <v>0</v>
      </c>
      <c r="H42" s="1039">
        <f>'DEVIZ GENERAL'!H43*coef</f>
        <v>0</v>
      </c>
    </row>
    <row r="43" spans="1:15">
      <c r="A43" s="1793"/>
      <c r="B43" s="928" t="s">
        <v>138</v>
      </c>
      <c r="C43" s="1063">
        <f>'DEVIZ GENERAL'!C44*coef</f>
        <v>0</v>
      </c>
      <c r="D43" s="1034">
        <f>'DEVIZ GENERAL'!D44*coef</f>
        <v>0</v>
      </c>
      <c r="E43" s="1034">
        <f>'DEVIZ GENERAL'!E44*coef</f>
        <v>0</v>
      </c>
      <c r="F43" s="1038"/>
      <c r="G43" s="1038">
        <f>'DEVIZ GENERAL'!G44*coef</f>
        <v>0</v>
      </c>
      <c r="H43" s="1039">
        <f>'DEVIZ GENERAL'!H44*coef</f>
        <v>0</v>
      </c>
      <c r="M43" t="s">
        <v>9</v>
      </c>
    </row>
    <row r="44" spans="1:15">
      <c r="A44" s="1793"/>
      <c r="B44" s="928" t="s">
        <v>139</v>
      </c>
      <c r="C44" s="1063">
        <f>'DEVIZ GENERAL'!C45*coef</f>
        <v>0</v>
      </c>
      <c r="D44" s="1034">
        <f>'DEVIZ GENERAL'!D45*coef</f>
        <v>0</v>
      </c>
      <c r="E44" s="1034">
        <f>'DEVIZ GENERAL'!E45*coef</f>
        <v>0</v>
      </c>
      <c r="F44" s="1038"/>
      <c r="G44" s="1038">
        <f>'DEVIZ GENERAL'!G45*coef</f>
        <v>0</v>
      </c>
      <c r="H44" s="1039">
        <f>'DEVIZ GENERAL'!H45*coef</f>
        <v>0</v>
      </c>
    </row>
    <row r="45" spans="1:15" ht="25.5">
      <c r="A45" s="1793"/>
      <c r="B45" s="928" t="s">
        <v>140</v>
      </c>
      <c r="C45" s="1495">
        <f t="shared" ref="C45:H45" si="4">+C46</f>
        <v>501582</v>
      </c>
      <c r="D45" s="1496">
        <f t="shared" si="4"/>
        <v>100804.29</v>
      </c>
      <c r="E45" s="1495">
        <f t="shared" si="4"/>
        <v>95300.58</v>
      </c>
      <c r="F45" s="1497">
        <f t="shared" si="4"/>
        <v>19152.82</v>
      </c>
      <c r="G45" s="1498">
        <f t="shared" si="4"/>
        <v>596882.57999999996</v>
      </c>
      <c r="H45" s="1499">
        <f t="shared" si="4"/>
        <v>119957.10999999999</v>
      </c>
    </row>
    <row r="46" spans="1:15">
      <c r="A46" s="1793"/>
      <c r="B46" s="1477" t="s">
        <v>141</v>
      </c>
      <c r="C46" s="1034">
        <f>ROUND('DEVIZ GENERAL'!C47*coef,0)</f>
        <v>501582</v>
      </c>
      <c r="D46" s="1034">
        <f>ROUND(C46/euro,2)</f>
        <v>100804.29</v>
      </c>
      <c r="E46" s="1034">
        <f>ROUNDDOWN(C46*TVA,2)</f>
        <v>95300.58</v>
      </c>
      <c r="F46" s="1034">
        <f>ROUND(D46*TVA,2)</f>
        <v>19152.82</v>
      </c>
      <c r="G46" s="1034">
        <f>C46+E46</f>
        <v>596882.57999999996</v>
      </c>
      <c r="H46" s="1491">
        <f>D46+F46</f>
        <v>119957.10999999999</v>
      </c>
      <c r="M46" t="s">
        <v>9</v>
      </c>
      <c r="N46" s="53" t="s">
        <v>9</v>
      </c>
      <c r="O46" s="53"/>
    </row>
    <row r="47" spans="1:15" hidden="1">
      <c r="A47" s="1793"/>
      <c r="B47" s="928"/>
      <c r="C47" s="1063">
        <f>'DEVIZ GENERAL'!C48*coef</f>
        <v>0</v>
      </c>
      <c r="D47" s="1034">
        <f>'DEVIZ GENERAL'!D48*coef</f>
        <v>0</v>
      </c>
      <c r="E47" s="1063">
        <f>'DEVIZ GENERAL'!E48*coef</f>
        <v>0</v>
      </c>
      <c r="F47" s="1500"/>
      <c r="G47" s="1038">
        <f>'DEVIZ GENERAL'!G48*coef</f>
        <v>0</v>
      </c>
      <c r="H47" s="1039">
        <f>'DEVIZ GENERAL'!H48*coef</f>
        <v>0</v>
      </c>
    </row>
    <row r="48" spans="1:15" ht="25.5">
      <c r="A48" s="1793"/>
      <c r="B48" s="928" t="s">
        <v>142</v>
      </c>
      <c r="C48" s="1495">
        <f t="shared" ref="C48:H48" si="5">+C49</f>
        <v>835969</v>
      </c>
      <c r="D48" s="1496">
        <f t="shared" si="5"/>
        <v>168006.95</v>
      </c>
      <c r="E48" s="1495">
        <f t="shared" si="5"/>
        <v>158834.10999999999</v>
      </c>
      <c r="F48" s="1497">
        <f t="shared" si="5"/>
        <v>31921.32</v>
      </c>
      <c r="G48" s="1498">
        <f t="shared" si="5"/>
        <v>994803.11</v>
      </c>
      <c r="H48" s="1499">
        <f t="shared" si="5"/>
        <v>199928.27000000002</v>
      </c>
    </row>
    <row r="49" spans="1:13">
      <c r="A49" s="927"/>
      <c r="B49" s="1477" t="s">
        <v>141</v>
      </c>
      <c r="C49" s="1034">
        <f>ROUND('DEVIZ GENERAL'!C50*coef,0)</f>
        <v>835969</v>
      </c>
      <c r="D49" s="1034">
        <f>ROUND(C49/euro,2)</f>
        <v>168006.95</v>
      </c>
      <c r="E49" s="1034">
        <f>ROUNDDOWN(C49*TVA,2)</f>
        <v>158834.10999999999</v>
      </c>
      <c r="F49" s="1034">
        <f>ROUNDDOWN(D49*TVA,2)</f>
        <v>31921.32</v>
      </c>
      <c r="G49" s="1034">
        <f>C49+E49</f>
        <v>994803.11</v>
      </c>
      <c r="H49" s="1491">
        <f>D49+F49</f>
        <v>199928.27000000002</v>
      </c>
    </row>
    <row r="50" spans="1:13" hidden="1">
      <c r="A50" s="927"/>
      <c r="B50" s="928"/>
      <c r="C50" s="1063">
        <f>'DEVIZ GENERAL'!C51*coef</f>
        <v>0</v>
      </c>
      <c r="D50" s="1034">
        <f>'DEVIZ GENERAL'!D51*coef</f>
        <v>0</v>
      </c>
      <c r="E50" s="1063">
        <f>'DEVIZ GENERAL'!E51*coef</f>
        <v>0</v>
      </c>
      <c r="F50" s="1500"/>
      <c r="G50" s="1038">
        <f>'DEVIZ GENERAL'!G51*coef</f>
        <v>0</v>
      </c>
      <c r="H50" s="1039">
        <f>'DEVIZ GENERAL'!H51*coef</f>
        <v>0</v>
      </c>
    </row>
    <row r="51" spans="1:13">
      <c r="A51" s="927"/>
      <c r="B51" s="928" t="s">
        <v>143</v>
      </c>
      <c r="C51" s="1495">
        <f>C52+C53</f>
        <v>3514394</v>
      </c>
      <c r="D51" s="1480">
        <f t="shared" ref="D51:H51" si="6">D52+D53</f>
        <v>706297.28</v>
      </c>
      <c r="E51" s="1495">
        <f t="shared" si="6"/>
        <v>667734.86</v>
      </c>
      <c r="F51" s="1497">
        <f t="shared" si="6"/>
        <v>134196.48000000001</v>
      </c>
      <c r="G51" s="1481">
        <f t="shared" si="6"/>
        <v>4182128.86</v>
      </c>
      <c r="H51" s="1482">
        <f t="shared" si="6"/>
        <v>840493.76</v>
      </c>
    </row>
    <row r="52" spans="1:13">
      <c r="A52" s="927"/>
      <c r="B52" s="1477" t="s">
        <v>144</v>
      </c>
      <c r="C52" s="1501">
        <f>ROUND('DEVIZ GENERAL'!C53*coef,0)</f>
        <v>0</v>
      </c>
      <c r="D52" s="1489">
        <f>ROUND(C52/euro,2)</f>
        <v>0</v>
      </c>
      <c r="E52" s="1502">
        <f>ROUNDDOWN(C52*TVA,2)</f>
        <v>0</v>
      </c>
      <c r="F52" s="1503">
        <f>ROUND(D52*TVA,2)</f>
        <v>0</v>
      </c>
      <c r="G52" s="1490">
        <f t="shared" ref="G52:G53" si="7">C52+E52</f>
        <v>0</v>
      </c>
      <c r="H52" s="1491">
        <f t="shared" ref="H52:H53" si="8">D52+F52</f>
        <v>0</v>
      </c>
    </row>
    <row r="53" spans="1:13">
      <c r="A53" s="927"/>
      <c r="B53" s="1477" t="s">
        <v>241</v>
      </c>
      <c r="C53" s="1501">
        <f>ROUND('DEVIZ GENERAL'!C54*coef,0)</f>
        <v>3514394</v>
      </c>
      <c r="D53" s="1489">
        <f>ROUND(C53/euro,2)</f>
        <v>706297.28</v>
      </c>
      <c r="E53" s="1502">
        <f>ROUNDDOWN(C53*TVA,2)</f>
        <v>667734.86</v>
      </c>
      <c r="F53" s="1503">
        <f>ROUNDDOWN(D53*TVA,2)</f>
        <v>134196.48000000001</v>
      </c>
      <c r="G53" s="1490">
        <f t="shared" si="7"/>
        <v>4182128.86</v>
      </c>
      <c r="H53" s="1491">
        <f t="shared" si="8"/>
        <v>840493.76</v>
      </c>
    </row>
    <row r="54" spans="1:13" hidden="1">
      <c r="A54" s="927"/>
      <c r="B54" s="928"/>
      <c r="C54" s="1063">
        <f>'DEVIZ GENERAL'!C55*coef</f>
        <v>0</v>
      </c>
      <c r="D54" s="1034">
        <f>'DEVIZ GENERAL'!D55*coef</f>
        <v>0</v>
      </c>
      <c r="E54" s="1064">
        <f>'DEVIZ GENERAL'!E55*coef</f>
        <v>0</v>
      </c>
      <c r="F54" s="1494"/>
      <c r="G54" s="1038">
        <f>'DEVIZ GENERAL'!G55*coef</f>
        <v>0</v>
      </c>
      <c r="H54" s="1039">
        <f>'DEVIZ GENERAL'!H55*coef</f>
        <v>0</v>
      </c>
    </row>
    <row r="55" spans="1:13">
      <c r="A55" s="927" t="s">
        <v>52</v>
      </c>
      <c r="B55" s="1504" t="s">
        <v>145</v>
      </c>
      <c r="C55" s="1496">
        <f>C56+C57</f>
        <v>0</v>
      </c>
      <c r="D55" s="1480">
        <f t="shared" ref="D55:H55" si="9">D56+D57</f>
        <v>0</v>
      </c>
      <c r="E55" s="1496">
        <f t="shared" si="9"/>
        <v>0</v>
      </c>
      <c r="F55" s="1498">
        <f t="shared" si="9"/>
        <v>0</v>
      </c>
      <c r="G55" s="1481">
        <f t="shared" si="9"/>
        <v>0</v>
      </c>
      <c r="H55" s="1482">
        <f t="shared" si="9"/>
        <v>0</v>
      </c>
    </row>
    <row r="56" spans="1:13" ht="25.5">
      <c r="A56" s="927"/>
      <c r="B56" s="1505" t="s">
        <v>146</v>
      </c>
      <c r="C56" s="1502">
        <f>ROUND('DEVIZ GENERAL'!C57*coef,0)</f>
        <v>0</v>
      </c>
      <c r="D56" s="1489">
        <f>ROUND(C56/euro,2)</f>
        <v>0</v>
      </c>
      <c r="E56" s="1502">
        <f>ROUND(C56*TVA,2)</f>
        <v>0</v>
      </c>
      <c r="F56" s="1503">
        <f>ROUND(D56*TVA,2)</f>
        <v>0</v>
      </c>
      <c r="G56" s="1490">
        <f t="shared" ref="G56:G57" si="10">C56+E56</f>
        <v>0</v>
      </c>
      <c r="H56" s="1491">
        <f t="shared" ref="H56:H57" si="11">D56+F56</f>
        <v>0</v>
      </c>
    </row>
    <row r="57" spans="1:13">
      <c r="A57" s="927"/>
      <c r="B57" s="1505" t="s">
        <v>147</v>
      </c>
      <c r="C57" s="1502">
        <f>ROUND('DEVIZ GENERAL'!C58*coef,0)</f>
        <v>0</v>
      </c>
      <c r="D57" s="1489">
        <f>ROUND(C57/euro,2)</f>
        <v>0</v>
      </c>
      <c r="E57" s="1502">
        <f>ROUND(C57*TVA,2)</f>
        <v>0</v>
      </c>
      <c r="F57" s="1503">
        <f>ROUND(D57*TVA,2)</f>
        <v>0</v>
      </c>
      <c r="G57" s="1490">
        <f t="shared" si="10"/>
        <v>0</v>
      </c>
      <c r="H57" s="1491">
        <f t="shared" si="11"/>
        <v>0</v>
      </c>
      <c r="M57" t="s">
        <v>9</v>
      </c>
    </row>
    <row r="58" spans="1:13">
      <c r="A58" s="927" t="s">
        <v>54</v>
      </c>
      <c r="B58" s="928" t="s">
        <v>148</v>
      </c>
      <c r="C58" s="1480">
        <f>C59+C60</f>
        <v>4372982</v>
      </c>
      <c r="D58" s="1480">
        <f t="shared" ref="D58:H58" si="12">D59+D60</f>
        <v>878850.04999999993</v>
      </c>
      <c r="E58" s="1480">
        <f t="shared" si="12"/>
        <v>830866.58</v>
      </c>
      <c r="F58" s="1481">
        <f t="shared" si="12"/>
        <v>166981.51</v>
      </c>
      <c r="G58" s="1481">
        <f t="shared" si="12"/>
        <v>5203848.58</v>
      </c>
      <c r="H58" s="1482">
        <f t="shared" si="12"/>
        <v>1045831.56</v>
      </c>
      <c r="M58" s="1514" t="s">
        <v>9</v>
      </c>
    </row>
    <row r="59" spans="1:13" ht="25.5">
      <c r="A59" s="927"/>
      <c r="B59" s="928" t="s">
        <v>149</v>
      </c>
      <c r="C59" s="1063">
        <f>ROUND('DEVIZ GENERAL'!C60*coef,0)</f>
        <v>3874794</v>
      </c>
      <c r="D59" s="1034">
        <f>ROUNDUP(C59/euro,2)</f>
        <v>778727.85</v>
      </c>
      <c r="E59" s="1506">
        <f>ROUNDDOWN(C59*TVA,2)</f>
        <v>736210.86</v>
      </c>
      <c r="F59" s="1507">
        <f>ROUNDDOWN(D59*TVA,2)</f>
        <v>147958.29</v>
      </c>
      <c r="G59" s="1038">
        <f t="shared" ref="G59:G60" si="13">C59+E59</f>
        <v>4611004.8600000003</v>
      </c>
      <c r="H59" s="1039">
        <f t="shared" ref="H59:H60" si="14">D59+F59</f>
        <v>926686.14</v>
      </c>
      <c r="M59" s="1515"/>
    </row>
    <row r="60" spans="1:13">
      <c r="A60" s="927"/>
      <c r="B60" s="928" t="s">
        <v>150</v>
      </c>
      <c r="C60" s="1034">
        <f>ROUND('DEVIZ GENERAL'!C61*coef,0)</f>
        <v>498188</v>
      </c>
      <c r="D60" s="1034">
        <f>ROUNDUP(C60/euro,2)</f>
        <v>100122.2</v>
      </c>
      <c r="E60" s="1034">
        <f>ROUNDDOWN(C60*TVA,2)</f>
        <v>94655.72</v>
      </c>
      <c r="F60" s="1038">
        <f>ROUND(D60*TVA,2)</f>
        <v>19023.22</v>
      </c>
      <c r="G60" s="1038">
        <f t="shared" si="13"/>
        <v>592843.72</v>
      </c>
      <c r="H60" s="1039">
        <f t="shared" si="14"/>
        <v>119145.42</v>
      </c>
      <c r="M60" s="1515"/>
    </row>
    <row r="61" spans="1:13">
      <c r="A61" s="927" t="s">
        <v>151</v>
      </c>
      <c r="B61" s="928" t="s">
        <v>152</v>
      </c>
      <c r="C61" s="1480">
        <f>C62+C69</f>
        <v>11121006</v>
      </c>
      <c r="D61" s="1480">
        <f>D62+D69</f>
        <v>2235018.71</v>
      </c>
      <c r="E61" s="1480">
        <f t="shared" ref="E61:H61" si="15">E62+E69</f>
        <v>2112991.14</v>
      </c>
      <c r="F61" s="1481">
        <f t="shared" si="15"/>
        <v>424653.56</v>
      </c>
      <c r="G61" s="1481">
        <f t="shared" si="15"/>
        <v>13233997.139999999</v>
      </c>
      <c r="H61" s="1482">
        <f t="shared" si="15"/>
        <v>2659672.27</v>
      </c>
      <c r="M61" s="1514" t="s">
        <v>9</v>
      </c>
    </row>
    <row r="62" spans="1:13">
      <c r="A62" s="927"/>
      <c r="B62" s="928" t="s">
        <v>153</v>
      </c>
      <c r="C62" s="1034">
        <f>C63+C66</f>
        <v>69748</v>
      </c>
      <c r="D62" s="1034">
        <f t="shared" ref="D62:H62" si="16">D63+D66</f>
        <v>14017.460000000001</v>
      </c>
      <c r="E62" s="1034">
        <f t="shared" si="16"/>
        <v>13252.12</v>
      </c>
      <c r="F62" s="1038">
        <f t="shared" si="16"/>
        <v>2663.32</v>
      </c>
      <c r="G62" s="1038">
        <f t="shared" si="16"/>
        <v>83000.12</v>
      </c>
      <c r="H62" s="1039">
        <f t="shared" si="16"/>
        <v>16680.780000000002</v>
      </c>
      <c r="M62" s="1515"/>
    </row>
    <row r="63" spans="1:13">
      <c r="A63" s="927"/>
      <c r="B63" s="1477" t="s">
        <v>154</v>
      </c>
      <c r="C63" s="1502">
        <f>C64+C65</f>
        <v>34874</v>
      </c>
      <c r="D63" s="1502">
        <f t="shared" ref="D63:H63" si="17">D64+D65</f>
        <v>7008.7300000000005</v>
      </c>
      <c r="E63" s="1502">
        <f t="shared" si="17"/>
        <v>6626.06</v>
      </c>
      <c r="F63" s="1503">
        <f t="shared" si="17"/>
        <v>1331.66</v>
      </c>
      <c r="G63" s="1503">
        <f t="shared" si="17"/>
        <v>41500.06</v>
      </c>
      <c r="H63" s="1508">
        <f t="shared" si="17"/>
        <v>8340.3900000000012</v>
      </c>
      <c r="M63" s="1515"/>
    </row>
    <row r="64" spans="1:13">
      <c r="A64" s="927"/>
      <c r="B64" s="1477" t="s">
        <v>112</v>
      </c>
      <c r="C64" s="1502">
        <f>ROUND('DEVIZ GENERAL'!C65*coef,0)</f>
        <v>34874</v>
      </c>
      <c r="D64" s="1502">
        <f>ROUNDUP(C64/euro,2)</f>
        <v>7008.7300000000005</v>
      </c>
      <c r="E64" s="1502">
        <f>ROUNDDOWN(C64*TVA,2)</f>
        <v>6626.06</v>
      </c>
      <c r="F64" s="1503">
        <f>ROUND(D64*TVA,2)</f>
        <v>1331.66</v>
      </c>
      <c r="G64" s="1503">
        <f t="shared" ref="G64:G65" si="18">C64+E64</f>
        <v>41500.06</v>
      </c>
      <c r="H64" s="1508">
        <f t="shared" ref="H64:H65" si="19">D64+F64</f>
        <v>8340.3900000000012</v>
      </c>
      <c r="M64" s="1515"/>
    </row>
    <row r="65" spans="1:13">
      <c r="A65" s="927"/>
      <c r="B65" s="1477" t="s">
        <v>9</v>
      </c>
      <c r="C65" s="1502">
        <f>ROUND('DEVIZ GENERAL'!C66*coef,0)</f>
        <v>0</v>
      </c>
      <c r="D65" s="1502">
        <f>ROUND(C65/euro,2)</f>
        <v>0</v>
      </c>
      <c r="E65" s="1502">
        <f>ROUND(C65*TVA,2)</f>
        <v>0</v>
      </c>
      <c r="F65" s="1503">
        <f>ROUND(D65*TVA,2)</f>
        <v>0</v>
      </c>
      <c r="G65" s="1503">
        <f t="shared" si="18"/>
        <v>0</v>
      </c>
      <c r="H65" s="1508">
        <f t="shared" si="19"/>
        <v>0</v>
      </c>
      <c r="M65" s="1515"/>
    </row>
    <row r="66" spans="1:13" ht="38.25">
      <c r="A66" s="927"/>
      <c r="B66" s="1477" t="s">
        <v>155</v>
      </c>
      <c r="C66" s="1502">
        <f>C67+C68</f>
        <v>34874</v>
      </c>
      <c r="D66" s="1502">
        <f t="shared" ref="D66:H66" si="20">D67+D68</f>
        <v>7008.7300000000005</v>
      </c>
      <c r="E66" s="1502">
        <f t="shared" si="20"/>
        <v>6626.06</v>
      </c>
      <c r="F66" s="1503">
        <f t="shared" si="20"/>
        <v>1331.66</v>
      </c>
      <c r="G66" s="1503">
        <f t="shared" si="20"/>
        <v>41500.06</v>
      </c>
      <c r="H66" s="1508">
        <f t="shared" si="20"/>
        <v>8340.3900000000012</v>
      </c>
      <c r="M66" s="53" t="s">
        <v>9</v>
      </c>
    </row>
    <row r="67" spans="1:13">
      <c r="A67" s="927"/>
      <c r="B67" s="1477" t="s">
        <v>112</v>
      </c>
      <c r="C67" s="1502">
        <f>ROUND('DEVIZ GENERAL'!C68*coef,0)</f>
        <v>34874</v>
      </c>
      <c r="D67" s="1502">
        <f>ROUNDUP(C67/euro,2)</f>
        <v>7008.7300000000005</v>
      </c>
      <c r="E67" s="1502">
        <f>ROUNDDOWN(C67*TVA,2)</f>
        <v>6626.06</v>
      </c>
      <c r="F67" s="1503">
        <f>ROUND(D67*TVA,2)</f>
        <v>1331.66</v>
      </c>
      <c r="G67" s="1503">
        <f t="shared" ref="G67:G68" si="21">C67+E67</f>
        <v>41500.06</v>
      </c>
      <c r="H67" s="1508">
        <f t="shared" ref="H67:H68" si="22">D67+F67</f>
        <v>8340.3900000000012</v>
      </c>
      <c r="M67" s="53"/>
    </row>
    <row r="68" spans="1:13">
      <c r="A68" s="927"/>
      <c r="B68" s="1477" t="s">
        <v>9</v>
      </c>
      <c r="C68" s="1502">
        <f>ROUND('DEVIZ GENERAL'!C69*coef,0)</f>
        <v>0</v>
      </c>
      <c r="D68" s="1502">
        <f>ROUND(C68/euro,2)</f>
        <v>0</v>
      </c>
      <c r="E68" s="1502">
        <f>ROUND(C68*TVA,2)</f>
        <v>0</v>
      </c>
      <c r="F68" s="1503">
        <f>ROUND(D68*TVA,2)</f>
        <v>0</v>
      </c>
      <c r="G68" s="1503">
        <f t="shared" si="21"/>
        <v>0</v>
      </c>
      <c r="H68" s="1508">
        <f t="shared" si="22"/>
        <v>0</v>
      </c>
      <c r="M68" s="53"/>
    </row>
    <row r="69" spans="1:13">
      <c r="A69" s="927"/>
      <c r="B69" s="928" t="s">
        <v>242</v>
      </c>
      <c r="C69" s="1496">
        <f>C70+C71</f>
        <v>11051258</v>
      </c>
      <c r="D69" s="1480">
        <f t="shared" ref="D69:H69" si="23">D70+D71</f>
        <v>2221001.25</v>
      </c>
      <c r="E69" s="1496">
        <f t="shared" si="23"/>
        <v>2099739.02</v>
      </c>
      <c r="F69" s="1498">
        <f t="shared" si="23"/>
        <v>421990.24</v>
      </c>
      <c r="G69" s="1481">
        <f t="shared" si="23"/>
        <v>13150997.02</v>
      </c>
      <c r="H69" s="1482">
        <f t="shared" si="23"/>
        <v>2642991.4900000002</v>
      </c>
      <c r="M69" s="53" t="s">
        <v>9</v>
      </c>
    </row>
    <row r="70" spans="1:13">
      <c r="A70" s="927"/>
      <c r="B70" s="1477" t="s">
        <v>112</v>
      </c>
      <c r="C70" s="1506">
        <f>ROUND('DEVIZ GENERAL'!C71*coef,0)</f>
        <v>11051258</v>
      </c>
      <c r="D70" s="1034">
        <f>ROUNDUP(C70/euro,2)</f>
        <v>2221001.25</v>
      </c>
      <c r="E70" s="1506">
        <f>ROUNDDOWN(C70*TVA,2)</f>
        <v>2099739.02</v>
      </c>
      <c r="F70" s="1507">
        <f>ROUND(D70*TVA,2)</f>
        <v>421990.24</v>
      </c>
      <c r="G70" s="1038">
        <f t="shared" ref="G70:G71" si="24">C70+E70</f>
        <v>13150997.02</v>
      </c>
      <c r="H70" s="1039">
        <f t="shared" ref="H70:H71" si="25">D70+F70</f>
        <v>2642991.4900000002</v>
      </c>
      <c r="M70" s="53"/>
    </row>
    <row r="71" spans="1:13">
      <c r="A71" s="927"/>
      <c r="B71" s="1477" t="s">
        <v>9</v>
      </c>
      <c r="C71" s="1506">
        <f>ROUND('DEVIZ GENERAL'!C75*coef,0)</f>
        <v>0</v>
      </c>
      <c r="D71" s="1034">
        <f>ROUND(C71/euro,2)</f>
        <v>0</v>
      </c>
      <c r="E71" s="1506">
        <f>ROUND(C71*TVA,2)</f>
        <v>0</v>
      </c>
      <c r="F71" s="1507">
        <f>ROUND(D71*TVA,2)</f>
        <v>0</v>
      </c>
      <c r="G71" s="1038">
        <f t="shared" si="24"/>
        <v>0</v>
      </c>
      <c r="H71" s="1039">
        <f t="shared" si="25"/>
        <v>0</v>
      </c>
      <c r="M71" s="53"/>
    </row>
    <row r="72" spans="1:13">
      <c r="A72" s="1764" t="s">
        <v>159</v>
      </c>
      <c r="B72" s="1765"/>
      <c r="C72" s="1516">
        <f t="shared" ref="C72:H72" si="26">C61+C58+C55+C41+C40+C39+C38+C31</f>
        <v>22349708</v>
      </c>
      <c r="D72" s="1516">
        <f t="shared" si="26"/>
        <v>4491681.3599999994</v>
      </c>
      <c r="E72" s="1516">
        <f t="shared" si="26"/>
        <v>4246444.5200000005</v>
      </c>
      <c r="F72" s="1517">
        <f t="shared" si="26"/>
        <v>853419.47000000009</v>
      </c>
      <c r="G72" s="1481">
        <f t="shared" si="26"/>
        <v>26596152.52</v>
      </c>
      <c r="H72" s="1482">
        <f t="shared" si="26"/>
        <v>5345100.830000001</v>
      </c>
      <c r="I72" s="900" t="s">
        <v>9</v>
      </c>
      <c r="M72" s="269" t="s">
        <v>9</v>
      </c>
    </row>
    <row r="73" spans="1:13">
      <c r="A73" s="1766" t="s">
        <v>160</v>
      </c>
      <c r="B73" s="1767"/>
      <c r="C73" s="1767"/>
      <c r="D73" s="1767"/>
      <c r="E73" s="1767"/>
      <c r="F73" s="1768"/>
      <c r="G73" s="1768"/>
      <c r="H73" s="1769"/>
    </row>
    <row r="74" spans="1:13">
      <c r="A74" s="1760" t="s">
        <v>161</v>
      </c>
      <c r="B74" s="1761"/>
      <c r="C74" s="1761"/>
      <c r="D74" s="1761"/>
      <c r="E74" s="1761"/>
      <c r="F74" s="1762"/>
      <c r="G74" s="1762"/>
      <c r="H74" s="1763"/>
    </row>
    <row r="75" spans="1:13">
      <c r="A75" s="1057" t="s">
        <v>162</v>
      </c>
      <c r="B75" s="1477" t="s">
        <v>112</v>
      </c>
      <c r="C75" s="1059">
        <f>ROUND('DEVIZ GENERAL'!C79*coef,0)</f>
        <v>130306672</v>
      </c>
      <c r="D75" s="1506">
        <f>ROUND(C75/euro,2)</f>
        <v>26188084.73</v>
      </c>
      <c r="E75" s="1034">
        <f>ROUNDDOWN(C75*TVA,2)</f>
        <v>24758267.68</v>
      </c>
      <c r="F75" s="1038">
        <f>ROUND(D75*TVA,2)</f>
        <v>4975736.0999999996</v>
      </c>
      <c r="G75" s="1038">
        <f t="shared" ref="G75:G76" si="27">C75+E75</f>
        <v>155064939.68000001</v>
      </c>
      <c r="H75" s="1039">
        <f t="shared" ref="H75:H76" si="28">D75+F75</f>
        <v>31163820.829999998</v>
      </c>
    </row>
    <row r="76" spans="1:13">
      <c r="A76" s="1057" t="s">
        <v>9</v>
      </c>
      <c r="B76" s="1477" t="s">
        <v>9</v>
      </c>
      <c r="C76" s="1063">
        <f>ROUND('DEVIZ GENERAL'!C80*coef,0)</f>
        <v>0</v>
      </c>
      <c r="D76" s="1506">
        <f>ROUND(C76/euro,2)</f>
        <v>0</v>
      </c>
      <c r="E76" s="1034">
        <f>ROUND(C76*TVA,2)</f>
        <v>0</v>
      </c>
      <c r="F76" s="1038">
        <f>ROUND(D76*TVA,2)</f>
        <v>0</v>
      </c>
      <c r="G76" s="1038">
        <f t="shared" si="27"/>
        <v>0</v>
      </c>
      <c r="H76" s="1039">
        <f t="shared" si="28"/>
        <v>0</v>
      </c>
    </row>
    <row r="77" spans="1:13">
      <c r="A77" s="1062" t="s">
        <v>9</v>
      </c>
      <c r="B77" s="1065" t="s">
        <v>9</v>
      </c>
      <c r="C77" s="1063" t="s">
        <v>9</v>
      </c>
      <c r="D77" s="1063"/>
      <c r="E77" s="1064" t="s">
        <v>9</v>
      </c>
      <c r="F77" s="1494"/>
      <c r="G77" s="1494"/>
      <c r="H77" s="1518" t="s">
        <v>9</v>
      </c>
      <c r="I77" s="1100"/>
      <c r="J77" s="53"/>
    </row>
    <row r="78" spans="1:13">
      <c r="A78" s="1777" t="s">
        <v>163</v>
      </c>
      <c r="B78" s="1778"/>
      <c r="C78" s="1516">
        <f>C75+C76</f>
        <v>130306672</v>
      </c>
      <c r="D78" s="1496">
        <f t="shared" ref="D78:H78" si="29">D75+D76</f>
        <v>26188084.73</v>
      </c>
      <c r="E78" s="1516">
        <f t="shared" si="29"/>
        <v>24758267.68</v>
      </c>
      <c r="F78" s="1517">
        <f t="shared" si="29"/>
        <v>4975736.0999999996</v>
      </c>
      <c r="G78" s="1481">
        <f t="shared" si="29"/>
        <v>155064939.68000001</v>
      </c>
      <c r="H78" s="1482">
        <f t="shared" si="29"/>
        <v>31163820.829999998</v>
      </c>
      <c r="I78" s="1101"/>
      <c r="J78" s="53"/>
    </row>
    <row r="79" spans="1:13">
      <c r="A79" s="1760" t="s">
        <v>164</v>
      </c>
      <c r="B79" s="1761"/>
      <c r="C79" s="1761"/>
      <c r="D79" s="1761"/>
      <c r="E79" s="1761"/>
      <c r="F79" s="1762"/>
      <c r="G79" s="1762"/>
      <c r="H79" s="1763"/>
    </row>
    <row r="80" spans="1:13">
      <c r="A80" s="1057" t="s">
        <v>165</v>
      </c>
      <c r="B80" s="1477" t="s">
        <v>112</v>
      </c>
      <c r="C80" s="1063">
        <f>ROUND('DEVIZ GENERAL'!C84*coef,0)</f>
        <v>21201313</v>
      </c>
      <c r="D80" s="1506">
        <f>ROUND(C80/euro,2)</f>
        <v>4260885.28</v>
      </c>
      <c r="E80" s="1034">
        <f>ROUNDDOWN(C80*TVA,2)</f>
        <v>4028249.47</v>
      </c>
      <c r="F80" s="1038">
        <f>ROUND(D80*TVA,2)</f>
        <v>809568.2</v>
      </c>
      <c r="G80" s="1038">
        <f t="shared" ref="G80:G81" si="30">C80+E80</f>
        <v>25229562.469999999</v>
      </c>
      <c r="H80" s="1039">
        <f t="shared" ref="H80:H81" si="31">D80+F80</f>
        <v>5070453.4800000004</v>
      </c>
    </row>
    <row r="81" spans="1:9">
      <c r="A81" s="1057" t="s">
        <v>9</v>
      </c>
      <c r="B81" s="1477" t="s">
        <v>9</v>
      </c>
      <c r="C81" s="1063">
        <f>ROUND('DEVIZ GENERAL'!C85*coef,0)</f>
        <v>0</v>
      </c>
      <c r="D81" s="1506">
        <f>ROUND(C81/euro,2)</f>
        <v>0</v>
      </c>
      <c r="E81" s="1034">
        <f>ROUND(C81*TVA,2)</f>
        <v>0</v>
      </c>
      <c r="F81" s="1038">
        <f>ROUND(D81*TVA,2)</f>
        <v>0</v>
      </c>
      <c r="G81" s="1038">
        <f t="shared" si="30"/>
        <v>0</v>
      </c>
      <c r="H81" s="1039">
        <f t="shared" si="31"/>
        <v>0</v>
      </c>
    </row>
    <row r="82" spans="1:9">
      <c r="A82" s="1062" t="s">
        <v>9</v>
      </c>
      <c r="B82" s="1521" t="s">
        <v>9</v>
      </c>
      <c r="C82" s="1063" t="s">
        <v>9</v>
      </c>
      <c r="D82" s="1063"/>
      <c r="E82" s="1064" t="s">
        <v>9</v>
      </c>
      <c r="F82" s="1494"/>
      <c r="G82" s="1494"/>
      <c r="H82" s="1518" t="s">
        <v>9</v>
      </c>
    </row>
    <row r="83" spans="1:9" ht="12.95" customHeight="1">
      <c r="A83" s="1777" t="s">
        <v>166</v>
      </c>
      <c r="B83" s="1778"/>
      <c r="C83" s="1522">
        <f>C80+C81</f>
        <v>21201313</v>
      </c>
      <c r="D83" s="1496">
        <f t="shared" ref="D83:H83" si="32">D80+D81</f>
        <v>4260885.28</v>
      </c>
      <c r="E83" s="1522">
        <f t="shared" si="32"/>
        <v>4028249.47</v>
      </c>
      <c r="F83" s="1523">
        <f t="shared" si="32"/>
        <v>809568.2</v>
      </c>
      <c r="G83" s="1481">
        <f t="shared" si="32"/>
        <v>25229562.469999999</v>
      </c>
      <c r="H83" s="1482">
        <f t="shared" si="32"/>
        <v>5070453.4800000004</v>
      </c>
    </row>
    <row r="84" spans="1:9">
      <c r="A84" s="1760" t="s">
        <v>167</v>
      </c>
      <c r="B84" s="1761"/>
      <c r="C84" s="1761"/>
      <c r="D84" s="1761"/>
      <c r="E84" s="1761"/>
      <c r="F84" s="1762"/>
      <c r="G84" s="1762"/>
      <c r="H84" s="1763"/>
    </row>
    <row r="85" spans="1:9">
      <c r="A85" s="1057" t="s">
        <v>168</v>
      </c>
      <c r="B85" s="1477" t="s">
        <v>112</v>
      </c>
      <c r="C85" s="1063">
        <f>ROUND('DEVIZ GENERAL'!C89*coef,0)</f>
        <v>187522501</v>
      </c>
      <c r="D85" s="1506">
        <f>ROUND(C85/euro,2)</f>
        <v>37686904.82</v>
      </c>
      <c r="E85" s="1034">
        <f>ROUNDDOWN(C85*TVA,2)</f>
        <v>35629275.189999998</v>
      </c>
      <c r="F85" s="1038">
        <f>ROUND(D85*TVA,2)</f>
        <v>7160511.9199999999</v>
      </c>
      <c r="G85" s="1038">
        <f t="shared" ref="G85:G86" si="33">C85+E85</f>
        <v>223151776.19</v>
      </c>
      <c r="H85" s="1039">
        <f t="shared" ref="H85:H86" si="34">D85+F85</f>
        <v>44847416.740000002</v>
      </c>
    </row>
    <row r="86" spans="1:9">
      <c r="A86" s="1057" t="s">
        <v>9</v>
      </c>
      <c r="B86" s="1477" t="s">
        <v>9</v>
      </c>
      <c r="C86" s="1063">
        <f>ROUND('DEVIZ GENERAL'!C90*coef,0)</f>
        <v>0</v>
      </c>
      <c r="D86" s="1506">
        <f>ROUND(C86/euro,2)</f>
        <v>0</v>
      </c>
      <c r="E86" s="1034">
        <f>ROUND(C86*TVA,2)</f>
        <v>0</v>
      </c>
      <c r="F86" s="1038">
        <f>ROUND(D86*TVA,2)</f>
        <v>0</v>
      </c>
      <c r="G86" s="1038">
        <f t="shared" si="33"/>
        <v>0</v>
      </c>
      <c r="H86" s="1039">
        <f t="shared" si="34"/>
        <v>0</v>
      </c>
    </row>
    <row r="87" spans="1:9">
      <c r="A87" s="1062" t="s">
        <v>9</v>
      </c>
      <c r="B87" s="1524" t="s">
        <v>9</v>
      </c>
      <c r="C87" s="1063" t="s">
        <v>9</v>
      </c>
      <c r="D87" s="1063"/>
      <c r="E87" s="1525" t="s">
        <v>9</v>
      </c>
      <c r="F87" s="1526"/>
      <c r="G87" s="1526"/>
      <c r="H87" s="1518" t="s">
        <v>9</v>
      </c>
    </row>
    <row r="88" spans="1:9" ht="12.95" customHeight="1">
      <c r="A88" s="1777" t="s">
        <v>169</v>
      </c>
      <c r="B88" s="1778"/>
      <c r="C88" s="1522">
        <f>C85+C86</f>
        <v>187522501</v>
      </c>
      <c r="D88" s="1496">
        <f t="shared" ref="D88:H88" si="35">D85+D86</f>
        <v>37686904.82</v>
      </c>
      <c r="E88" s="1522">
        <f t="shared" si="35"/>
        <v>35629275.189999998</v>
      </c>
      <c r="F88" s="1523">
        <f t="shared" si="35"/>
        <v>7160511.9199999999</v>
      </c>
      <c r="G88" s="1481">
        <f t="shared" si="35"/>
        <v>223151776.19</v>
      </c>
      <c r="H88" s="1482">
        <f t="shared" si="35"/>
        <v>44847416.740000002</v>
      </c>
    </row>
    <row r="89" spans="1:9" ht="12.95" customHeight="1">
      <c r="A89" s="1519"/>
      <c r="B89" s="1520"/>
      <c r="C89" s="54"/>
      <c r="D89" s="54"/>
      <c r="E89" s="54"/>
      <c r="F89" s="1527"/>
      <c r="G89" s="1527"/>
      <c r="H89" s="69"/>
    </row>
    <row r="90" spans="1:9" ht="12.75" customHeight="1">
      <c r="A90" s="1773" t="s">
        <v>170</v>
      </c>
      <c r="B90" s="1774"/>
      <c r="C90" s="1774"/>
      <c r="D90" s="1774"/>
      <c r="E90" s="1774"/>
      <c r="F90" s="1775"/>
      <c r="G90" s="1775"/>
      <c r="H90" s="1776"/>
    </row>
    <row r="91" spans="1:9" ht="12.95" customHeight="1">
      <c r="A91" s="1057" t="s">
        <v>171</v>
      </c>
      <c r="B91" s="1477" t="s">
        <v>112</v>
      </c>
      <c r="C91" s="1525">
        <f>ROUND('DEVIZ GENERAL'!C95*coef,0)</f>
        <v>13658932</v>
      </c>
      <c r="D91" s="1506">
        <f>ROUND(C91/euro,2)</f>
        <v>2745072.55</v>
      </c>
      <c r="E91" s="1034">
        <f>ROUNDDOWN(C91*TVA,2)</f>
        <v>2595197.08</v>
      </c>
      <c r="F91" s="1038">
        <f t="shared" ref="E91:F93" si="36">ROUND(D91*TVA,2)</f>
        <v>521563.78</v>
      </c>
      <c r="G91" s="1038">
        <f t="shared" ref="G91:G94" si="37">C91+E91</f>
        <v>16254129.08</v>
      </c>
      <c r="H91" s="1039">
        <f t="shared" ref="H91:H93" si="38">D91+F91</f>
        <v>3266636.33</v>
      </c>
    </row>
    <row r="92" spans="1:9" ht="12.95" customHeight="1">
      <c r="A92" s="1057" t="s">
        <v>9</v>
      </c>
      <c r="B92" s="1477" t="s">
        <v>9</v>
      </c>
      <c r="C92" s="1063">
        <f>ROUND('DEVIZ GENERAL'!C96*coef,0)</f>
        <v>0</v>
      </c>
      <c r="D92" s="1506">
        <f>ROUND(C92/euro,2)</f>
        <v>0</v>
      </c>
      <c r="E92" s="1034">
        <f t="shared" si="36"/>
        <v>0</v>
      </c>
      <c r="F92" s="1038">
        <f t="shared" si="36"/>
        <v>0</v>
      </c>
      <c r="G92" s="1038">
        <f t="shared" si="37"/>
        <v>0</v>
      </c>
      <c r="H92" s="1039">
        <f t="shared" si="38"/>
        <v>0</v>
      </c>
    </row>
    <row r="93" spans="1:9" ht="12.95" customHeight="1">
      <c r="A93" s="1062" t="s">
        <v>172</v>
      </c>
      <c r="B93" s="1065" t="s">
        <v>173</v>
      </c>
      <c r="C93" s="1063">
        <f>ROUND('DEVIZ GENERAL'!C97,0)</f>
        <v>0</v>
      </c>
      <c r="D93" s="1506">
        <f>ROUND(C93/euro,2)</f>
        <v>0</v>
      </c>
      <c r="E93" s="1034">
        <f>ROUNDDOWN(C93*TVA,2)</f>
        <v>0</v>
      </c>
      <c r="F93" s="1038">
        <f t="shared" si="36"/>
        <v>0</v>
      </c>
      <c r="G93" s="1038">
        <f t="shared" si="37"/>
        <v>0</v>
      </c>
      <c r="H93" s="1039">
        <f t="shared" si="38"/>
        <v>0</v>
      </c>
      <c r="I93" t="s">
        <v>9</v>
      </c>
    </row>
    <row r="94" spans="1:9" ht="36" hidden="1" customHeight="1">
      <c r="A94" s="1062" t="s">
        <v>9</v>
      </c>
      <c r="B94" s="1528" t="s">
        <v>9</v>
      </c>
      <c r="C94" s="1529" t="s">
        <v>9</v>
      </c>
      <c r="D94" s="1506" t="e">
        <f>C94/euro</f>
        <v>#VALUE!</v>
      </c>
      <c r="E94" s="1530" t="s">
        <v>9</v>
      </c>
      <c r="F94" s="1531"/>
      <c r="G94" s="1038" t="e">
        <f t="shared" si="37"/>
        <v>#VALUE!</v>
      </c>
      <c r="H94" s="1039" t="e">
        <f>D94+#REF!</f>
        <v>#VALUE!</v>
      </c>
    </row>
    <row r="95" spans="1:9" ht="16.350000000000001" customHeight="1">
      <c r="A95" s="1062" t="s">
        <v>9</v>
      </c>
      <c r="B95" s="1065" t="s">
        <v>9</v>
      </c>
      <c r="C95" s="1529"/>
      <c r="D95" s="1506"/>
      <c r="E95" s="1530"/>
      <c r="F95" s="1531"/>
      <c r="G95" s="1038"/>
      <c r="H95" s="1039"/>
    </row>
    <row r="96" spans="1:9" ht="12.95" customHeight="1">
      <c r="A96" s="1777" t="s">
        <v>174</v>
      </c>
      <c r="B96" s="1778"/>
      <c r="C96" s="1522">
        <f>C91+C92+C93</f>
        <v>13658932</v>
      </c>
      <c r="D96" s="1496">
        <f t="shared" ref="D96:H96" si="39">D91+D92+D93</f>
        <v>2745072.55</v>
      </c>
      <c r="E96" s="1522">
        <f t="shared" si="39"/>
        <v>2595197.08</v>
      </c>
      <c r="F96" s="1523">
        <f t="shared" si="39"/>
        <v>521563.78</v>
      </c>
      <c r="G96" s="1481">
        <f t="shared" si="39"/>
        <v>16254129.08</v>
      </c>
      <c r="H96" s="1482">
        <f t="shared" si="39"/>
        <v>3266636.33</v>
      </c>
    </row>
    <row r="97" spans="1:16">
      <c r="A97" s="1773" t="s">
        <v>175</v>
      </c>
      <c r="B97" s="1774"/>
      <c r="C97" s="1774"/>
      <c r="D97" s="1774"/>
      <c r="E97" s="1774"/>
      <c r="F97" s="1775"/>
      <c r="G97" s="1775"/>
      <c r="H97" s="1776"/>
    </row>
    <row r="98" spans="1:16">
      <c r="A98" s="1057" t="s">
        <v>176</v>
      </c>
      <c r="B98" s="1477" t="s">
        <v>112</v>
      </c>
      <c r="C98" s="1063">
        <f>ROUND('DEVIZ GENERAL'!C102*coef,0)</f>
        <v>77784</v>
      </c>
      <c r="D98" s="1506">
        <f>ROUND(C98/euro,2)</f>
        <v>15632.46</v>
      </c>
      <c r="E98" s="1034">
        <f>ROUNDDOWN(C98*TVA,2)</f>
        <v>14778.96</v>
      </c>
      <c r="F98" s="1038">
        <f t="shared" ref="E98:F101" si="40">ROUND(D98*TVA,2)</f>
        <v>2970.17</v>
      </c>
      <c r="G98" s="1038">
        <f t="shared" ref="G98:G101" si="41">C98+E98</f>
        <v>92562.959999999992</v>
      </c>
      <c r="H98" s="1039">
        <f t="shared" ref="H98:H101" si="42">D98+F98</f>
        <v>18602.629999999997</v>
      </c>
    </row>
    <row r="99" spans="1:16">
      <c r="A99" s="1057" t="s">
        <v>9</v>
      </c>
      <c r="B99" s="1477" t="s">
        <v>9</v>
      </c>
      <c r="C99" s="1063">
        <f>ROUND('DEVIZ GENERAL'!C103*coef,0)</f>
        <v>0</v>
      </c>
      <c r="D99" s="1506">
        <f>ROUND(C99/euro,2)</f>
        <v>0</v>
      </c>
      <c r="E99" s="1034">
        <f t="shared" si="40"/>
        <v>0</v>
      </c>
      <c r="F99" s="1038">
        <f t="shared" si="40"/>
        <v>0</v>
      </c>
      <c r="G99" s="1038">
        <f t="shared" si="41"/>
        <v>0</v>
      </c>
      <c r="H99" s="1039">
        <f t="shared" si="42"/>
        <v>0</v>
      </c>
    </row>
    <row r="100" spans="1:16" ht="25.5">
      <c r="A100" s="1062" t="s">
        <v>177</v>
      </c>
      <c r="B100" s="1065" t="s">
        <v>178</v>
      </c>
      <c r="C100" s="1063">
        <f>ROUND('DEVIZ GENERAL'!C104*coef,0)</f>
        <v>30585861</v>
      </c>
      <c r="D100" s="1506">
        <f>ROUND(C100/euro,2)</f>
        <v>6146923.3099999996</v>
      </c>
      <c r="E100" s="1034">
        <f>ROUNDDOWN(C100*TVA,2)</f>
        <v>5811313.5899999999</v>
      </c>
      <c r="F100" s="1038">
        <f t="shared" si="40"/>
        <v>1167915.43</v>
      </c>
      <c r="G100" s="1038">
        <f t="shared" si="41"/>
        <v>36397174.590000004</v>
      </c>
      <c r="H100" s="1039">
        <f t="shared" si="42"/>
        <v>7314838.7399999993</v>
      </c>
      <c r="I100" s="57">
        <f>C100/euro</f>
        <v>6146923.3088146634</v>
      </c>
    </row>
    <row r="101" spans="1:16">
      <c r="A101" s="1062" t="s">
        <v>179</v>
      </c>
      <c r="B101" s="1065" t="s">
        <v>180</v>
      </c>
      <c r="C101" s="1532">
        <f>ROUND('DEVIZ GENERAL'!C105,0)</f>
        <v>17812739</v>
      </c>
      <c r="D101" s="1533">
        <f>ROUND(C101/euro,2)</f>
        <v>3579874.39</v>
      </c>
      <c r="E101" s="1534">
        <f>ROUNDDOWN(C101*TVA,2)</f>
        <v>3384420.41</v>
      </c>
      <c r="F101" s="1535">
        <f t="shared" si="40"/>
        <v>680176.13</v>
      </c>
      <c r="G101" s="1535">
        <f t="shared" si="41"/>
        <v>21197159.41</v>
      </c>
      <c r="H101" s="1536">
        <f t="shared" si="42"/>
        <v>4260050.5200000005</v>
      </c>
    </row>
    <row r="102" spans="1:16" ht="14.25" customHeight="1">
      <c r="A102" s="1777" t="s">
        <v>181</v>
      </c>
      <c r="B102" s="1778"/>
      <c r="C102" s="1522">
        <f>SUM(C98:C101)</f>
        <v>48476384</v>
      </c>
      <c r="D102" s="1496">
        <f t="shared" ref="D102:H102" si="43">SUM(D98:D101)</f>
        <v>9742430.1600000001</v>
      </c>
      <c r="E102" s="1522">
        <f t="shared" si="43"/>
        <v>9210512.9600000009</v>
      </c>
      <c r="F102" s="1523">
        <f t="shared" si="43"/>
        <v>1851061.73</v>
      </c>
      <c r="G102" s="1481">
        <f t="shared" si="43"/>
        <v>57686896.960000008</v>
      </c>
      <c r="H102" s="1482">
        <f t="shared" si="43"/>
        <v>11593491.890000001</v>
      </c>
    </row>
    <row r="103" spans="1:16" ht="14.25" customHeight="1">
      <c r="A103" s="1773" t="s">
        <v>182</v>
      </c>
      <c r="B103" s="1774"/>
      <c r="C103" s="1774"/>
      <c r="D103" s="1774"/>
      <c r="E103" s="1774"/>
      <c r="F103" s="1775"/>
      <c r="G103" s="1775"/>
      <c r="H103" s="1776"/>
    </row>
    <row r="104" spans="1:16" ht="14.25" hidden="1" customHeight="1">
      <c r="A104" s="1062"/>
      <c r="B104" s="1065"/>
      <c r="C104" s="1537">
        <v>0</v>
      </c>
      <c r="D104" s="1537"/>
      <c r="E104" s="1538">
        <v>0</v>
      </c>
      <c r="F104" s="1539"/>
      <c r="G104" s="1539"/>
      <c r="H104" s="1540">
        <v>0</v>
      </c>
    </row>
    <row r="105" spans="1:16" ht="14.25" customHeight="1">
      <c r="A105" s="1062" t="s">
        <v>183</v>
      </c>
      <c r="B105" s="888" t="s">
        <v>184</v>
      </c>
      <c r="C105" s="1063">
        <f>ROUND('DEVIZ GENERAL'!C109,0)</f>
        <v>0</v>
      </c>
      <c r="D105" s="1506">
        <f>ROUND(C105/euro,2)</f>
        <v>0</v>
      </c>
      <c r="E105" s="1034">
        <f>ROUNDDOWN(C105*TVA,2)</f>
        <v>0</v>
      </c>
      <c r="F105" s="1038">
        <f t="shared" ref="F105" si="44">ROUND(D105*TVA,2)</f>
        <v>0</v>
      </c>
      <c r="G105" s="1038">
        <f t="shared" ref="G105" si="45">C105+E105</f>
        <v>0</v>
      </c>
      <c r="H105" s="1039">
        <f t="shared" ref="H105" si="46">D105+F105</f>
        <v>0</v>
      </c>
    </row>
    <row r="106" spans="1:16" ht="14.25" customHeight="1">
      <c r="A106" s="1777" t="s">
        <v>185</v>
      </c>
      <c r="B106" s="1778"/>
      <c r="C106" s="1496">
        <f>C105</f>
        <v>0</v>
      </c>
      <c r="D106" s="1496">
        <f t="shared" ref="D106:H106" si="47">D105</f>
        <v>0</v>
      </c>
      <c r="E106" s="1541">
        <f t="shared" si="47"/>
        <v>0</v>
      </c>
      <c r="F106" s="1542">
        <f t="shared" si="47"/>
        <v>0</v>
      </c>
      <c r="G106" s="1542">
        <f t="shared" si="47"/>
        <v>0</v>
      </c>
      <c r="H106" s="1543">
        <f t="shared" si="47"/>
        <v>0</v>
      </c>
    </row>
    <row r="107" spans="1:16" ht="12.95" customHeight="1">
      <c r="A107" s="1764" t="s">
        <v>186</v>
      </c>
      <c r="B107" s="1765"/>
      <c r="C107" s="1495">
        <f>C102+C106+C96+C88+C83+C78</f>
        <v>401165802</v>
      </c>
      <c r="D107" s="1496">
        <f t="shared" ref="D107:H107" si="48">D102+D106+D96+D88+D83+D78</f>
        <v>80623377.540000007</v>
      </c>
      <c r="E107" s="1522">
        <f t="shared" si="48"/>
        <v>76221502.379999995</v>
      </c>
      <c r="F107" s="1523">
        <f t="shared" si="48"/>
        <v>15318441.729999999</v>
      </c>
      <c r="G107" s="1481">
        <f t="shared" si="48"/>
        <v>477387304.38000005</v>
      </c>
      <c r="H107" s="1482">
        <f t="shared" si="48"/>
        <v>95941819.269999996</v>
      </c>
      <c r="I107" s="1140"/>
      <c r="M107" s="1100" t="s">
        <v>9</v>
      </c>
    </row>
    <row r="108" spans="1:16" ht="12.95" hidden="1" customHeight="1">
      <c r="A108" s="1478"/>
      <c r="B108" s="1479"/>
      <c r="C108" s="54"/>
      <c r="D108" s="54"/>
      <c r="E108" s="54"/>
      <c r="F108" s="1527"/>
      <c r="G108" s="1527"/>
      <c r="H108" s="69"/>
    </row>
    <row r="109" spans="1:16" ht="12.95" customHeight="1">
      <c r="A109" s="1766" t="s">
        <v>187</v>
      </c>
      <c r="B109" s="1767"/>
      <c r="C109" s="1767"/>
      <c r="D109" s="1767"/>
      <c r="E109" s="1767"/>
      <c r="F109" s="1768"/>
      <c r="G109" s="1768"/>
      <c r="H109" s="1769"/>
    </row>
    <row r="110" spans="1:16" ht="12.95" customHeight="1">
      <c r="A110" s="1794" t="s">
        <v>57</v>
      </c>
      <c r="B110" s="1483" t="s">
        <v>188</v>
      </c>
      <c r="C110" s="1492">
        <f>C111+C115</f>
        <v>4097889</v>
      </c>
      <c r="D110" s="1496">
        <f t="shared" ref="D110:H110" si="49">D111+D115</f>
        <v>823563.85000000009</v>
      </c>
      <c r="E110" s="1492">
        <f t="shared" si="49"/>
        <v>778598.90999999992</v>
      </c>
      <c r="F110" s="1493">
        <f t="shared" si="49"/>
        <v>156477.13</v>
      </c>
      <c r="G110" s="1481">
        <f t="shared" si="49"/>
        <v>4876487.91</v>
      </c>
      <c r="H110" s="1482">
        <f t="shared" si="49"/>
        <v>980040.98</v>
      </c>
    </row>
    <row r="111" spans="1:16" ht="12.95" customHeight="1">
      <c r="A111" s="1794"/>
      <c r="B111" s="1483" t="s">
        <v>189</v>
      </c>
      <c r="C111" s="1544">
        <f>C112+C113</f>
        <v>3278311</v>
      </c>
      <c r="D111" s="1506">
        <f t="shared" ref="D111:H111" si="50">D112+D113</f>
        <v>658851.04</v>
      </c>
      <c r="E111" s="1544">
        <f t="shared" si="50"/>
        <v>622879.09</v>
      </c>
      <c r="F111" s="1545">
        <f t="shared" si="50"/>
        <v>125181.7</v>
      </c>
      <c r="G111" s="1038">
        <f t="shared" si="50"/>
        <v>3901190.09</v>
      </c>
      <c r="H111" s="1039">
        <f t="shared" si="50"/>
        <v>784032.74</v>
      </c>
    </row>
    <row r="112" spans="1:16" ht="12.95" customHeight="1">
      <c r="A112" s="1794"/>
      <c r="B112" s="1477" t="s">
        <v>112</v>
      </c>
      <c r="C112" s="1546">
        <f>ROUND('DEVIZ GENERAL'!C116*coef,0)</f>
        <v>3278311</v>
      </c>
      <c r="D112" s="1502">
        <f>ROUND(C112/euro,2)</f>
        <v>658851.04</v>
      </c>
      <c r="E112" s="1489">
        <f>ROUNDDOWN(C112*TVA,2)</f>
        <v>622879.09</v>
      </c>
      <c r="F112" s="1490">
        <f>ROUND(D112*TVA,2)</f>
        <v>125181.7</v>
      </c>
      <c r="G112" s="1490">
        <f t="shared" ref="G112:G113" si="51">C112+E112</f>
        <v>3901190.09</v>
      </c>
      <c r="H112" s="1491">
        <f t="shared" ref="H112:H113" si="52">D112+F112</f>
        <v>784032.74</v>
      </c>
      <c r="N112" s="274" t="s">
        <v>9</v>
      </c>
      <c r="O112" s="274"/>
      <c r="P112" s="274" t="s">
        <v>9</v>
      </c>
    </row>
    <row r="113" spans="1:15" ht="12.95" customHeight="1">
      <c r="A113" s="1794"/>
      <c r="B113" s="1477" t="s">
        <v>9</v>
      </c>
      <c r="C113" s="1546">
        <f>ROUND('DEVIZ GENERAL'!C117*coef,0)</f>
        <v>0</v>
      </c>
      <c r="D113" s="1502">
        <f>ROUND(C113/euro,2)</f>
        <v>0</v>
      </c>
      <c r="E113" s="1489">
        <f>ROUND(C113*TVA,2)</f>
        <v>0</v>
      </c>
      <c r="F113" s="1490">
        <f>ROUND(D113*TVA,2)</f>
        <v>0</v>
      </c>
      <c r="G113" s="1490">
        <f t="shared" si="51"/>
        <v>0</v>
      </c>
      <c r="H113" s="1491">
        <f t="shared" si="52"/>
        <v>0</v>
      </c>
      <c r="N113" s="274" t="s">
        <v>9</v>
      </c>
      <c r="O113" s="274"/>
    </row>
    <row r="114" spans="1:15" ht="12.95" customHeight="1">
      <c r="A114" s="1794"/>
      <c r="B114" s="1483"/>
      <c r="C114" s="1544"/>
      <c r="D114" s="1544"/>
      <c r="E114" s="1544"/>
      <c r="F114" s="1545"/>
      <c r="G114" s="1545"/>
      <c r="H114" s="1547"/>
    </row>
    <row r="115" spans="1:15" ht="12.95" customHeight="1">
      <c r="A115" s="1794"/>
      <c r="B115" s="1483" t="s">
        <v>190</v>
      </c>
      <c r="C115" s="1544">
        <f>C116+C117</f>
        <v>819578</v>
      </c>
      <c r="D115" s="1506">
        <f t="shared" ref="D115:H115" si="53">D116+D117</f>
        <v>164712.81</v>
      </c>
      <c r="E115" s="1544">
        <f t="shared" si="53"/>
        <v>155719.82</v>
      </c>
      <c r="F115" s="1545">
        <f t="shared" si="53"/>
        <v>31295.43</v>
      </c>
      <c r="G115" s="1038">
        <f t="shared" si="53"/>
        <v>975297.82000000007</v>
      </c>
      <c r="H115" s="1039">
        <f t="shared" si="53"/>
        <v>196008.24</v>
      </c>
    </row>
    <row r="116" spans="1:15" ht="12.95" customHeight="1">
      <c r="A116" s="1794"/>
      <c r="B116" s="1477" t="s">
        <v>112</v>
      </c>
      <c r="C116" s="1546">
        <f>ROUND('DEVIZ GENERAL'!C120*coef,0)</f>
        <v>819578</v>
      </c>
      <c r="D116" s="1502">
        <f>ROUND(C116/euro,2)</f>
        <v>164712.81</v>
      </c>
      <c r="E116" s="1534">
        <f>ROUNDDOWN(C116*TVA,2)</f>
        <v>155719.82</v>
      </c>
      <c r="F116" s="1535">
        <f>ROUND(D116*TVA,2)</f>
        <v>31295.43</v>
      </c>
      <c r="G116" s="1490">
        <f t="shared" ref="G116:G117" si="54">C116+E116</f>
        <v>975297.82000000007</v>
      </c>
      <c r="H116" s="1491">
        <f t="shared" ref="H116:H117" si="55">D116+F116</f>
        <v>196008.24</v>
      </c>
    </row>
    <row r="117" spans="1:15" ht="12.95" customHeight="1">
      <c r="A117" s="1794"/>
      <c r="B117" s="1477" t="s">
        <v>9</v>
      </c>
      <c r="C117" s="1546">
        <f>ROUND('DEVIZ GENERAL'!C121*coef,0)</f>
        <v>0</v>
      </c>
      <c r="D117" s="1502">
        <f>ROUND(C117/euro,2)</f>
        <v>0</v>
      </c>
      <c r="E117" s="1534">
        <f>ROUND(C117*TVA,2)</f>
        <v>0</v>
      </c>
      <c r="F117" s="1535">
        <f>ROUND(D117*TVA,2)</f>
        <v>0</v>
      </c>
      <c r="G117" s="1490">
        <f t="shared" si="54"/>
        <v>0</v>
      </c>
      <c r="H117" s="1491">
        <f t="shared" si="55"/>
        <v>0</v>
      </c>
    </row>
    <row r="118" spans="1:15" ht="12.95" customHeight="1">
      <c r="A118" s="1794"/>
      <c r="B118" s="1483"/>
      <c r="C118" s="52"/>
      <c r="D118" s="52"/>
      <c r="E118" s="52"/>
      <c r="F118" s="1548"/>
      <c r="G118" s="1548"/>
      <c r="H118" s="63"/>
    </row>
    <row r="119" spans="1:15" ht="15.95" customHeight="1">
      <c r="A119" s="1478" t="s">
        <v>62</v>
      </c>
      <c r="B119" s="1483" t="s">
        <v>191</v>
      </c>
      <c r="C119" s="1492">
        <f>SUM(C120:C124)</f>
        <v>3678264</v>
      </c>
      <c r="D119" s="1496">
        <f t="shared" ref="D119:H119" si="56">SUM(D120:D124)</f>
        <v>739230.67</v>
      </c>
      <c r="E119" s="1492">
        <f t="shared" si="56"/>
        <v>0</v>
      </c>
      <c r="F119" s="1493">
        <f t="shared" si="56"/>
        <v>0</v>
      </c>
      <c r="G119" s="1481">
        <f t="shared" si="56"/>
        <v>3678264</v>
      </c>
      <c r="H119" s="1482">
        <f t="shared" si="56"/>
        <v>739230.67</v>
      </c>
    </row>
    <row r="120" spans="1:15" ht="18" customHeight="1">
      <c r="A120" s="1478"/>
      <c r="B120" s="1483" t="s">
        <v>192</v>
      </c>
      <c r="C120" s="1544"/>
      <c r="D120" s="1544"/>
      <c r="E120" s="1544"/>
      <c r="F120" s="1545"/>
      <c r="G120" s="1545"/>
      <c r="H120" s="1547"/>
    </row>
    <row r="121" spans="1:15" ht="25.5">
      <c r="A121" s="1478"/>
      <c r="B121" s="1483" t="s">
        <v>193</v>
      </c>
      <c r="C121" s="1525">
        <f>ROUND('DEVIZ GENERAL'!C125*coef,0)</f>
        <v>835969</v>
      </c>
      <c r="D121" s="1502">
        <f>ROUND(C121/euro,2)</f>
        <v>168006.95</v>
      </c>
      <c r="E121" s="1063">
        <f>'DEVIZ GENERAL'!E125*coef</f>
        <v>0</v>
      </c>
      <c r="F121" s="1500">
        <v>0</v>
      </c>
      <c r="G121" s="1038">
        <f t="shared" ref="G121:G125" si="57">C121+E121</f>
        <v>835969</v>
      </c>
      <c r="H121" s="1039">
        <f t="shared" ref="H121:H125" si="58">D121+F121</f>
        <v>168006.95</v>
      </c>
    </row>
    <row r="122" spans="1:15" ht="38.25">
      <c r="A122" s="1478"/>
      <c r="B122" s="1483" t="s">
        <v>194</v>
      </c>
      <c r="C122" s="1525">
        <f>ROUND('DEVIZ GENERAL'!C128*coef,0)</f>
        <v>167194</v>
      </c>
      <c r="D122" s="1502">
        <f>ROUND(C122/euro,2)</f>
        <v>33601.43</v>
      </c>
      <c r="E122" s="1063">
        <f>'DEVIZ GENERAL'!E128*coef</f>
        <v>0</v>
      </c>
      <c r="F122" s="1500">
        <v>0</v>
      </c>
      <c r="G122" s="1038">
        <f t="shared" si="57"/>
        <v>167194</v>
      </c>
      <c r="H122" s="1039">
        <f t="shared" si="58"/>
        <v>33601.43</v>
      </c>
    </row>
    <row r="123" spans="1:15">
      <c r="A123" s="1478"/>
      <c r="B123" s="1483" t="s">
        <v>195</v>
      </c>
      <c r="C123" s="1525">
        <f>ROUND('DEVIZ GENERAL'!C131*coef,0)</f>
        <v>835969</v>
      </c>
      <c r="D123" s="1502">
        <f>ROUND(C123/euro,2)</f>
        <v>168006.95</v>
      </c>
      <c r="E123" s="1063">
        <f>'DEVIZ GENERAL'!E131*coef</f>
        <v>0</v>
      </c>
      <c r="F123" s="1500">
        <v>0</v>
      </c>
      <c r="G123" s="1038">
        <f t="shared" si="57"/>
        <v>835969</v>
      </c>
      <c r="H123" s="1039">
        <f t="shared" si="58"/>
        <v>168006.95</v>
      </c>
    </row>
    <row r="124" spans="1:15" ht="33" customHeight="1">
      <c r="A124" s="1478"/>
      <c r="B124" s="1483" t="s">
        <v>196</v>
      </c>
      <c r="C124" s="1525">
        <f>ROUND('DEVIZ GENERAL'!C134*coef,0)</f>
        <v>1839132</v>
      </c>
      <c r="D124" s="1502">
        <f>ROUND(C124/euro,2)</f>
        <v>369615.34</v>
      </c>
      <c r="E124" s="1063">
        <f>'DEVIZ GENERAL'!E134*coef</f>
        <v>0</v>
      </c>
      <c r="F124" s="1500">
        <v>0</v>
      </c>
      <c r="G124" s="1507">
        <f t="shared" si="57"/>
        <v>1839132</v>
      </c>
      <c r="H124" s="1549">
        <f t="shared" si="58"/>
        <v>369615.34</v>
      </c>
    </row>
    <row r="125" spans="1:15" ht="18.95" customHeight="1">
      <c r="A125" s="1478" t="s">
        <v>64</v>
      </c>
      <c r="B125" s="1483" t="s">
        <v>197</v>
      </c>
      <c r="C125" s="1522">
        <f>ROUND('DEVIZ GENERAL'!C137*coef,0)</f>
        <v>43154966</v>
      </c>
      <c r="D125" s="1496">
        <f>ROUNDDOWN(C125/euro,2)</f>
        <v>8672970.3699999992</v>
      </c>
      <c r="E125" s="1496">
        <f>ROUNDDOWN(C125*TVA,2)</f>
        <v>8199443.54</v>
      </c>
      <c r="F125" s="1498">
        <f>ROUNDUP(D125*TVA,2)</f>
        <v>1647864.3800000001</v>
      </c>
      <c r="G125" s="1498">
        <f t="shared" si="57"/>
        <v>51354409.539999999</v>
      </c>
      <c r="H125" s="1499">
        <f t="shared" si="58"/>
        <v>10320834.75</v>
      </c>
    </row>
    <row r="126" spans="1:15" ht="18.95" customHeight="1">
      <c r="A126" s="1478" t="s">
        <v>198</v>
      </c>
      <c r="B126" s="1483" t="s">
        <v>199</v>
      </c>
      <c r="C126" s="1522">
        <f>C127+C128</f>
        <v>1901738</v>
      </c>
      <c r="D126" s="1496">
        <f t="shared" ref="D126:H126" si="59">D127+D128</f>
        <v>382197.43</v>
      </c>
      <c r="E126" s="1522">
        <f t="shared" si="59"/>
        <v>361330.22</v>
      </c>
      <c r="F126" s="1523">
        <f t="shared" si="59"/>
        <v>72617.510000000009</v>
      </c>
      <c r="G126" s="1498">
        <f t="shared" si="59"/>
        <v>2263068.2199999997</v>
      </c>
      <c r="H126" s="1499">
        <f t="shared" si="59"/>
        <v>454814.93999999994</v>
      </c>
    </row>
    <row r="127" spans="1:15" ht="30.95" customHeight="1">
      <c r="A127" s="1478"/>
      <c r="B127" s="1550" t="s">
        <v>87</v>
      </c>
      <c r="C127" s="1525">
        <f>ROUND('DEVIZ GENERAL'!C141*coef,0)</f>
        <v>553542</v>
      </c>
      <c r="D127" s="1502">
        <f>ROUNDDOWN(C127/euro,2)</f>
        <v>111246.83</v>
      </c>
      <c r="E127" s="1534">
        <f>ROUNDDOWN(C127*TVA,2)</f>
        <v>105172.98</v>
      </c>
      <c r="F127" s="1535">
        <f>ROUND(D127*TVA,2)</f>
        <v>21136.9</v>
      </c>
      <c r="G127" s="1490">
        <f t="shared" ref="G127:G128" si="60">C127+E127</f>
        <v>658714.98</v>
      </c>
      <c r="H127" s="1491">
        <f t="shared" ref="H127:H128" si="61">D127+F127</f>
        <v>132383.73000000001</v>
      </c>
      <c r="M127" s="269" t="s">
        <v>9</v>
      </c>
    </row>
    <row r="128" spans="1:15" ht="31.7" customHeight="1">
      <c r="A128" s="1478"/>
      <c r="B128" s="1550" t="s">
        <v>89</v>
      </c>
      <c r="C128" s="1525">
        <f>ROUND('DEVIZ GENERAL'!C142*coef,0)</f>
        <v>1348196</v>
      </c>
      <c r="D128" s="1502">
        <f>ROUNDDOWN(C128/euro,2)</f>
        <v>270950.59999999998</v>
      </c>
      <c r="E128" s="1534">
        <f>ROUNDDOWN(C128*TVA,2)</f>
        <v>256157.24</v>
      </c>
      <c r="F128" s="1535">
        <f>ROUND(D128*TVA,2)</f>
        <v>51480.61</v>
      </c>
      <c r="G128" s="1490">
        <f t="shared" si="60"/>
        <v>1604353.24</v>
      </c>
      <c r="H128" s="1491">
        <f t="shared" si="61"/>
        <v>322431.20999999996</v>
      </c>
      <c r="M128" s="269" t="s">
        <v>9</v>
      </c>
    </row>
    <row r="129" spans="1:16" ht="12.95" customHeight="1">
      <c r="A129" s="1764" t="s">
        <v>200</v>
      </c>
      <c r="B129" s="1765"/>
      <c r="C129" s="1516">
        <f>C126+C125+C119+C110</f>
        <v>52832857</v>
      </c>
      <c r="D129" s="1496">
        <f t="shared" ref="D129:H129" si="62">D126+D125+D119+D110</f>
        <v>10617962.319999998</v>
      </c>
      <c r="E129" s="1516">
        <f t="shared" si="62"/>
        <v>9339372.6699999999</v>
      </c>
      <c r="F129" s="1517">
        <f t="shared" si="62"/>
        <v>1876959.02</v>
      </c>
      <c r="G129" s="1498">
        <f t="shared" si="62"/>
        <v>62172229.670000002</v>
      </c>
      <c r="H129" s="1499">
        <f t="shared" si="62"/>
        <v>12494921.34</v>
      </c>
      <c r="I129" s="1140"/>
      <c r="J129" s="53"/>
      <c r="M129" s="1100" t="s">
        <v>9</v>
      </c>
    </row>
    <row r="130" spans="1:16" ht="12.95" customHeight="1">
      <c r="A130" s="1766" t="s">
        <v>201</v>
      </c>
      <c r="B130" s="1767"/>
      <c r="C130" s="1767"/>
      <c r="D130" s="1767"/>
      <c r="E130" s="1767"/>
      <c r="F130" s="1768"/>
      <c r="G130" s="1768"/>
      <c r="H130" s="1769"/>
    </row>
    <row r="131" spans="1:16" ht="12.95" customHeight="1">
      <c r="A131" s="1478" t="s">
        <v>69</v>
      </c>
      <c r="B131" s="1483" t="s">
        <v>202</v>
      </c>
      <c r="C131" s="1492">
        <f>C132</f>
        <v>7500900</v>
      </c>
      <c r="D131" s="1496">
        <f t="shared" ref="D131:H131" si="63">D132</f>
        <v>1507476.18</v>
      </c>
      <c r="E131" s="1492">
        <f t="shared" si="63"/>
        <v>1425171</v>
      </c>
      <c r="F131" s="1493">
        <f t="shared" si="63"/>
        <v>286420.46999999997</v>
      </c>
      <c r="G131" s="1498">
        <f t="shared" si="63"/>
        <v>8926071</v>
      </c>
      <c r="H131" s="1499">
        <f t="shared" si="63"/>
        <v>1793896.65</v>
      </c>
      <c r="I131" s="1140"/>
    </row>
    <row r="132" spans="1:16" ht="12.95" customHeight="1">
      <c r="A132" s="1478"/>
      <c r="B132" s="1477" t="s">
        <v>112</v>
      </c>
      <c r="C132" s="1544">
        <f>ROUND('DEVIZ GENERAL'!C146*coef,0)</f>
        <v>7500900</v>
      </c>
      <c r="D132" s="1506">
        <f>ROUNDDOWN(C132/euro,2)</f>
        <v>1507476.18</v>
      </c>
      <c r="E132" s="1544">
        <f>ROUNDDOWN(C132*TVA,2)</f>
        <v>1425171</v>
      </c>
      <c r="F132" s="1545">
        <f>ROUND(D132*TVA,2)</f>
        <v>286420.46999999997</v>
      </c>
      <c r="G132" s="1507">
        <f t="shared" ref="G132" si="64">C132+E132</f>
        <v>8926071</v>
      </c>
      <c r="H132" s="1549">
        <f t="shared" ref="H132" si="65">D132+F132</f>
        <v>1793896.65</v>
      </c>
      <c r="I132" s="1140"/>
      <c r="N132" s="53" t="s">
        <v>9</v>
      </c>
      <c r="O132" s="53"/>
    </row>
    <row r="133" spans="1:16" ht="12.95" customHeight="1">
      <c r="A133" s="1478"/>
      <c r="B133" s="1483"/>
      <c r="C133" s="1544" t="s">
        <v>9</v>
      </c>
      <c r="D133" s="1544"/>
      <c r="E133" s="1544"/>
      <c r="F133" s="1545"/>
      <c r="G133" s="1545"/>
      <c r="H133" s="1547"/>
      <c r="I133" s="1140"/>
    </row>
    <row r="134" spans="1:16" ht="12.95" customHeight="1">
      <c r="A134" s="1478" t="s">
        <v>72</v>
      </c>
      <c r="B134" s="1483" t="s">
        <v>203</v>
      </c>
      <c r="C134" s="1492">
        <f>C135</f>
        <v>15001800</v>
      </c>
      <c r="D134" s="1492">
        <f t="shared" ref="D134:H134" si="66">D135</f>
        <v>3014952.37</v>
      </c>
      <c r="E134" s="1492">
        <f t="shared" si="66"/>
        <v>2850342</v>
      </c>
      <c r="F134" s="1492">
        <f t="shared" si="66"/>
        <v>572840.94999999995</v>
      </c>
      <c r="G134" s="1492">
        <f t="shared" si="66"/>
        <v>17852142</v>
      </c>
      <c r="H134" s="1551">
        <f t="shared" si="66"/>
        <v>3587793.3200000003</v>
      </c>
    </row>
    <row r="135" spans="1:16" ht="12.95" customHeight="1">
      <c r="A135" s="1478"/>
      <c r="B135" s="1477" t="s">
        <v>112</v>
      </c>
      <c r="C135" s="1544">
        <f>ROUND('DEVIZ GENERAL'!C149*coef,0)</f>
        <v>15001800</v>
      </c>
      <c r="D135" s="1544">
        <f>ROUND(C135/euro,2)</f>
        <v>3014952.37</v>
      </c>
      <c r="E135" s="1544">
        <f>ROUNDDOWN(C135*TVA,2)</f>
        <v>2850342</v>
      </c>
      <c r="F135" s="1544">
        <f>ROUND(D135*TVA,2)</f>
        <v>572840.94999999995</v>
      </c>
      <c r="G135" s="1544">
        <f t="shared" ref="G135" si="67">C135+E135</f>
        <v>17852142</v>
      </c>
      <c r="H135" s="1547">
        <f t="shared" ref="H135" si="68">D135+F135</f>
        <v>3587793.3200000003</v>
      </c>
    </row>
    <row r="136" spans="1:16" ht="12.95" customHeight="1">
      <c r="A136" s="1478"/>
      <c r="B136" s="1483"/>
      <c r="C136" s="1544" t="s">
        <v>9</v>
      </c>
      <c r="D136" s="1544"/>
      <c r="E136" s="1544"/>
      <c r="F136" s="1545"/>
      <c r="G136" s="1545"/>
      <c r="H136" s="1547"/>
    </row>
    <row r="137" spans="1:16" ht="12.95" customHeight="1">
      <c r="A137" s="1764" t="s">
        <v>204</v>
      </c>
      <c r="B137" s="1765"/>
      <c r="C137" s="1516">
        <f>C131+C134</f>
        <v>22502700</v>
      </c>
      <c r="D137" s="1496">
        <f t="shared" ref="D137:H137" si="69">D131+D134</f>
        <v>4522428.55</v>
      </c>
      <c r="E137" s="1522">
        <f t="shared" si="69"/>
        <v>4275513</v>
      </c>
      <c r="F137" s="1523">
        <f t="shared" si="69"/>
        <v>859261.41999999993</v>
      </c>
      <c r="G137" s="1498">
        <f t="shared" si="69"/>
        <v>26778213</v>
      </c>
      <c r="H137" s="1499">
        <f t="shared" si="69"/>
        <v>5381689.9700000007</v>
      </c>
      <c r="I137" s="1140"/>
      <c r="M137" s="1100" t="s">
        <v>9</v>
      </c>
    </row>
    <row r="138" spans="1:16" ht="16.5" customHeight="1">
      <c r="A138" s="1781" t="s">
        <v>212</v>
      </c>
      <c r="B138" s="1782"/>
      <c r="C138" s="1552">
        <f t="shared" ref="C138:H138" si="70">C137+C129+C107+C72+C29+C24</f>
        <v>511258604</v>
      </c>
      <c r="D138" s="1496">
        <f t="shared" si="70"/>
        <v>102749026.06</v>
      </c>
      <c r="E138" s="1552">
        <f>ROUNDDOWN(E137+E129+E107+E72+E29+E24,2)</f>
        <v>96440264.599999994</v>
      </c>
      <c r="F138" s="1553">
        <f t="shared" si="70"/>
        <v>19381861.129999999</v>
      </c>
      <c r="G138" s="1498">
        <f t="shared" si="70"/>
        <v>607698868.60000002</v>
      </c>
      <c r="H138" s="1499">
        <f t="shared" si="70"/>
        <v>122130887.19</v>
      </c>
      <c r="I138" s="1582"/>
      <c r="M138" s="1100" t="s">
        <v>9</v>
      </c>
      <c r="N138" t="s">
        <v>9</v>
      </c>
    </row>
    <row r="139" spans="1:16">
      <c r="A139" s="1783" t="s">
        <v>243</v>
      </c>
      <c r="B139" s="1784"/>
      <c r="C139" s="1516">
        <f t="shared" ref="C139:H139" si="71">C111+C83+C78+C29+C24</f>
        <v>167193833</v>
      </c>
      <c r="D139" s="1496">
        <f t="shared" si="71"/>
        <v>33601397.340000004</v>
      </c>
      <c r="E139" s="1516">
        <f t="shared" si="71"/>
        <v>31766828.270000003</v>
      </c>
      <c r="F139" s="1517">
        <f t="shared" si="71"/>
        <v>6384265.4900000002</v>
      </c>
      <c r="G139" s="1498">
        <f t="shared" si="71"/>
        <v>198960661.27000001</v>
      </c>
      <c r="H139" s="1499">
        <f t="shared" si="71"/>
        <v>39985662.829999998</v>
      </c>
      <c r="I139" s="1582"/>
      <c r="J139" s="53"/>
      <c r="M139" s="1100" t="s">
        <v>9</v>
      </c>
    </row>
    <row r="140" spans="1:16">
      <c r="A140" s="1766" t="s">
        <v>214</v>
      </c>
      <c r="B140" s="1767"/>
      <c r="C140" s="1767"/>
      <c r="D140" s="1767"/>
      <c r="E140" s="1767"/>
      <c r="F140" s="1768"/>
      <c r="G140" s="1768"/>
      <c r="H140" s="1769"/>
    </row>
    <row r="141" spans="1:16">
      <c r="A141" s="71"/>
      <c r="B141" s="55" t="s">
        <v>215</v>
      </c>
      <c r="C141" s="1544">
        <f>ROUND('DEVIZ GENERAL'!C160*coef,0)</f>
        <v>974667</v>
      </c>
      <c r="D141" s="1506">
        <f>ROUND(C141/euro,2)</f>
        <v>195881.47</v>
      </c>
      <c r="E141" s="1544">
        <v>0</v>
      </c>
      <c r="F141" s="1545"/>
      <c r="G141" s="1507">
        <f>C141+E141</f>
        <v>974667</v>
      </c>
      <c r="H141" s="1549">
        <f>D141+F141</f>
        <v>195881.47</v>
      </c>
    </row>
    <row r="142" spans="1:16" ht="38.25">
      <c r="A142" s="71"/>
      <c r="B142" s="50" t="s">
        <v>78</v>
      </c>
      <c r="C142" s="1525">
        <f>ROUND('DEVIZ GENERAL'!C161*coef,0)</f>
        <v>42274</v>
      </c>
      <c r="D142" s="1506">
        <f>ROUNDUP(C142/euro,2)</f>
        <v>8495.93</v>
      </c>
      <c r="E142" s="1525">
        <f>ROUNDDOWN(C142*TVA,2)</f>
        <v>8032.06</v>
      </c>
      <c r="F142" s="1525">
        <f>ROUND(D142*TVA,2)</f>
        <v>1614.23</v>
      </c>
      <c r="G142" s="1507">
        <f t="shared" ref="G142:H142" si="72">C142+E142</f>
        <v>50306.06</v>
      </c>
      <c r="H142" s="1549">
        <f t="shared" si="72"/>
        <v>10110.16</v>
      </c>
      <c r="P142" s="163">
        <f>C142/euro</f>
        <v>8495.9202540295028</v>
      </c>
    </row>
    <row r="143" spans="1:16" hidden="1">
      <c r="A143" s="71"/>
      <c r="B143" s="55"/>
      <c r="C143" s="1554">
        <f>'DEVIZ GENERAL'!C162*coef</f>
        <v>0</v>
      </c>
      <c r="D143" s="1506">
        <f>'DEVIZ GENERAL'!D162*coef</f>
        <v>0</v>
      </c>
      <c r="E143" s="1554">
        <f>'DEVIZ GENERAL'!E162*coef</f>
        <v>0</v>
      </c>
      <c r="F143" s="1555"/>
      <c r="G143" s="1507">
        <f>'DEVIZ GENERAL'!G162*coef</f>
        <v>0</v>
      </c>
      <c r="H143" s="1549">
        <f>'DEVIZ GENERAL'!H162*coef</f>
        <v>0</v>
      </c>
    </row>
    <row r="144" spans="1:16" hidden="1">
      <c r="A144" s="71"/>
      <c r="B144" s="55"/>
      <c r="C144" s="1554">
        <f>'DEVIZ GENERAL'!C163*coef</f>
        <v>0</v>
      </c>
      <c r="D144" s="1506">
        <f>'DEVIZ GENERAL'!D163*coef</f>
        <v>0</v>
      </c>
      <c r="E144" s="1554">
        <f>'DEVIZ GENERAL'!E163*coef</f>
        <v>0</v>
      </c>
      <c r="F144" s="1555"/>
      <c r="G144" s="1507">
        <f>'DEVIZ GENERAL'!G163*coef</f>
        <v>0</v>
      </c>
      <c r="H144" s="1549">
        <f>'DEVIZ GENERAL'!H163*coef</f>
        <v>0</v>
      </c>
    </row>
    <row r="145" spans="1:16" ht="15">
      <c r="A145" s="1799" t="s">
        <v>212</v>
      </c>
      <c r="B145" s="1800"/>
      <c r="C145" s="1556">
        <f>C138+C141+C142</f>
        <v>512275545</v>
      </c>
      <c r="D145" s="1556">
        <f t="shared" ref="D145:H145" si="73">D138+D141+D142</f>
        <v>102953403.46000001</v>
      </c>
      <c r="E145" s="1556">
        <f t="shared" si="73"/>
        <v>96448296.659999996</v>
      </c>
      <c r="F145" s="1556">
        <f t="shared" si="73"/>
        <v>19383475.359999999</v>
      </c>
      <c r="G145" s="1556">
        <f t="shared" si="73"/>
        <v>608723841.65999997</v>
      </c>
      <c r="H145" s="1556">
        <f t="shared" si="73"/>
        <v>122336878.81999999</v>
      </c>
      <c r="M145" s="1100" t="s">
        <v>9</v>
      </c>
    </row>
    <row r="146" spans="1:16" s="58" customFormat="1">
      <c r="A146" s="58" t="s">
        <v>244</v>
      </c>
      <c r="M146" s="1165" t="s">
        <v>9</v>
      </c>
    </row>
    <row r="147" spans="1:16" s="58" customFormat="1">
      <c r="A147" s="58" t="s">
        <v>9</v>
      </c>
      <c r="B147" s="58" t="s">
        <v>9</v>
      </c>
      <c r="C147" s="90"/>
      <c r="D147" s="90"/>
      <c r="E147" s="90"/>
      <c r="F147" s="90"/>
      <c r="G147" s="90"/>
      <c r="H147" s="90"/>
      <c r="M147" s="58" t="s">
        <v>9</v>
      </c>
    </row>
    <row r="148" spans="1:16" s="58" customFormat="1">
      <c r="A148" s="1557"/>
      <c r="B148" s="1558" t="s">
        <v>245</v>
      </c>
      <c r="C148" s="58" t="s">
        <v>9</v>
      </c>
      <c r="D148" s="1559" t="s">
        <v>220</v>
      </c>
      <c r="E148" s="1560">
        <f>euro</f>
        <v>4.9757999999999996</v>
      </c>
      <c r="F148" s="1560"/>
      <c r="G148" s="1560"/>
      <c r="H148" s="59"/>
    </row>
    <row r="149" spans="1:16" s="58" customFormat="1">
      <c r="A149" s="1561"/>
      <c r="B149" s="1558" t="s">
        <v>221</v>
      </c>
      <c r="C149" s="1562">
        <f>TVA</f>
        <v>0.19</v>
      </c>
      <c r="D149" s="1562"/>
      <c r="M149" s="1583" t="s">
        <v>9</v>
      </c>
      <c r="P149" s="58" t="s">
        <v>9</v>
      </c>
    </row>
    <row r="150" spans="1:16" s="58" customFormat="1">
      <c r="A150" s="1561"/>
      <c r="B150" s="1563" t="s">
        <v>222</v>
      </c>
      <c r="C150" s="1559"/>
      <c r="D150" s="1559"/>
      <c r="E150" s="1564" t="s">
        <v>223</v>
      </c>
      <c r="F150" s="1564"/>
      <c r="G150" s="1564"/>
      <c r="H150" s="1564"/>
      <c r="M150" s="1584" t="s">
        <v>9</v>
      </c>
    </row>
    <row r="151" spans="1:16" s="58" customFormat="1">
      <c r="A151" s="1561"/>
      <c r="B151" s="1565" t="str">
        <f>data_deviz</f>
        <v>31.01.2025</v>
      </c>
      <c r="C151" s="1559"/>
      <c r="D151" s="1559"/>
      <c r="E151" s="1789" t="s">
        <v>225</v>
      </c>
      <c r="F151" s="1789"/>
      <c r="G151" s="1789"/>
      <c r="H151" s="1789"/>
    </row>
    <row r="152" spans="1:16" s="58" customFormat="1">
      <c r="B152" s="1563" t="s">
        <v>226</v>
      </c>
      <c r="C152" s="1412"/>
      <c r="D152" s="1412"/>
      <c r="E152" s="1566"/>
      <c r="F152" s="1566"/>
      <c r="G152" s="1566"/>
      <c r="H152" s="1564"/>
    </row>
    <row r="153" spans="1:16" s="58" customFormat="1">
      <c r="B153" s="441" t="s">
        <v>227</v>
      </c>
      <c r="H153" s="1567" t="s">
        <v>228</v>
      </c>
    </row>
    <row r="154" spans="1:16" s="58" customFormat="1">
      <c r="A154" s="1557"/>
      <c r="B154" s="1561"/>
      <c r="C154" s="1564"/>
      <c r="D154" s="1564"/>
      <c r="H154" s="976" t="s">
        <v>229</v>
      </c>
    </row>
    <row r="155" spans="1:16" s="58" customFormat="1">
      <c r="A155" s="1557"/>
      <c r="B155" s="1561"/>
      <c r="C155" s="1564"/>
      <c r="D155" s="1564"/>
      <c r="H155" s="976"/>
    </row>
    <row r="156" spans="1:16" s="58" customFormat="1">
      <c r="A156" s="1557"/>
      <c r="B156" s="1561" t="s">
        <v>246</v>
      </c>
      <c r="C156" s="976">
        <f>C145-C101-C105-C93</f>
        <v>494462806</v>
      </c>
      <c r="D156" s="976">
        <f>D145-D101-D105-D93</f>
        <v>99373529.070000008</v>
      </c>
      <c r="G156" s="976">
        <f>G145-G101-G105-G93</f>
        <v>587526682.25</v>
      </c>
      <c r="H156" s="976">
        <f>H145-H101-H105-H93</f>
        <v>118076828.3</v>
      </c>
    </row>
    <row r="157" spans="1:16" ht="38.25">
      <c r="A157" s="1123"/>
      <c r="B157" s="1098" t="s">
        <v>247</v>
      </c>
      <c r="C157" s="1129"/>
      <c r="D157" s="1129"/>
      <c r="H157" s="707"/>
    </row>
    <row r="158" spans="1:16">
      <c r="A158" s="1127"/>
      <c r="B158" s="1134" t="s">
        <v>231</v>
      </c>
      <c r="C158" s="1568">
        <f>ROUND(C145/euro,2)</f>
        <v>102953403.47</v>
      </c>
      <c r="D158" s="1569"/>
      <c r="E158" s="1568">
        <f>E145/euro</f>
        <v>19383475.352707103</v>
      </c>
      <c r="F158" s="1569"/>
      <c r="G158" s="1569"/>
      <c r="H158" s="1568">
        <f>ROUNDUP(G145/euro,2)</f>
        <v>122336878.83</v>
      </c>
    </row>
    <row r="159" spans="1:16">
      <c r="A159" s="1127"/>
      <c r="B159" s="1134"/>
      <c r="C159" s="1569" t="s">
        <v>9</v>
      </c>
      <c r="D159" s="1569"/>
      <c r="E159" s="1801">
        <f>'[7]A2.Inv DB'!$K$69</f>
        <v>100253128</v>
      </c>
      <c r="F159" s="1801"/>
      <c r="G159" s="1801"/>
      <c r="H159" s="1801"/>
      <c r="M159" t="s">
        <v>248</v>
      </c>
    </row>
    <row r="160" spans="1:16">
      <c r="A160" s="1127"/>
      <c r="B160" s="1127"/>
      <c r="C160" s="103" t="s">
        <v>9</v>
      </c>
      <c r="D160" s="103"/>
      <c r="E160" s="1132"/>
      <c r="F160" s="1132"/>
      <c r="G160" s="1132"/>
      <c r="H160" s="1570">
        <f>'[6]Deviz general curente'!$H$159</f>
        <v>94443725.299999997</v>
      </c>
      <c r="M160" t="str">
        <f>'[6]Deviz general curente'!$M$159</f>
        <v>in versiunea din septembrie 2023</v>
      </c>
    </row>
    <row r="161" spans="1:15">
      <c r="A161" s="1791"/>
      <c r="B161" s="1791"/>
      <c r="C161" s="53" t="s">
        <v>9</v>
      </c>
      <c r="D161" s="53"/>
    </row>
    <row r="162" spans="1:15">
      <c r="A162" s="1123"/>
      <c r="B162" s="82" t="s">
        <v>9</v>
      </c>
      <c r="C162" s="1570">
        <f>C145-'DEVIZ GENERAL'!C165</f>
        <v>1.1105999946594238</v>
      </c>
      <c r="D162" s="1570">
        <f>D145-'DEVIZ GENERAL'!D165</f>
        <v>0.21000002324581146</v>
      </c>
      <c r="E162" s="1570">
        <f>E145-'DEVIZ GENERAL'!E165</f>
        <v>1.6541039943695068</v>
      </c>
      <c r="F162" s="1570">
        <f>F145-'DEVIZ GENERAL'!F165</f>
        <v>0.33947988227009773</v>
      </c>
      <c r="G162" s="1570">
        <f>G145-'DEVIZ GENERAL'!G165</f>
        <v>2.7647039890289307</v>
      </c>
      <c r="H162" s="1570">
        <f>H145-'DEVIZ GENERAL'!H165</f>
        <v>0.54947987198829651</v>
      </c>
    </row>
    <row r="163" spans="1:15" ht="15.75" hidden="1">
      <c r="A163" s="1135"/>
      <c r="B163" s="1135"/>
      <c r="C163" s="273" t="s">
        <v>234</v>
      </c>
      <c r="D163" s="273"/>
      <c r="E163" s="273" t="s">
        <v>235</v>
      </c>
      <c r="F163" s="273"/>
      <c r="G163" s="273"/>
      <c r="H163" s="273" t="s">
        <v>236</v>
      </c>
      <c r="M163" t="s">
        <v>249</v>
      </c>
    </row>
    <row r="164" spans="1:15" ht="30.75" hidden="1" customHeight="1">
      <c r="A164" s="1792"/>
      <c r="B164" s="1792"/>
      <c r="C164" s="1572">
        <v>3.5000000000000003E-2</v>
      </c>
      <c r="D164" s="1572"/>
      <c r="E164" s="1573">
        <f>C164*$C$107</f>
        <v>14040803.070000002</v>
      </c>
      <c r="F164" s="1573"/>
      <c r="G164" s="1573"/>
      <c r="H164" s="1574">
        <f>C31+C38+C41</f>
        <v>6855720</v>
      </c>
      <c r="I164" s="729"/>
      <c r="J164" s="729"/>
      <c r="K164" s="729"/>
      <c r="L164" s="729"/>
      <c r="M164" s="1585" t="s">
        <v>9</v>
      </c>
      <c r="N164" s="1571"/>
      <c r="O164" s="1571"/>
    </row>
    <row r="165" spans="1:15" ht="45" hidden="1" customHeight="1">
      <c r="A165" s="1575"/>
      <c r="B165" s="1131"/>
      <c r="C165" s="1576">
        <v>0.01</v>
      </c>
      <c r="D165" s="1576"/>
      <c r="E165" s="1573">
        <f>C165*$C$107</f>
        <v>4011658.02</v>
      </c>
      <c r="F165" s="1573"/>
      <c r="G165" s="1573"/>
      <c r="H165" s="1574">
        <f>C58</f>
        <v>4372982</v>
      </c>
      <c r="I165" s="729"/>
      <c r="J165" s="729"/>
      <c r="K165" s="729"/>
      <c r="L165" s="729"/>
      <c r="M165" s="1586">
        <f>3296690</f>
        <v>3296690</v>
      </c>
      <c r="N165" s="1587"/>
      <c r="O165" s="1587"/>
    </row>
    <row r="166" spans="1:15" s="1462" customFormat="1" ht="12.75" hidden="1" customHeight="1">
      <c r="A166" s="1577"/>
      <c r="B166" s="1578"/>
      <c r="C166" s="1579">
        <v>1.4999999999999999E-2</v>
      </c>
      <c r="D166" s="1579"/>
      <c r="E166" s="1580">
        <f>C166*$C$107</f>
        <v>6017487.0299999993</v>
      </c>
      <c r="F166" s="1580"/>
      <c r="G166" s="1580"/>
      <c r="H166" s="1581">
        <f>C61</f>
        <v>11121006</v>
      </c>
      <c r="M166" s="1588">
        <f>7765355+84597</f>
        <v>7849952</v>
      </c>
    </row>
    <row r="167" spans="1:15" s="1462" customFormat="1" hidden="1">
      <c r="A167" s="1577" t="s">
        <v>9</v>
      </c>
      <c r="B167" s="1577" t="s">
        <v>237</v>
      </c>
      <c r="C167" s="1577"/>
      <c r="D167" s="1577"/>
    </row>
    <row r="168" spans="1:15">
      <c r="A168" s="1137"/>
      <c r="B168" s="1138"/>
      <c r="C168" s="1137"/>
      <c r="D168" s="1137"/>
      <c r="E168" s="273"/>
      <c r="F168" s="273"/>
      <c r="G168" s="273"/>
      <c r="H168" s="273"/>
      <c r="M168" s="53"/>
    </row>
    <row r="169" spans="1:15">
      <c r="A169" s="1137"/>
      <c r="B169" s="1138"/>
      <c r="C169" s="1137"/>
      <c r="D169" s="1137"/>
      <c r="E169" s="273"/>
      <c r="F169" s="273"/>
      <c r="G169" s="273"/>
      <c r="H169" s="273"/>
    </row>
    <row r="170" spans="1:15" ht="12.75" customHeight="1">
      <c r="A170" s="1137"/>
      <c r="B170" s="1138"/>
      <c r="C170" s="1138"/>
      <c r="D170" s="1138"/>
    </row>
    <row r="171" spans="1:15" ht="15" customHeight="1">
      <c r="A171" s="1137"/>
      <c r="B171" s="1138"/>
      <c r="C171" s="1138"/>
      <c r="D171" s="1138"/>
    </row>
    <row r="172" spans="1:15">
      <c r="A172" s="1138"/>
      <c r="B172" s="1138"/>
      <c r="C172" s="1138"/>
      <c r="D172" s="1138"/>
    </row>
    <row r="173" spans="1:15" ht="15.75">
      <c r="A173" s="1139"/>
      <c r="B173" s="1139"/>
      <c r="C173" s="1139"/>
      <c r="D173" s="1139"/>
    </row>
    <row r="174" spans="1:15" ht="15" customHeight="1">
      <c r="A174" s="1137"/>
      <c r="B174" s="1138"/>
      <c r="C174" s="1138"/>
      <c r="D174" s="1138"/>
    </row>
    <row r="176" spans="1:15">
      <c r="M176" s="53"/>
    </row>
  </sheetData>
  <mergeCells count="44">
    <mergeCell ref="B1:H3"/>
    <mergeCell ref="A161:B161"/>
    <mergeCell ref="A164:B164"/>
    <mergeCell ref="A8:A9"/>
    <mergeCell ref="A32:A37"/>
    <mergeCell ref="A42:A48"/>
    <mergeCell ref="A110:A118"/>
    <mergeCell ref="B8:B9"/>
    <mergeCell ref="A139:B139"/>
    <mergeCell ref="A140:H140"/>
    <mergeCell ref="A145:B145"/>
    <mergeCell ref="E151:H151"/>
    <mergeCell ref="E159:H159"/>
    <mergeCell ref="A109:H109"/>
    <mergeCell ref="A129:B129"/>
    <mergeCell ref="A130:H130"/>
    <mergeCell ref="A137:B137"/>
    <mergeCell ref="A138:B138"/>
    <mergeCell ref="A97:H97"/>
    <mergeCell ref="A102:B102"/>
    <mergeCell ref="A103:H103"/>
    <mergeCell ref="A106:B106"/>
    <mergeCell ref="A107:B107"/>
    <mergeCell ref="A83:B83"/>
    <mergeCell ref="A84:H84"/>
    <mergeCell ref="A88:B88"/>
    <mergeCell ref="A90:H90"/>
    <mergeCell ref="A96:B96"/>
    <mergeCell ref="A72:B72"/>
    <mergeCell ref="A73:H73"/>
    <mergeCell ref="A74:H74"/>
    <mergeCell ref="A78:B78"/>
    <mergeCell ref="A79:H79"/>
    <mergeCell ref="A11:H11"/>
    <mergeCell ref="A24:B24"/>
    <mergeCell ref="A25:H25"/>
    <mergeCell ref="A29:B29"/>
    <mergeCell ref="A30:H30"/>
    <mergeCell ref="A5:H5"/>
    <mergeCell ref="A6:H6"/>
    <mergeCell ref="A7:H7"/>
    <mergeCell ref="C8:D8"/>
    <mergeCell ref="E8:F8"/>
    <mergeCell ref="G8:H8"/>
  </mergeCells>
  <pageMargins left="0.59055118110236204" right="0.59055118110236204" top="0.39370078740157499" bottom="0.39370078740157499" header="0.31496062992126" footer="0.31496062992126"/>
  <pageSetup paperSize="9" scale="43" orientation="portrait" r:id="rId1"/>
  <headerFooter alignWithMargins="0"/>
  <rowBreaks count="2" manualBreakCount="2">
    <brk id="129" max="7" man="1"/>
    <brk id="157" max="6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AL122"/>
  <sheetViews>
    <sheetView view="pageBreakPreview" zoomScale="91" zoomScaleNormal="100" workbookViewId="0">
      <selection activeCell="D33" sqref="D33"/>
    </sheetView>
  </sheetViews>
  <sheetFormatPr defaultColWidth="8.85546875" defaultRowHeight="12.75"/>
  <cols>
    <col min="1" max="1" width="6.140625" style="1" customWidth="1"/>
    <col min="2" max="2" width="31.28515625" style="2" customWidth="1"/>
    <col min="3" max="3" width="11.85546875" style="2" customWidth="1"/>
    <col min="4" max="4" width="19.85546875" style="2" customWidth="1"/>
    <col min="5" max="5" width="18.140625" style="2" customWidth="1"/>
    <col min="6" max="6" width="19.28515625" style="2" customWidth="1"/>
    <col min="7" max="7" width="26.28515625" style="2" customWidth="1"/>
    <col min="8" max="8" width="10" style="1" customWidth="1"/>
    <col min="9" max="9" width="12.28515625" style="1" customWidth="1"/>
    <col min="10" max="11" width="9.85546875" style="1" customWidth="1"/>
    <col min="12" max="38" width="8.85546875" style="1"/>
    <col min="39" max="16384" width="8.85546875" style="2"/>
  </cols>
  <sheetData>
    <row r="1" spans="2:13" s="1" customFormat="1">
      <c r="B1" s="3" t="s">
        <v>1081</v>
      </c>
    </row>
    <row r="2" spans="2:13" ht="25.5">
      <c r="B2" s="4"/>
      <c r="C2" s="5" t="s">
        <v>1082</v>
      </c>
      <c r="D2" s="6" t="s">
        <v>1083</v>
      </c>
      <c r="E2" s="7" t="s">
        <v>1084</v>
      </c>
      <c r="F2" s="5" t="s">
        <v>1085</v>
      </c>
      <c r="G2" s="5" t="s">
        <v>1086</v>
      </c>
      <c r="M2" s="1" t="s">
        <v>1087</v>
      </c>
    </row>
    <row r="3" spans="2:13">
      <c r="B3" s="8"/>
      <c r="C3" s="9"/>
      <c r="D3" s="2127" t="s">
        <v>1088</v>
      </c>
      <c r="E3" s="2128"/>
      <c r="F3" s="2128"/>
      <c r="G3" s="2129"/>
      <c r="M3" s="1">
        <f>519720</f>
        <v>519720</v>
      </c>
    </row>
    <row r="4" spans="2:13" ht="13.5" customHeight="1">
      <c r="B4" s="8" t="s">
        <v>1089</v>
      </c>
      <c r="C4" s="10"/>
      <c r="D4" s="10"/>
      <c r="E4" s="10"/>
      <c r="F4" s="10"/>
      <c r="G4" s="10"/>
      <c r="M4" s="1" t="s">
        <v>1090</v>
      </c>
    </row>
    <row r="5" spans="2:13">
      <c r="B5" s="11" t="s">
        <v>1091</v>
      </c>
      <c r="C5" s="12" t="s">
        <v>9</v>
      </c>
      <c r="D5" s="13" t="s">
        <v>9</v>
      </c>
      <c r="E5" s="14">
        <v>0</v>
      </c>
      <c r="F5" s="15">
        <f>'C&amp;T operator'!E45/euro</f>
        <v>0</v>
      </c>
      <c r="G5" s="15">
        <f>SUM(D5:F5)</f>
        <v>0</v>
      </c>
    </row>
    <row r="6" spans="2:13">
      <c r="B6" s="11" t="s">
        <v>1092</v>
      </c>
      <c r="C6" s="12" t="s">
        <v>9</v>
      </c>
      <c r="D6" s="13" t="s">
        <v>9</v>
      </c>
      <c r="E6" s="14">
        <v>0</v>
      </c>
      <c r="F6" s="15">
        <v>0</v>
      </c>
      <c r="G6" s="15">
        <f>SUM(D6:F6)</f>
        <v>0</v>
      </c>
    </row>
    <row r="7" spans="2:13" ht="25.5">
      <c r="B7" s="11" t="s">
        <v>1093</v>
      </c>
      <c r="C7" s="12" t="s">
        <v>9</v>
      </c>
      <c r="D7" s="13">
        <f>SUM('D7.C&amp;T'!K21:K31)</f>
        <v>1971057.9203344199</v>
      </c>
      <c r="E7" s="14"/>
      <c r="F7" s="15">
        <f>('C&amp;T operator'!E46+'C&amp;T operator'!E47+'C&amp;T operator'!E48+'C&amp;T operator'!E49)/euro</f>
        <v>461620.84488926397</v>
      </c>
      <c r="G7" s="15">
        <f>SUM(D7:F7)</f>
        <v>2432678.7652236801</v>
      </c>
    </row>
    <row r="8" spans="2:13">
      <c r="B8" s="11" t="s">
        <v>1094</v>
      </c>
      <c r="C8" s="12" t="s">
        <v>9</v>
      </c>
      <c r="D8" s="13"/>
      <c r="E8" s="14"/>
      <c r="F8" s="15">
        <v>0</v>
      </c>
      <c r="G8" s="15">
        <f>SUM(D8:F8)</f>
        <v>0</v>
      </c>
    </row>
    <row r="9" spans="2:13">
      <c r="B9" s="8" t="s">
        <v>1095</v>
      </c>
      <c r="C9" s="10"/>
      <c r="D9" s="16"/>
      <c r="E9" s="16"/>
      <c r="F9" s="16"/>
      <c r="G9" s="16"/>
    </row>
    <row r="10" spans="2:13">
      <c r="B10" s="11" t="s">
        <v>1091</v>
      </c>
      <c r="C10" s="12">
        <v>2020</v>
      </c>
      <c r="D10" s="13">
        <f>'D7.C&amp;T'!K66</f>
        <v>4926370.58083524</v>
      </c>
      <c r="E10" s="14">
        <v>0</v>
      </c>
      <c r="F10" s="15"/>
      <c r="G10" s="15">
        <f>SUM(D10:F10)</f>
        <v>4926370.58083524</v>
      </c>
      <c r="H10" s="17" t="e">
        <f>SUM(G10:G17)+G24+G45</f>
        <v>#REF!</v>
      </c>
      <c r="I10" s="41">
        <f>'D7.C&amp;T'!E51/euro</f>
        <v>5525481.3296354404</v>
      </c>
      <c r="J10" s="17" t="s">
        <v>9</v>
      </c>
      <c r="K10" s="17" t="s">
        <v>9</v>
      </c>
    </row>
    <row r="11" spans="2:13">
      <c r="B11" s="11" t="s">
        <v>1092</v>
      </c>
      <c r="C11" s="12"/>
      <c r="D11" s="18"/>
      <c r="E11" s="14"/>
      <c r="F11" s="15">
        <f>('C&amp;T operator'!E51+'C&amp;T operator'!E52)/euro</f>
        <v>2462294.5668495502</v>
      </c>
      <c r="G11" s="15">
        <f t="shared" ref="G11:G17" si="0">SUM(D11:F11)</f>
        <v>2462294.5668495502</v>
      </c>
      <c r="I11" s="20" t="s">
        <v>9</v>
      </c>
      <c r="J11" s="17" t="s">
        <v>9</v>
      </c>
      <c r="K11" s="20" t="s">
        <v>9</v>
      </c>
    </row>
    <row r="12" spans="2:13" ht="25.5">
      <c r="B12" s="11" t="s">
        <v>1096</v>
      </c>
      <c r="C12" s="12">
        <v>2020</v>
      </c>
      <c r="D12" s="13">
        <f>'D7.C&amp;T'!K67</f>
        <v>1274488.8030969901</v>
      </c>
      <c r="E12" s="14">
        <v>0</v>
      </c>
      <c r="F12" s="15">
        <v>0</v>
      </c>
      <c r="G12" s="15">
        <f t="shared" si="0"/>
        <v>1274488.8030969901</v>
      </c>
      <c r="K12" s="20" t="s">
        <v>9</v>
      </c>
    </row>
    <row r="13" spans="2:13" ht="18" customHeight="1">
      <c r="B13" s="11" t="s">
        <v>1097</v>
      </c>
      <c r="C13" s="12">
        <v>2020</v>
      </c>
      <c r="D13" s="13">
        <f>'D7.C&amp;T'!K68</f>
        <v>25832366.711027399</v>
      </c>
      <c r="E13" s="14">
        <v>0</v>
      </c>
      <c r="F13" s="15">
        <v>0</v>
      </c>
      <c r="G13" s="15">
        <f t="shared" si="0"/>
        <v>25832366.711027399</v>
      </c>
      <c r="I13" s="42" t="s">
        <v>9</v>
      </c>
    </row>
    <row r="14" spans="2:13" ht="21" customHeight="1">
      <c r="B14" s="11" t="s">
        <v>1098</v>
      </c>
      <c r="C14" s="12">
        <v>2020</v>
      </c>
      <c r="D14" s="13" t="e">
        <f>'D7.C&amp;T'!G72</f>
        <v>#REF!</v>
      </c>
      <c r="E14" s="14"/>
      <c r="F14" s="15">
        <v>0</v>
      </c>
      <c r="G14" s="15" t="e">
        <f t="shared" si="0"/>
        <v>#REF!</v>
      </c>
      <c r="I14" s="1" t="s">
        <v>9</v>
      </c>
      <c r="J14" s="20" t="s">
        <v>9</v>
      </c>
    </row>
    <row r="15" spans="2:13" ht="21" customHeight="1">
      <c r="B15" s="11" t="s">
        <v>1099</v>
      </c>
      <c r="C15" s="12"/>
      <c r="D15" s="13"/>
      <c r="E15" s="14"/>
      <c r="F15" s="15">
        <f>('C&amp;T operator'!E68+'C&amp;T operator'!E71)/euro</f>
        <v>1277641.1833273</v>
      </c>
      <c r="G15" s="15">
        <f t="shared" si="0"/>
        <v>1277641.1833273</v>
      </c>
    </row>
    <row r="16" spans="2:13" ht="21" customHeight="1">
      <c r="B16" s="11" t="s">
        <v>1100</v>
      </c>
      <c r="C16" s="12">
        <v>2020</v>
      </c>
      <c r="D16" s="13" t="e">
        <f>'D7.C&amp;T'!G73</f>
        <v>#REF!</v>
      </c>
      <c r="E16" s="14"/>
      <c r="F16" s="15"/>
      <c r="G16" s="15" t="e">
        <f t="shared" si="0"/>
        <v>#REF!</v>
      </c>
    </row>
    <row r="17" spans="2:9" ht="17.45" customHeight="1">
      <c r="B17" s="11" t="s">
        <v>1101</v>
      </c>
      <c r="C17" s="12">
        <v>2020</v>
      </c>
      <c r="D17" s="13" t="e">
        <f>'D7.C&amp;T'!G74</f>
        <v>#REF!</v>
      </c>
      <c r="E17" s="14"/>
      <c r="F17" s="15"/>
      <c r="G17" s="15" t="e">
        <f t="shared" si="0"/>
        <v>#REF!</v>
      </c>
      <c r="I17" s="17" t="s">
        <v>9</v>
      </c>
    </row>
    <row r="18" spans="2:9">
      <c r="B18" s="8" t="s">
        <v>1102</v>
      </c>
      <c r="C18" s="10"/>
      <c r="D18" s="16"/>
      <c r="E18" s="16"/>
      <c r="F18" s="16"/>
      <c r="G18" s="16"/>
      <c r="I18" s="20" t="s">
        <v>9</v>
      </c>
    </row>
    <row r="19" spans="2:9" ht="18" customHeight="1">
      <c r="B19" s="11" t="s">
        <v>1103</v>
      </c>
      <c r="C19" s="12">
        <v>2020</v>
      </c>
      <c r="D19" s="13" t="s">
        <v>9</v>
      </c>
      <c r="E19" s="14">
        <v>0</v>
      </c>
      <c r="F19" s="15" t="e">
        <f>('C&amp;T operator'!E59+'C&amp;T operator'!E60+'C&amp;T operator'!#REF!+'C&amp;T operator'!#REF!)/euro</f>
        <v>#REF!</v>
      </c>
      <c r="G19" s="15" t="e">
        <f>SUM(D19:F19)</f>
        <v>#REF!</v>
      </c>
      <c r="I19" s="1" t="s">
        <v>9</v>
      </c>
    </row>
    <row r="20" spans="2:9" ht="16.7" customHeight="1">
      <c r="B20" s="11" t="s">
        <v>1104</v>
      </c>
      <c r="C20" s="12">
        <v>2020</v>
      </c>
      <c r="D20" s="19" t="s">
        <v>9</v>
      </c>
      <c r="E20" s="14"/>
      <c r="F20" s="15">
        <f>('C&amp;T operator'!E66+'C&amp;T operator'!E67)/euro</f>
        <v>2153914.5464046001</v>
      </c>
      <c r="G20" s="15">
        <f>SUM(D20:F20)</f>
        <v>2153914.5464046001</v>
      </c>
    </row>
    <row r="21" spans="2:9" ht="44.25" customHeight="1">
      <c r="B21" s="8" t="s">
        <v>1105</v>
      </c>
      <c r="C21" s="10"/>
      <c r="D21" s="16"/>
      <c r="E21" s="16"/>
      <c r="F21" s="16"/>
      <c r="G21" s="16"/>
    </row>
    <row r="22" spans="2:9" ht="51">
      <c r="B22" s="11" t="s">
        <v>1106</v>
      </c>
      <c r="C22" s="12">
        <v>2022</v>
      </c>
      <c r="D22" s="18">
        <v>0</v>
      </c>
      <c r="E22" s="14">
        <v>0</v>
      </c>
      <c r="F22" s="15">
        <v>0</v>
      </c>
      <c r="G22" s="15">
        <f>SUM(D22:F22)</f>
        <v>0</v>
      </c>
      <c r="H22" s="1" t="s">
        <v>9</v>
      </c>
    </row>
    <row r="23" spans="2:9">
      <c r="B23" s="11" t="s">
        <v>1107</v>
      </c>
      <c r="C23" s="12"/>
      <c r="D23" s="18"/>
      <c r="E23" s="14"/>
      <c r="F23" s="15" t="e">
        <f>('C&amp;T operator'!#REF!+'C&amp;T operator'!#REF!+'C&amp;T operator'!#REF!+'C&amp;T operator'!#REF!)/euro</f>
        <v>#REF!</v>
      </c>
      <c r="G23" s="15" t="e">
        <f>SUM(D23:F23)</f>
        <v>#REF!</v>
      </c>
    </row>
    <row r="24" spans="2:9">
      <c r="B24" s="11" t="s">
        <v>1108</v>
      </c>
      <c r="C24" s="12">
        <v>2020</v>
      </c>
      <c r="D24" s="18" t="e">
        <f>('D7.C&amp;T'!E22+'D7.C&amp;T'!#REF!)/euro</f>
        <v>#REF!</v>
      </c>
      <c r="E24" s="14"/>
      <c r="F24" s="15"/>
      <c r="G24" s="15" t="e">
        <f>SUM(D24:F24)</f>
        <v>#REF!</v>
      </c>
    </row>
    <row r="25" spans="2:9" ht="25.5">
      <c r="B25" s="8" t="s">
        <v>1109</v>
      </c>
      <c r="C25" s="10"/>
      <c r="D25" s="16"/>
      <c r="E25" s="16"/>
      <c r="F25" s="16"/>
      <c r="G25" s="16"/>
    </row>
    <row r="26" spans="2:9">
      <c r="B26" s="11" t="s">
        <v>1110</v>
      </c>
      <c r="C26" s="12">
        <v>2020</v>
      </c>
      <c r="D26" s="18">
        <f>1616000/euro</f>
        <v>324771.89597652602</v>
      </c>
      <c r="E26" s="14"/>
      <c r="F26" s="15"/>
      <c r="G26" s="15">
        <f t="shared" ref="G26:G31" si="1">SUM(D26:F26)</f>
        <v>324771.89597652602</v>
      </c>
    </row>
    <row r="27" spans="2:9" ht="25.5">
      <c r="B27" s="11" t="s">
        <v>1111</v>
      </c>
      <c r="C27" s="12">
        <v>2020</v>
      </c>
      <c r="D27" s="18">
        <f>4249070/euro</f>
        <v>853947.10398327897</v>
      </c>
      <c r="E27" s="14"/>
      <c r="F27" s="15"/>
      <c r="G27" s="15">
        <f t="shared" si="1"/>
        <v>853947.10398327897</v>
      </c>
    </row>
    <row r="28" spans="2:9">
      <c r="B28" s="11" t="s">
        <v>1112</v>
      </c>
      <c r="C28" s="12">
        <v>2020</v>
      </c>
      <c r="D28" s="18">
        <f>2989600/euro-D26</f>
        <v>276056.111580047</v>
      </c>
      <c r="E28" s="14"/>
      <c r="F28" s="15"/>
      <c r="G28" s="15">
        <f t="shared" si="1"/>
        <v>276056.111580047</v>
      </c>
    </row>
    <row r="29" spans="2:9">
      <c r="B29" s="11" t="s">
        <v>1113</v>
      </c>
      <c r="C29" s="12">
        <v>2020</v>
      </c>
      <c r="D29" s="18">
        <f>7001320/euro-D27</f>
        <v>553127.135335022</v>
      </c>
      <c r="E29" s="14"/>
      <c r="F29" s="15"/>
      <c r="G29" s="15">
        <f t="shared" si="1"/>
        <v>553127.135335022</v>
      </c>
    </row>
    <row r="30" spans="2:9">
      <c r="B30" s="11" t="s">
        <v>1114</v>
      </c>
      <c r="C30" s="12">
        <v>2020</v>
      </c>
      <c r="D30" s="18">
        <f>3638020/euro</f>
        <v>731142.73081715498</v>
      </c>
      <c r="E30" s="14"/>
      <c r="F30" s="15"/>
      <c r="G30" s="15">
        <f t="shared" si="1"/>
        <v>731142.73081715498</v>
      </c>
    </row>
    <row r="31" spans="2:9">
      <c r="B31" s="11" t="s">
        <v>1115</v>
      </c>
      <c r="C31" s="12">
        <v>2020</v>
      </c>
      <c r="D31" s="18">
        <f>505000/euro</f>
        <v>101491.217492665</v>
      </c>
      <c r="E31" s="14"/>
      <c r="F31" s="15"/>
      <c r="G31" s="15">
        <f t="shared" si="1"/>
        <v>101491.217492665</v>
      </c>
    </row>
    <row r="32" spans="2:9">
      <c r="B32" s="8" t="s">
        <v>1116</v>
      </c>
      <c r="C32" s="10"/>
      <c r="D32" s="16"/>
      <c r="E32" s="16"/>
      <c r="F32" s="16"/>
      <c r="G32" s="16"/>
    </row>
    <row r="33" spans="2:9">
      <c r="B33" s="11" t="s">
        <v>1117</v>
      </c>
      <c r="C33" s="12">
        <v>2022</v>
      </c>
      <c r="D33" s="13" t="e">
        <f>(#REF!+#REF!+#REF!+#REF!+#REF!)/euro*40%</f>
        <v>#REF!</v>
      </c>
      <c r="E33" s="14"/>
      <c r="F33" s="15"/>
      <c r="G33" s="15" t="e">
        <f>SUM(D33:F33)</f>
        <v>#REF!</v>
      </c>
    </row>
    <row r="34" spans="2:9">
      <c r="B34" s="11" t="s">
        <v>1118</v>
      </c>
      <c r="C34" s="12">
        <v>2022</v>
      </c>
      <c r="D34" s="13" t="e">
        <f>(#REF!+#REF!+#REF!+#REF!+#REF!)/euro-D31</f>
        <v>#REF!</v>
      </c>
      <c r="E34" s="14"/>
      <c r="F34" s="15"/>
      <c r="G34" s="15" t="e">
        <f>SUM(D34:F34)</f>
        <v>#REF!</v>
      </c>
    </row>
    <row r="35" spans="2:9">
      <c r="B35" s="11" t="s">
        <v>1119</v>
      </c>
      <c r="C35" s="12">
        <v>2022</v>
      </c>
      <c r="D35" s="13" t="e">
        <f>(#REF!+#REF!+#REF!+#REF!+#REF!)/euro</f>
        <v>#REF!</v>
      </c>
      <c r="E35" s="14"/>
      <c r="F35" s="15"/>
      <c r="G35" s="15" t="e">
        <f>SUM(D35:F35)</f>
        <v>#REF!</v>
      </c>
      <c r="H35" s="20" t="s">
        <v>9</v>
      </c>
    </row>
    <row r="36" spans="2:9">
      <c r="B36" s="8" t="s">
        <v>1120</v>
      </c>
      <c r="C36" s="10"/>
      <c r="D36" s="16"/>
      <c r="E36" s="16"/>
      <c r="F36" s="16"/>
      <c r="G36" s="16"/>
    </row>
    <row r="37" spans="2:9">
      <c r="B37" s="11" t="s">
        <v>1121</v>
      </c>
      <c r="C37" s="12">
        <v>2021</v>
      </c>
      <c r="D37" s="13" t="e">
        <f>(#REF!+#REF!+#REF!+#REF!)/euro</f>
        <v>#REF!</v>
      </c>
      <c r="E37" s="14"/>
      <c r="F37" s="15"/>
      <c r="G37" s="15" t="e">
        <f>SUM(D37:F37)</f>
        <v>#REF!</v>
      </c>
      <c r="I37" s="20" t="s">
        <v>9</v>
      </c>
    </row>
    <row r="38" spans="2:9">
      <c r="B38" s="11" t="s">
        <v>1122</v>
      </c>
      <c r="C38" s="12" t="s">
        <v>9</v>
      </c>
      <c r="D38" s="13"/>
      <c r="E38" s="14"/>
      <c r="F38" s="15"/>
      <c r="G38" s="15">
        <f>SUM(D38:F38)</f>
        <v>0</v>
      </c>
    </row>
    <row r="39" spans="2:9">
      <c r="B39" s="11" t="s">
        <v>1123</v>
      </c>
      <c r="C39" s="12"/>
      <c r="D39" s="13"/>
      <c r="E39" s="14"/>
      <c r="F39" s="15"/>
      <c r="G39" s="15">
        <f>SUM(D39:F39)</f>
        <v>0</v>
      </c>
    </row>
    <row r="40" spans="2:9">
      <c r="B40" s="8" t="s">
        <v>1124</v>
      </c>
      <c r="C40" s="10"/>
      <c r="D40" s="16"/>
      <c r="E40" s="16"/>
      <c r="F40" s="16"/>
      <c r="G40" s="16"/>
    </row>
    <row r="41" spans="2:9">
      <c r="B41" s="11" t="s">
        <v>1117</v>
      </c>
      <c r="C41" s="12">
        <v>2022</v>
      </c>
      <c r="D41" s="13" t="e">
        <f>(#REF!+#REF!+#REF!+#REF!+#REF!)/euro-D33-D30</f>
        <v>#REF!</v>
      </c>
      <c r="E41" s="14"/>
      <c r="F41" s="15"/>
      <c r="G41" s="15" t="e">
        <f>SUM(D41:F41)</f>
        <v>#REF!</v>
      </c>
      <c r="I41" s="20" t="s">
        <v>9</v>
      </c>
    </row>
    <row r="42" spans="2:9" ht="25.5">
      <c r="B42" s="11" t="s">
        <v>1125</v>
      </c>
      <c r="C42" s="12">
        <v>2022</v>
      </c>
      <c r="D42" s="13" t="e">
        <f>(#REF!+#REF!+#REF!+#REF!)/euro</f>
        <v>#REF!</v>
      </c>
      <c r="E42" s="14"/>
      <c r="F42" s="15"/>
      <c r="G42" s="15" t="e">
        <f>SUM(D42:F42)</f>
        <v>#REF!</v>
      </c>
    </row>
    <row r="43" spans="2:9">
      <c r="B43" s="11" t="s">
        <v>1123</v>
      </c>
      <c r="C43" s="12">
        <v>2022</v>
      </c>
      <c r="D43" s="13"/>
      <c r="E43" s="14"/>
      <c r="F43" s="15"/>
      <c r="G43" s="15">
        <f>SUM(D43:F43)</f>
        <v>0</v>
      </c>
    </row>
    <row r="44" spans="2:9">
      <c r="B44" s="8" t="s">
        <v>1126</v>
      </c>
      <c r="C44" s="10"/>
      <c r="D44" s="16"/>
      <c r="E44" s="16"/>
      <c r="F44" s="16"/>
      <c r="G44" s="16"/>
    </row>
    <row r="45" spans="2:9" ht="18.75" customHeight="1">
      <c r="B45" s="11" t="s">
        <v>1126</v>
      </c>
      <c r="C45" s="12">
        <v>2020</v>
      </c>
      <c r="D45" s="13" t="e">
        <f>'D7.C&amp;T'!#REF!/euro</f>
        <v>#REF!</v>
      </c>
      <c r="E45" s="14">
        <v>0</v>
      </c>
      <c r="F45" s="15">
        <v>0</v>
      </c>
      <c r="G45" s="15" t="e">
        <f>SUM(D45:F45)</f>
        <v>#REF!</v>
      </c>
    </row>
    <row r="46" spans="2:9" ht="12.95" customHeight="1">
      <c r="B46" s="21" t="s">
        <v>1127</v>
      </c>
      <c r="C46" s="22"/>
      <c r="D46" s="23"/>
      <c r="E46" s="23"/>
      <c r="F46" s="23"/>
      <c r="G46" s="23"/>
    </row>
    <row r="47" spans="2:9" ht="14.45" customHeight="1">
      <c r="B47" s="11" t="s">
        <v>1128</v>
      </c>
      <c r="C47" s="12">
        <v>2022</v>
      </c>
      <c r="D47" s="13" t="e">
        <f>(#REF!+#REF!+#REF!+#REF!+#REF!)/euro-D26-D28</f>
        <v>#REF!</v>
      </c>
      <c r="E47" s="14"/>
      <c r="F47" s="15"/>
      <c r="G47" s="15" t="e">
        <f>SUM(D47:F47)</f>
        <v>#REF!</v>
      </c>
    </row>
    <row r="48" spans="2:9">
      <c r="B48" s="8" t="s">
        <v>1129</v>
      </c>
      <c r="C48" s="10"/>
      <c r="D48" s="16"/>
      <c r="E48" s="16"/>
      <c r="F48" s="16"/>
      <c r="G48" s="16"/>
    </row>
    <row r="49" spans="2:13" ht="42" customHeight="1">
      <c r="B49" s="11" t="s">
        <v>1130</v>
      </c>
      <c r="C49" s="12">
        <v>2019</v>
      </c>
      <c r="D49" s="13" t="e">
        <f>('D2.Deviz ITDCS-summary '!C26+'D2.Deviz ITDCS-summary '!C70+'D2.Deviz ITDCS-summary '!#REF!+'D2.Deviz ITDCS-summary '!#REF!+'D2.Deviz ITDCS-summary '!#REF!)/euro-D27-D29</f>
        <v>#REF!</v>
      </c>
      <c r="E49" s="14"/>
      <c r="F49" s="15"/>
      <c r="G49" s="15" t="e">
        <f>SUM(D49:F49)</f>
        <v>#REF!</v>
      </c>
    </row>
    <row r="50" spans="2:13">
      <c r="B50" s="8" t="s">
        <v>1131</v>
      </c>
      <c r="C50" s="24"/>
      <c r="D50" s="25"/>
      <c r="E50" s="25"/>
      <c r="F50" s="16"/>
      <c r="G50" s="25"/>
    </row>
    <row r="51" spans="2:13" ht="25.5">
      <c r="B51" s="11" t="s">
        <v>1132</v>
      </c>
      <c r="C51" s="12">
        <v>2019</v>
      </c>
      <c r="D51" s="13" t="e">
        <f>(#REF!+#REF!+#REF!+#REF!)/euro</f>
        <v>#REF!</v>
      </c>
      <c r="E51" s="14"/>
      <c r="F51" s="15"/>
      <c r="G51" s="15" t="e">
        <f>SUM(D51:F51)</f>
        <v>#REF!</v>
      </c>
    </row>
    <row r="52" spans="2:13">
      <c r="B52" s="26" t="s">
        <v>1133</v>
      </c>
      <c r="C52" s="27"/>
      <c r="D52" s="28" t="e">
        <f>SUM(D5:D51)</f>
        <v>#REF!</v>
      </c>
      <c r="E52" s="28">
        <f>SUM(E5:E51)</f>
        <v>0</v>
      </c>
      <c r="F52" s="28" t="e">
        <f>SUM(F5:F51)</f>
        <v>#REF!</v>
      </c>
      <c r="G52" s="28" t="e">
        <f>SUM(G5:G51)</f>
        <v>#REF!</v>
      </c>
    </row>
    <row r="53" spans="2:13">
      <c r="B53" s="11" t="s">
        <v>1134</v>
      </c>
      <c r="C53" s="12"/>
      <c r="D53" s="13" t="e">
        <f>#REF!</f>
        <v>#REF!</v>
      </c>
      <c r="E53" s="29"/>
      <c r="F53" s="15"/>
      <c r="G53" s="15" t="e">
        <f t="shared" ref="G53:G60" si="2">SUM(D53:F53)</f>
        <v>#REF!</v>
      </c>
    </row>
    <row r="54" spans="2:13">
      <c r="B54" s="11" t="s">
        <v>1135</v>
      </c>
      <c r="C54" s="12"/>
      <c r="D54" s="13" t="e">
        <f>#REF!</f>
        <v>#REF!</v>
      </c>
      <c r="E54" s="14"/>
      <c r="F54" s="15"/>
      <c r="G54" s="15" t="e">
        <f t="shared" si="2"/>
        <v>#REF!</v>
      </c>
      <c r="I54" s="1" t="s">
        <v>9</v>
      </c>
    </row>
    <row r="55" spans="2:13">
      <c r="B55" s="11" t="s">
        <v>1136</v>
      </c>
      <c r="C55" s="12"/>
      <c r="D55" s="13" t="e">
        <f>#REF!</f>
        <v>#REF!</v>
      </c>
      <c r="E55" s="14"/>
      <c r="F55" s="15"/>
      <c r="G55" s="15" t="e">
        <f t="shared" si="2"/>
        <v>#REF!</v>
      </c>
      <c r="I55" s="20" t="s">
        <v>9</v>
      </c>
    </row>
    <row r="56" spans="2:13">
      <c r="B56" s="11" t="s">
        <v>526</v>
      </c>
      <c r="C56" s="12"/>
      <c r="D56" s="13" t="e">
        <f>#REF!</f>
        <v>#REF!</v>
      </c>
      <c r="E56" s="14"/>
      <c r="F56" s="15"/>
      <c r="G56" s="15" t="e">
        <f t="shared" si="2"/>
        <v>#REF!</v>
      </c>
    </row>
    <row r="57" spans="2:13">
      <c r="B57" s="11" t="s">
        <v>267</v>
      </c>
      <c r="C57" s="30"/>
      <c r="D57" s="13" t="e">
        <f>#REF!</f>
        <v>#REF!</v>
      </c>
      <c r="E57" s="14"/>
      <c r="F57" s="15"/>
      <c r="G57" s="15" t="e">
        <f t="shared" si="2"/>
        <v>#REF!</v>
      </c>
    </row>
    <row r="58" spans="2:13" ht="25.5">
      <c r="B58" s="11" t="s">
        <v>1137</v>
      </c>
      <c r="C58" s="12"/>
      <c r="D58" s="13" t="e">
        <f>#REF!</f>
        <v>#REF!</v>
      </c>
      <c r="E58" s="14"/>
      <c r="F58" s="15"/>
      <c r="G58" s="15" t="e">
        <f t="shared" si="2"/>
        <v>#REF!</v>
      </c>
    </row>
    <row r="59" spans="2:13">
      <c r="B59" s="31" t="s">
        <v>331</v>
      </c>
      <c r="C59" s="12"/>
      <c r="D59" s="32" t="e">
        <f>SUM(D52:D58)</f>
        <v>#REF!</v>
      </c>
      <c r="E59" s="32">
        <f>SUM(E52:E58)</f>
        <v>0</v>
      </c>
      <c r="F59" s="32" t="e">
        <f>SUM(F52:F58)</f>
        <v>#REF!</v>
      </c>
      <c r="G59" s="15" t="e">
        <f t="shared" si="2"/>
        <v>#REF!</v>
      </c>
      <c r="M59" s="43" t="e">
        <f>D59/M3</f>
        <v>#REF!</v>
      </c>
    </row>
    <row r="60" spans="2:13">
      <c r="B60" s="11" t="s">
        <v>102</v>
      </c>
      <c r="C60" s="12"/>
      <c r="D60" s="19" t="e">
        <f>#REF!</f>
        <v>#REF!</v>
      </c>
      <c r="E60" s="33"/>
      <c r="F60" s="15" t="e">
        <f>F59*19%</f>
        <v>#REF!</v>
      </c>
      <c r="G60" s="15" t="e">
        <f t="shared" si="2"/>
        <v>#REF!</v>
      </c>
    </row>
    <row r="61" spans="2:13">
      <c r="B61" s="34" t="s">
        <v>1138</v>
      </c>
      <c r="C61" s="35"/>
      <c r="D61" s="28" t="e">
        <f>D59+D60</f>
        <v>#REF!</v>
      </c>
      <c r="E61" s="28">
        <f t="shared" ref="E61:G62" si="3">E59+E60</f>
        <v>0</v>
      </c>
      <c r="F61" s="28" t="e">
        <f t="shared" si="3"/>
        <v>#REF!</v>
      </c>
      <c r="G61" s="28" t="e">
        <f t="shared" si="3"/>
        <v>#REF!</v>
      </c>
      <c r="I61" s="44" t="s">
        <v>9</v>
      </c>
    </row>
    <row r="62" spans="2:13">
      <c r="B62" s="36" t="s">
        <v>1139</v>
      </c>
      <c r="C62" s="37"/>
      <c r="D62" s="38" t="e">
        <f>#REF!</f>
        <v>#REF!</v>
      </c>
      <c r="E62" s="38">
        <v>0</v>
      </c>
      <c r="F62" s="38" t="e">
        <f>'G.1.2 plan anual'!G5*F61</f>
        <v>#REF!</v>
      </c>
      <c r="G62" s="39" t="e">
        <f t="shared" si="3"/>
        <v>#REF!</v>
      </c>
    </row>
    <row r="63" spans="2:13" s="1" customFormat="1">
      <c r="D63" s="40"/>
      <c r="E63" s="40"/>
      <c r="F63" s="40"/>
      <c r="G63" s="40"/>
    </row>
    <row r="64" spans="2:13" s="1" customFormat="1">
      <c r="D64" s="41">
        <f>'DEVIZ GENERAL'!H177</f>
        <v>110399541.34999999</v>
      </c>
    </row>
    <row r="65" spans="2:5" s="1" customFormat="1">
      <c r="B65" s="1" t="s">
        <v>334</v>
      </c>
      <c r="D65" s="41" t="e">
        <f>D61-D64</f>
        <v>#REF!</v>
      </c>
    </row>
    <row r="66" spans="2:5" s="1" customFormat="1">
      <c r="D66" s="20" t="s">
        <v>9</v>
      </c>
    </row>
    <row r="67" spans="2:5" s="1" customFormat="1">
      <c r="D67" s="41">
        <f>'DEVIZ GENERAL'!C177</f>
        <v>92906933.25</v>
      </c>
    </row>
    <row r="68" spans="2:5" s="1" customFormat="1">
      <c r="D68" s="20" t="e">
        <f>#REF!</f>
        <v>#REF!</v>
      </c>
      <c r="E68" s="20" t="s">
        <v>9</v>
      </c>
    </row>
    <row r="69" spans="2:5" s="1" customFormat="1">
      <c r="D69" s="41">
        <f>'DEVIZ GENERAL'!C184</f>
        <v>0.01</v>
      </c>
    </row>
    <row r="70" spans="2:5" s="1" customFormat="1"/>
    <row r="71" spans="2:5" s="1" customFormat="1"/>
    <row r="72" spans="2:5" s="1" customFormat="1"/>
    <row r="73" spans="2:5" s="1" customFormat="1"/>
    <row r="74" spans="2:5" s="1" customFormat="1"/>
    <row r="75" spans="2:5" s="1" customFormat="1"/>
    <row r="76" spans="2:5" s="1" customFormat="1"/>
    <row r="77" spans="2:5" s="1" customFormat="1"/>
    <row r="78" spans="2:5" s="1" customFormat="1"/>
    <row r="79" spans="2:5" s="1" customFormat="1"/>
    <row r="80" spans="2:5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</sheetData>
  <mergeCells count="1">
    <mergeCell ref="D3:G3"/>
  </mergeCells>
  <pageMargins left="0.7" right="0.7" top="0.75" bottom="0.75" header="0.3" footer="0.3"/>
  <pageSetup paperSize="9" scale="67" orientation="portrait" r:id="rId1"/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17"/>
  <sheetViews>
    <sheetView view="pageBreakPreview" topLeftCell="E35" zoomScale="75" zoomScaleNormal="75" workbookViewId="0">
      <selection activeCell="I37" sqref="I37"/>
    </sheetView>
  </sheetViews>
  <sheetFormatPr defaultColWidth="8.85546875" defaultRowHeight="12.75"/>
  <cols>
    <col min="1" max="1" width="8.85546875" style="58"/>
    <col min="2" max="2" width="31.28515625" customWidth="1"/>
    <col min="3" max="6" width="18.28515625" customWidth="1"/>
    <col min="7" max="7" width="16.85546875" customWidth="1"/>
    <col min="8" max="8" width="18.140625" customWidth="1"/>
    <col min="9" max="10" width="20.42578125" customWidth="1"/>
    <col min="11" max="11" width="14.42578125" customWidth="1"/>
    <col min="12" max="12" width="16.42578125" customWidth="1"/>
    <col min="13" max="13" width="17.140625" customWidth="1"/>
    <col min="14" max="14" width="15.140625" style="58" customWidth="1"/>
    <col min="15" max="15" width="18.85546875" style="58" customWidth="1"/>
    <col min="16" max="16" width="28.140625" customWidth="1"/>
    <col min="17" max="17" width="16.7109375" customWidth="1"/>
  </cols>
  <sheetData>
    <row r="1" spans="2:16" s="58" customFormat="1"/>
    <row r="2" spans="2:16" s="58" customFormat="1">
      <c r="B2" s="58" t="s">
        <v>250</v>
      </c>
    </row>
    <row r="3" spans="2:16" s="58" customFormat="1">
      <c r="B3" s="82" t="s">
        <v>251</v>
      </c>
      <c r="N3" s="58" t="s">
        <v>9</v>
      </c>
      <c r="O3" s="1397" t="s">
        <v>9</v>
      </c>
    </row>
    <row r="4" spans="2:16" s="58" customFormat="1">
      <c r="O4" s="129"/>
    </row>
    <row r="5" spans="2:16">
      <c r="B5" s="1803" t="s">
        <v>252</v>
      </c>
      <c r="C5" s="1815" t="s">
        <v>253</v>
      </c>
      <c r="D5" s="1816"/>
      <c r="E5" s="1816"/>
      <c r="F5" s="1816"/>
      <c r="G5" s="1816"/>
      <c r="H5" s="1817"/>
      <c r="I5" s="1818" t="s">
        <v>254</v>
      </c>
      <c r="J5" s="1819"/>
      <c r="K5" s="1819"/>
      <c r="L5" s="1819"/>
      <c r="M5" s="1819"/>
      <c r="N5" s="1820"/>
      <c r="O5" s="1806" t="s">
        <v>255</v>
      </c>
    </row>
    <row r="6" spans="2:16">
      <c r="B6" s="1804"/>
      <c r="C6" s="1821" t="s">
        <v>256</v>
      </c>
      <c r="D6" s="1822"/>
      <c r="E6" s="1822"/>
      <c r="F6" s="1823"/>
      <c r="G6" s="1823"/>
      <c r="H6" s="1806" t="s">
        <v>257</v>
      </c>
      <c r="I6" s="1824" t="s">
        <v>258</v>
      </c>
      <c r="J6" s="1825"/>
      <c r="K6" s="1825"/>
      <c r="L6" s="1826"/>
      <c r="M6" s="1826"/>
      <c r="N6" s="1806" t="s">
        <v>259</v>
      </c>
      <c r="O6" s="1827"/>
    </row>
    <row r="7" spans="2:16">
      <c r="B7" s="1805"/>
      <c r="C7" s="1329">
        <v>2025</v>
      </c>
      <c r="D7" s="1330">
        <f>C7+1</f>
        <v>2026</v>
      </c>
      <c r="E7" s="1330">
        <f t="shared" ref="E7" si="0">D7+1</f>
        <v>2027</v>
      </c>
      <c r="F7" s="1331">
        <f t="shared" ref="F7" si="1">E7+1</f>
        <v>2028</v>
      </c>
      <c r="G7" s="1331">
        <f t="shared" ref="G7" si="2">F7+1</f>
        <v>2029</v>
      </c>
      <c r="H7" s="1807"/>
      <c r="I7" s="1329">
        <f>C7</f>
        <v>2025</v>
      </c>
      <c r="J7" s="1330">
        <f>D7</f>
        <v>2026</v>
      </c>
      <c r="K7" s="1330">
        <f>E7</f>
        <v>2027</v>
      </c>
      <c r="L7" s="1331">
        <f t="shared" ref="L7" si="3">K7+1</f>
        <v>2028</v>
      </c>
      <c r="M7" s="1331">
        <f t="shared" ref="M7" si="4">L7+1</f>
        <v>2029</v>
      </c>
      <c r="N7" s="1807"/>
      <c r="O7" s="1807"/>
    </row>
    <row r="8" spans="2:16">
      <c r="B8" s="1332" t="s">
        <v>260</v>
      </c>
      <c r="C8" s="1333"/>
      <c r="D8" s="1334"/>
      <c r="E8" s="1334"/>
      <c r="F8" s="1335"/>
      <c r="G8" s="1335"/>
      <c r="H8" s="1336"/>
      <c r="I8" s="1333"/>
      <c r="J8" s="1334"/>
      <c r="K8" s="1334"/>
      <c r="L8" s="1335"/>
      <c r="M8" s="1335"/>
      <c r="N8" s="1336"/>
      <c r="O8" s="1336"/>
    </row>
    <row r="9" spans="2:16">
      <c r="B9" s="1337" t="s">
        <v>261</v>
      </c>
      <c r="C9" s="1338">
        <v>0</v>
      </c>
      <c r="D9" s="1339"/>
      <c r="E9" s="1339"/>
      <c r="F9" s="1340"/>
      <c r="G9" s="1340">
        <v>0</v>
      </c>
      <c r="H9" s="1341">
        <v>0</v>
      </c>
      <c r="I9" s="1338"/>
      <c r="J9" s="1339"/>
      <c r="K9" s="1339"/>
      <c r="L9" s="1340"/>
      <c r="M9" s="1340"/>
      <c r="N9" s="1341"/>
      <c r="O9" s="1341"/>
    </row>
    <row r="10" spans="2:16">
      <c r="B10" s="1342" t="s">
        <v>262</v>
      </c>
      <c r="C10" s="1343"/>
      <c r="D10" s="1344"/>
      <c r="E10" s="1344"/>
      <c r="F10" s="1345"/>
      <c r="G10" s="1345"/>
      <c r="H10" s="1346"/>
      <c r="I10" s="1343"/>
      <c r="J10" s="1344"/>
      <c r="K10" s="1344"/>
      <c r="L10" s="1345"/>
      <c r="M10" s="1345"/>
      <c r="N10" s="1398"/>
      <c r="O10" s="1398"/>
    </row>
    <row r="11" spans="2:16">
      <c r="B11" s="1347" t="s">
        <v>263</v>
      </c>
      <c r="C11" s="1348"/>
      <c r="D11" s="1349"/>
      <c r="E11" s="1349">
        <f>'DEVIZ GENERAL'!D20*75%+'DEVIZ GENERAL'!D27+'DEVIZ GENERAL'!D79*25%+'DEVIZ GENERAL'!D116*90%+'DEVIZ GENERAL'!D120*75%</f>
        <v>8403520.8149999995</v>
      </c>
      <c r="F11" s="1350">
        <f>+'DEVIZ GENERAL'!D79*60%</f>
        <v>14124312.276000001</v>
      </c>
      <c r="G11" s="1350">
        <f>'DEVIZ GENERAL'!D20*25%+'DEVIZ GENERAL'!D79*15%+'DEVIZ GENERAL'!D116*10%+'DEVIZ GENERAL'!D120*25%+'DEVIZ GENERAL'!D146+'DEVIZ GENERAL'!D149</f>
        <v>8059690.9589999998</v>
      </c>
      <c r="H11" s="1351">
        <f>SUM(C11:G11)</f>
        <v>30587524.049999997</v>
      </c>
      <c r="I11" s="1348"/>
      <c r="J11" s="1349"/>
      <c r="K11" s="1349"/>
      <c r="L11" s="1350"/>
      <c r="M11" s="1350"/>
      <c r="N11" s="1351">
        <f>SUM(I11:M11)</f>
        <v>0</v>
      </c>
      <c r="O11" s="1351">
        <f>H11+N11</f>
        <v>30587524.049999997</v>
      </c>
      <c r="P11" s="274"/>
    </row>
    <row r="12" spans="2:16">
      <c r="B12" s="1347" t="s">
        <v>264</v>
      </c>
      <c r="C12" s="1348">
        <v>0</v>
      </c>
      <c r="D12" s="1349"/>
      <c r="E12" s="1349"/>
      <c r="F12" s="1350"/>
      <c r="G12" s="1350">
        <v>0</v>
      </c>
      <c r="H12" s="1351">
        <f>SUM(C12:G12)</f>
        <v>0</v>
      </c>
      <c r="I12" s="1348"/>
      <c r="J12" s="1349"/>
      <c r="K12" s="1349"/>
      <c r="L12" s="1350"/>
      <c r="M12" s="1350"/>
      <c r="N12" s="1351">
        <f>SUM(I12:M12)</f>
        <v>0</v>
      </c>
      <c r="O12" s="1351">
        <f>H12+N12</f>
        <v>0</v>
      </c>
    </row>
    <row r="13" spans="2:16">
      <c r="B13" s="1347" t="s">
        <v>180</v>
      </c>
      <c r="C13" s="1348">
        <v>0</v>
      </c>
      <c r="D13" s="1349"/>
      <c r="E13" s="1349"/>
      <c r="F13" s="1350"/>
      <c r="G13" s="1350">
        <v>0</v>
      </c>
      <c r="H13" s="1351">
        <f>SUM(C13:G13)</f>
        <v>0</v>
      </c>
      <c r="I13" s="1348"/>
      <c r="J13" s="1349"/>
      <c r="K13" s="1349"/>
      <c r="L13" s="1350"/>
      <c r="M13" s="1350"/>
      <c r="N13" s="1351">
        <f>SUM(I13:M13)</f>
        <v>0</v>
      </c>
      <c r="O13" s="1351">
        <f>H13+N13</f>
        <v>0</v>
      </c>
    </row>
    <row r="14" spans="2:16">
      <c r="B14" s="1352" t="s">
        <v>9</v>
      </c>
      <c r="C14" s="1348" t="s">
        <v>9</v>
      </c>
      <c r="D14" s="1349"/>
      <c r="E14" s="1349"/>
      <c r="F14" s="1350"/>
      <c r="G14" s="1350" t="s">
        <v>9</v>
      </c>
      <c r="H14" s="1353" t="s">
        <v>9</v>
      </c>
      <c r="I14" s="1343"/>
      <c r="J14" s="1344"/>
      <c r="K14" s="1344"/>
      <c r="L14" s="1345"/>
      <c r="M14" s="1345"/>
      <c r="N14" s="1398"/>
      <c r="O14" s="1398"/>
    </row>
    <row r="15" spans="2:16">
      <c r="B15" s="1337" t="s">
        <v>261</v>
      </c>
      <c r="C15" s="1354">
        <f t="shared" ref="C15:O15" si="5">SUM(C11:C14)</f>
        <v>0</v>
      </c>
      <c r="D15" s="1355">
        <f t="shared" si="5"/>
        <v>0</v>
      </c>
      <c r="E15" s="1355">
        <f t="shared" si="5"/>
        <v>8403520.8149999995</v>
      </c>
      <c r="F15" s="1355">
        <f t="shared" si="5"/>
        <v>14124312.276000001</v>
      </c>
      <c r="G15" s="1356">
        <f t="shared" si="5"/>
        <v>8059690.9589999998</v>
      </c>
      <c r="H15" s="1357">
        <f t="shared" si="5"/>
        <v>30587524.049999997</v>
      </c>
      <c r="I15" s="1354">
        <f t="shared" si="5"/>
        <v>0</v>
      </c>
      <c r="J15" s="1355">
        <f t="shared" si="5"/>
        <v>0</v>
      </c>
      <c r="K15" s="1355"/>
      <c r="L15" s="1356"/>
      <c r="M15" s="1356">
        <f t="shared" si="5"/>
        <v>0</v>
      </c>
      <c r="N15" s="1357">
        <f t="shared" si="5"/>
        <v>0</v>
      </c>
      <c r="O15" s="1357">
        <f t="shared" si="5"/>
        <v>30587524.049999997</v>
      </c>
      <c r="P15" s="274">
        <f>'DEVIZ GENERAL'!D20+'DEVIZ GENERAL'!D30+'DEVIZ GENERAL'!D82+'DEVIZ GENERAL'!D114+'DEVIZ GENERAL'!D145+'DEVIZ GENERAL'!D148</f>
        <v>30587524.049999997</v>
      </c>
    </row>
    <row r="16" spans="2:16">
      <c r="B16" s="1342" t="s">
        <v>265</v>
      </c>
      <c r="C16" s="1348"/>
      <c r="D16" s="1349"/>
      <c r="E16" s="1349"/>
      <c r="F16" s="1350"/>
      <c r="G16" s="1350"/>
      <c r="H16" s="1353"/>
      <c r="I16" s="1348"/>
      <c r="J16" s="1349"/>
      <c r="K16" s="1349"/>
      <c r="L16" s="1350"/>
      <c r="M16" s="1350"/>
      <c r="N16" s="1353"/>
      <c r="O16" s="1353"/>
    </row>
    <row r="17" spans="2:16">
      <c r="B17" s="1347" t="s">
        <v>263</v>
      </c>
      <c r="C17" s="1348">
        <v>0</v>
      </c>
      <c r="D17" s="1349"/>
      <c r="E17" s="1349">
        <f>'DEVIZ GENERAL'!D84*30%+'DEVIZ GENERAL'!D89*30%</f>
        <v>11312085.140999999</v>
      </c>
      <c r="F17" s="1350">
        <f>'DEVIZ GENERAL'!D84*50%+'DEVIZ GENERAL'!D89*50%</f>
        <v>18853475.234999999</v>
      </c>
      <c r="G17" s="1350">
        <f>'DEVIZ GENERAL'!D84*20%+'DEVIZ GENERAL'!D89*20%</f>
        <v>7541390.0940000005</v>
      </c>
      <c r="H17" s="1351">
        <f>SUM(C17:G17)</f>
        <v>37706950.469999999</v>
      </c>
      <c r="I17" s="1348">
        <v>0</v>
      </c>
      <c r="J17" s="1349"/>
      <c r="K17" s="1349"/>
      <c r="L17" s="1350"/>
      <c r="M17" s="1350"/>
      <c r="N17" s="1351">
        <f>SUM(I17:M17)</f>
        <v>0</v>
      </c>
      <c r="O17" s="1351">
        <f>H17+N17</f>
        <v>37706950.469999999</v>
      </c>
    </row>
    <row r="18" spans="2:16">
      <c r="B18" s="1347" t="s">
        <v>264</v>
      </c>
      <c r="C18" s="1348">
        <v>0</v>
      </c>
      <c r="D18" s="1349"/>
      <c r="E18" s="1349"/>
      <c r="F18" s="1350"/>
      <c r="G18" s="1350">
        <v>0</v>
      </c>
      <c r="H18" s="1351">
        <f>SUM(C18:G18)</f>
        <v>0</v>
      </c>
      <c r="I18" s="1348"/>
      <c r="J18" s="1349"/>
      <c r="K18" s="1349"/>
      <c r="L18" s="1350"/>
      <c r="M18" s="1350"/>
      <c r="N18" s="1351">
        <f>SUM(I18:M18)</f>
        <v>0</v>
      </c>
      <c r="O18" s="1351">
        <f>H18+N18</f>
        <v>0</v>
      </c>
    </row>
    <row r="19" spans="2:16">
      <c r="B19" s="1347" t="s">
        <v>180</v>
      </c>
      <c r="C19" s="1348">
        <v>0</v>
      </c>
      <c r="D19" s="1349"/>
      <c r="E19" s="1349"/>
      <c r="F19" s="1350"/>
      <c r="G19" s="1350">
        <v>0</v>
      </c>
      <c r="H19" s="1351">
        <f>SUM(C19:G19)</f>
        <v>0</v>
      </c>
      <c r="I19" s="1348"/>
      <c r="J19" s="1349"/>
      <c r="K19" s="1349"/>
      <c r="L19" s="1350"/>
      <c r="M19" s="1350"/>
      <c r="N19" s="1351">
        <f>SUM(I19:M19)</f>
        <v>0</v>
      </c>
      <c r="O19" s="1351">
        <f>H19+N19</f>
        <v>0</v>
      </c>
    </row>
    <row r="20" spans="2:16">
      <c r="B20" s="1358" t="s">
        <v>9</v>
      </c>
      <c r="C20" s="1348" t="s">
        <v>9</v>
      </c>
      <c r="D20" s="1349"/>
      <c r="E20" s="1349"/>
      <c r="F20" s="1350"/>
      <c r="G20" s="1350" t="s">
        <v>9</v>
      </c>
      <c r="H20" s="1353" t="s">
        <v>9</v>
      </c>
      <c r="I20" s="1348"/>
      <c r="J20" s="1349"/>
      <c r="K20" s="1349"/>
      <c r="L20" s="1350"/>
      <c r="M20" s="1350"/>
      <c r="N20" s="1353"/>
      <c r="O20" s="1353"/>
    </row>
    <row r="21" spans="2:16">
      <c r="B21" s="1337" t="s">
        <v>261</v>
      </c>
      <c r="C21" s="1359">
        <f t="shared" ref="C21:O21" si="6">SUM(C17:C20)</f>
        <v>0</v>
      </c>
      <c r="D21" s="1360">
        <f t="shared" si="6"/>
        <v>0</v>
      </c>
      <c r="E21" s="1360">
        <f t="shared" si="6"/>
        <v>11312085.140999999</v>
      </c>
      <c r="F21" s="1360">
        <f t="shared" si="6"/>
        <v>18853475.234999999</v>
      </c>
      <c r="G21" s="1361">
        <f t="shared" si="6"/>
        <v>7541390.0940000005</v>
      </c>
      <c r="H21" s="1362">
        <f t="shared" si="6"/>
        <v>37706950.469999999</v>
      </c>
      <c r="I21" s="1359">
        <f t="shared" si="6"/>
        <v>0</v>
      </c>
      <c r="J21" s="1360">
        <f t="shared" si="6"/>
        <v>0</v>
      </c>
      <c r="K21" s="1360"/>
      <c r="L21" s="1361"/>
      <c r="M21" s="1361">
        <f t="shared" si="6"/>
        <v>0</v>
      </c>
      <c r="N21" s="1362">
        <f t="shared" si="6"/>
        <v>0</v>
      </c>
      <c r="O21" s="1362">
        <f t="shared" si="6"/>
        <v>37706950.469999999</v>
      </c>
      <c r="P21" s="274">
        <f>'DEVIZ GENERAL'!D87+'DEVIZ GENERAL'!D92</f>
        <v>37706950.469999999</v>
      </c>
    </row>
    <row r="22" spans="2:16">
      <c r="B22" s="1342" t="s">
        <v>266</v>
      </c>
      <c r="C22" s="1348"/>
      <c r="D22" s="1349"/>
      <c r="E22" s="1349"/>
      <c r="F22" s="1350"/>
      <c r="G22" s="1350"/>
      <c r="H22" s="1353"/>
      <c r="I22" s="1348"/>
      <c r="J22" s="1349"/>
      <c r="K22" s="1349"/>
      <c r="L22" s="1350"/>
      <c r="M22" s="1350"/>
      <c r="N22" s="1353"/>
      <c r="O22" s="1353"/>
    </row>
    <row r="23" spans="2:16">
      <c r="B23" s="1347" t="s">
        <v>263</v>
      </c>
      <c r="C23" s="1348">
        <v>0</v>
      </c>
      <c r="D23" s="1349"/>
      <c r="E23" s="1349"/>
      <c r="F23" s="1350">
        <f>'DEVIZ GENERAL'!D95*60%+'DEVIZ GENERAL'!D102</f>
        <v>1494582.69</v>
      </c>
      <c r="G23" s="1350">
        <f>'DEVIZ GENERAL'!D95*40%</f>
        <v>987020.44000000006</v>
      </c>
      <c r="H23" s="1351">
        <f>SUM(C23:G23)</f>
        <v>2481603.13</v>
      </c>
      <c r="I23" s="1348">
        <v>0</v>
      </c>
      <c r="J23" s="1349"/>
      <c r="K23" s="1349"/>
      <c r="L23" s="1350"/>
      <c r="M23" s="1350"/>
      <c r="N23" s="1351">
        <f>SUM(I23:M23)</f>
        <v>0</v>
      </c>
      <c r="O23" s="1351">
        <f>H23+N23</f>
        <v>2481603.13</v>
      </c>
    </row>
    <row r="24" spans="2:16">
      <c r="B24" s="1347" t="s">
        <v>264</v>
      </c>
      <c r="C24" s="1348"/>
      <c r="D24" s="1349">
        <v>0</v>
      </c>
      <c r="E24" s="1349">
        <f>'D7.C&amp;T'!F36</f>
        <v>3024685.48</v>
      </c>
      <c r="F24" s="1350"/>
      <c r="G24" s="1350">
        <f>'D7.C&amp;T'!F34+'D7.C&amp;T'!F38+'D7.C&amp;T'!F40</f>
        <v>2500795.86</v>
      </c>
      <c r="H24" s="1351">
        <f>SUM(C24:G24)</f>
        <v>5525481.3399999999</v>
      </c>
      <c r="I24" s="1348"/>
      <c r="J24" s="1349">
        <f>+'DEVIZ GENERAL'!D109+'DEVIZ GENERAL'!D97*50%</f>
        <v>0</v>
      </c>
      <c r="K24" s="1349">
        <f>+'DEVIZ GENERAL'!D97*50%</f>
        <v>0</v>
      </c>
      <c r="L24" s="1350"/>
      <c r="M24" s="1350"/>
      <c r="N24" s="1351">
        <f>SUM(I24:M24)</f>
        <v>0</v>
      </c>
      <c r="O24" s="1351">
        <f>H24+N24</f>
        <v>5525481.3399999999</v>
      </c>
    </row>
    <row r="25" spans="2:16">
      <c r="B25" s="1347" t="s">
        <v>180</v>
      </c>
      <c r="C25" s="1348">
        <v>0</v>
      </c>
      <c r="D25" s="1349"/>
      <c r="E25" s="1349"/>
      <c r="F25" s="1350"/>
      <c r="G25" s="1350"/>
      <c r="H25" s="1351">
        <f>SUM(C25:G25)</f>
        <v>0</v>
      </c>
      <c r="I25" s="1348">
        <f>'DEVIZ GENERAL'!D105*30%</f>
        <v>1073962.3259999999</v>
      </c>
      <c r="J25" s="1349">
        <f>'DEVIZ GENERAL'!D105*70%</f>
        <v>2505912.0939999996</v>
      </c>
      <c r="K25" s="1349"/>
      <c r="L25" s="1350"/>
      <c r="M25" s="1350"/>
      <c r="N25" s="1351">
        <f>SUM(I25:M25)</f>
        <v>3579874.4199999995</v>
      </c>
      <c r="O25" s="1351">
        <f>H25+N25</f>
        <v>3579874.4199999995</v>
      </c>
    </row>
    <row r="26" spans="2:16">
      <c r="B26" s="1358" t="s">
        <v>9</v>
      </c>
      <c r="C26" s="1348" t="s">
        <v>9</v>
      </c>
      <c r="D26" s="1349"/>
      <c r="E26" s="1349"/>
      <c r="F26" s="1350"/>
      <c r="G26" s="1350" t="s">
        <v>9</v>
      </c>
      <c r="H26" s="1353" t="s">
        <v>9</v>
      </c>
      <c r="I26" s="1348"/>
      <c r="J26" s="1349"/>
      <c r="K26" s="1349"/>
      <c r="L26" s="1350"/>
      <c r="M26" s="1350"/>
      <c r="N26" s="1353"/>
      <c r="O26" s="1353"/>
    </row>
    <row r="27" spans="2:16">
      <c r="B27" s="1337" t="s">
        <v>261</v>
      </c>
      <c r="C27" s="1359">
        <f t="shared" ref="C27:O27" si="7">SUM(C23:C26)</f>
        <v>0</v>
      </c>
      <c r="D27" s="1360">
        <f t="shared" si="7"/>
        <v>0</v>
      </c>
      <c r="E27" s="1360">
        <f t="shared" si="7"/>
        <v>3024685.48</v>
      </c>
      <c r="F27" s="1360">
        <f t="shared" si="7"/>
        <v>1494582.69</v>
      </c>
      <c r="G27" s="1361">
        <f t="shared" si="7"/>
        <v>3487816.3</v>
      </c>
      <c r="H27" s="1362">
        <f t="shared" si="7"/>
        <v>8007084.4699999997</v>
      </c>
      <c r="I27" s="1359">
        <f t="shared" si="7"/>
        <v>1073962.3259999999</v>
      </c>
      <c r="J27" s="1360">
        <f t="shared" si="7"/>
        <v>2505912.0939999996</v>
      </c>
      <c r="K27" s="1360">
        <f t="shared" si="7"/>
        <v>0</v>
      </c>
      <c r="L27" s="1361"/>
      <c r="M27" s="1361">
        <f t="shared" si="7"/>
        <v>0</v>
      </c>
      <c r="N27" s="1362">
        <f t="shared" si="7"/>
        <v>3579874.4199999995</v>
      </c>
      <c r="O27" s="1362">
        <f t="shared" si="7"/>
        <v>11586958.889999999</v>
      </c>
      <c r="P27" s="274">
        <f>'DEVIZ GENERAL'!D100+'DEVIZ GENERAL'!D106+'DEVIZ GENERAL'!D109</f>
        <v>11586958.889999999</v>
      </c>
    </row>
    <row r="28" spans="2:16">
      <c r="B28" s="1342" t="s">
        <v>267</v>
      </c>
      <c r="C28" s="1348"/>
      <c r="D28" s="1349"/>
      <c r="E28" s="1349"/>
      <c r="F28" s="1350"/>
      <c r="G28" s="1350"/>
      <c r="H28" s="1353"/>
      <c r="I28" s="1348"/>
      <c r="J28" s="1349"/>
      <c r="K28" s="1349"/>
      <c r="L28" s="1350"/>
      <c r="M28" s="1350"/>
      <c r="N28" s="1353"/>
      <c r="O28" s="1353"/>
    </row>
    <row r="29" spans="2:16">
      <c r="B29" s="1347" t="s">
        <v>268</v>
      </c>
      <c r="C29" s="1348">
        <v>0</v>
      </c>
      <c r="D29" s="1349"/>
      <c r="E29" s="1349">
        <f>'DEVIZ GENERAL'!D138*10%</f>
        <v>779614.99699999997</v>
      </c>
      <c r="F29" s="1350">
        <f>'DEVIZ GENERAL'!D138*65%</f>
        <v>5067497.4804999996</v>
      </c>
      <c r="G29" s="1350">
        <f>'DEVIZ GENERAL'!D138*25%</f>
        <v>1949037.4924999999</v>
      </c>
      <c r="H29" s="1351">
        <f>SUM(C29:G29)</f>
        <v>7796149.9699999988</v>
      </c>
      <c r="I29" s="1348">
        <v>0</v>
      </c>
      <c r="J29" s="1349">
        <v>0</v>
      </c>
      <c r="K29" s="1349"/>
      <c r="L29" s="1350"/>
      <c r="M29" s="1350">
        <v>0</v>
      </c>
      <c r="N29" s="1351">
        <f>SUM(I29:M29)</f>
        <v>0</v>
      </c>
      <c r="O29" s="1351">
        <f>H29+N29</f>
        <v>7796149.9699999988</v>
      </c>
    </row>
    <row r="30" spans="2:16">
      <c r="B30" s="1347" t="s">
        <v>264</v>
      </c>
      <c r="C30" s="1348">
        <v>0</v>
      </c>
      <c r="D30" s="1349"/>
      <c r="E30" s="1349"/>
      <c r="F30" s="1350"/>
      <c r="G30" s="1350">
        <v>0</v>
      </c>
      <c r="H30" s="1351">
        <f>SUM(C30:G30)</f>
        <v>0</v>
      </c>
      <c r="I30" s="1348"/>
      <c r="J30" s="1349"/>
      <c r="K30" s="1349"/>
      <c r="L30" s="1350"/>
      <c r="M30" s="1350"/>
      <c r="N30" s="1351">
        <f>SUM(I30:M30)</f>
        <v>0</v>
      </c>
      <c r="O30" s="1351">
        <f>H30+N30</f>
        <v>0</v>
      </c>
    </row>
    <row r="31" spans="2:16">
      <c r="B31" s="1347" t="s">
        <v>180</v>
      </c>
      <c r="C31" s="1348">
        <v>0</v>
      </c>
      <c r="D31" s="1349"/>
      <c r="E31" s="1349"/>
      <c r="F31" s="1350"/>
      <c r="G31" s="1350">
        <v>0</v>
      </c>
      <c r="H31" s="1351">
        <f>SUM(C31:G31)</f>
        <v>0</v>
      </c>
      <c r="I31" s="1348"/>
      <c r="J31" s="1349"/>
      <c r="K31" s="1349"/>
      <c r="L31" s="1350"/>
      <c r="M31" s="1350"/>
      <c r="N31" s="1351">
        <f>SUM(I31:M31)</f>
        <v>0</v>
      </c>
      <c r="O31" s="1351">
        <f>H31+N31</f>
        <v>0</v>
      </c>
    </row>
    <row r="32" spans="2:16">
      <c r="B32" s="1358" t="s">
        <v>9</v>
      </c>
      <c r="C32" s="1348" t="s">
        <v>9</v>
      </c>
      <c r="D32" s="1349"/>
      <c r="E32" s="1349"/>
      <c r="F32" s="1350"/>
      <c r="G32" s="1350" t="s">
        <v>9</v>
      </c>
      <c r="H32" s="1353" t="s">
        <v>9</v>
      </c>
      <c r="I32" s="1348"/>
      <c r="J32" s="1349"/>
      <c r="K32" s="1349"/>
      <c r="L32" s="1350"/>
      <c r="M32" s="1350"/>
      <c r="N32" s="1353"/>
      <c r="O32" s="1353"/>
    </row>
    <row r="33" spans="2:16">
      <c r="B33" s="1337" t="s">
        <v>261</v>
      </c>
      <c r="C33" s="1359">
        <f t="shared" ref="C33:O33" si="8">SUM(C29:C32)</f>
        <v>0</v>
      </c>
      <c r="D33" s="1360">
        <f t="shared" si="8"/>
        <v>0</v>
      </c>
      <c r="E33" s="1360">
        <f t="shared" si="8"/>
        <v>779614.99699999997</v>
      </c>
      <c r="F33" s="1360">
        <f t="shared" si="8"/>
        <v>5067497.4804999996</v>
      </c>
      <c r="G33" s="1361">
        <f t="shared" si="8"/>
        <v>1949037.4924999999</v>
      </c>
      <c r="H33" s="1362">
        <f t="shared" si="8"/>
        <v>7796149.9699999988</v>
      </c>
      <c r="I33" s="1359">
        <f t="shared" si="8"/>
        <v>0</v>
      </c>
      <c r="J33" s="1360">
        <f t="shared" si="8"/>
        <v>0</v>
      </c>
      <c r="K33" s="1360">
        <f t="shared" si="8"/>
        <v>0</v>
      </c>
      <c r="L33" s="1361"/>
      <c r="M33" s="1361">
        <f t="shared" si="8"/>
        <v>0</v>
      </c>
      <c r="N33" s="1362">
        <f t="shared" si="8"/>
        <v>0</v>
      </c>
      <c r="O33" s="1362">
        <f t="shared" si="8"/>
        <v>7796149.9699999988</v>
      </c>
      <c r="P33" s="274">
        <f>'DEVIZ GENERAL'!D137</f>
        <v>7796149.9699999997</v>
      </c>
    </row>
    <row r="34" spans="2:16">
      <c r="B34" s="1342" t="s">
        <v>269</v>
      </c>
      <c r="C34" s="1348"/>
      <c r="D34" s="1349"/>
      <c r="E34" s="1349"/>
      <c r="F34" s="1350"/>
      <c r="G34" s="1350"/>
      <c r="H34" s="1353"/>
      <c r="I34" s="1348"/>
      <c r="J34" s="1349"/>
      <c r="K34" s="1349"/>
      <c r="L34" s="1350"/>
      <c r="M34" s="1350"/>
      <c r="N34" s="1353"/>
      <c r="O34" s="1353"/>
    </row>
    <row r="35" spans="2:16">
      <c r="B35" s="1347" t="s">
        <v>268</v>
      </c>
      <c r="C35" s="1348">
        <f t="shared" ref="C35:C37" si="9">C11+C17+C23+C29</f>
        <v>0</v>
      </c>
      <c r="D35" s="1349">
        <f t="shared" ref="D35:G35" si="10">D11+D17+D23+D29</f>
        <v>0</v>
      </c>
      <c r="E35" s="1349">
        <f t="shared" si="10"/>
        <v>20495220.953000002</v>
      </c>
      <c r="F35" s="1349">
        <f t="shared" ref="F35" si="11">F11+F17+F23+F29</f>
        <v>39539867.681499995</v>
      </c>
      <c r="G35" s="1350">
        <f t="shared" si="10"/>
        <v>18537138.9855</v>
      </c>
      <c r="H35" s="1351">
        <f>SUM(C35:G35)</f>
        <v>78572227.620000005</v>
      </c>
      <c r="I35" s="1348">
        <f t="shared" ref="I35:M35" si="12">I11+I17+I23+I29</f>
        <v>0</v>
      </c>
      <c r="J35" s="1349">
        <f t="shared" si="12"/>
        <v>0</v>
      </c>
      <c r="K35" s="1349">
        <f t="shared" si="12"/>
        <v>0</v>
      </c>
      <c r="L35" s="1350"/>
      <c r="M35" s="1350">
        <f t="shared" si="12"/>
        <v>0</v>
      </c>
      <c r="N35" s="1351">
        <f>SUM(I35:M35)</f>
        <v>0</v>
      </c>
      <c r="O35" s="1351">
        <f>H35+N35</f>
        <v>78572227.620000005</v>
      </c>
    </row>
    <row r="36" spans="2:16">
      <c r="B36" s="1347" t="s">
        <v>264</v>
      </c>
      <c r="C36" s="1348">
        <f t="shared" si="9"/>
        <v>0</v>
      </c>
      <c r="D36" s="1349">
        <f t="shared" ref="D36:G36" si="13">D12+D18+D24+D30</f>
        <v>0</v>
      </c>
      <c r="E36" s="1349">
        <f t="shared" si="13"/>
        <v>3024685.48</v>
      </c>
      <c r="F36" s="1349">
        <f t="shared" ref="F36" si="14">F12+F18+F24+F30</f>
        <v>0</v>
      </c>
      <c r="G36" s="1350">
        <f t="shared" si="13"/>
        <v>2500795.86</v>
      </c>
      <c r="H36" s="1351">
        <f>SUM(C36:G36)</f>
        <v>5525481.3399999999</v>
      </c>
      <c r="I36" s="1348">
        <f t="shared" ref="I36:M36" si="15">I12+I18+I24+I30</f>
        <v>0</v>
      </c>
      <c r="J36" s="1349">
        <f t="shared" si="15"/>
        <v>0</v>
      </c>
      <c r="K36" s="1349">
        <f t="shared" si="15"/>
        <v>0</v>
      </c>
      <c r="L36" s="1350"/>
      <c r="M36" s="1350">
        <f t="shared" si="15"/>
        <v>0</v>
      </c>
      <c r="N36" s="1351">
        <f>SUM(I36:M36)</f>
        <v>0</v>
      </c>
      <c r="O36" s="1351">
        <f>H36+N36</f>
        <v>5525481.3399999999</v>
      </c>
    </row>
    <row r="37" spans="2:16">
      <c r="B37" s="1347" t="s">
        <v>180</v>
      </c>
      <c r="C37" s="1348">
        <f t="shared" si="9"/>
        <v>0</v>
      </c>
      <c r="D37" s="1349">
        <f t="shared" ref="D37:G37" si="16">D13+D19+D25+D31</f>
        <v>0</v>
      </c>
      <c r="E37" s="1349">
        <f t="shared" si="16"/>
        <v>0</v>
      </c>
      <c r="F37" s="1349">
        <f t="shared" ref="F37" si="17">F13+F19+F25+F31</f>
        <v>0</v>
      </c>
      <c r="G37" s="1350">
        <f t="shared" si="16"/>
        <v>0</v>
      </c>
      <c r="H37" s="1351">
        <f>SUM(C37:G37)</f>
        <v>0</v>
      </c>
      <c r="I37" s="1348">
        <f t="shared" ref="I37:M37" si="18">I13+I19+I25+I31</f>
        <v>1073962.3259999999</v>
      </c>
      <c r="J37" s="1349">
        <f t="shared" si="18"/>
        <v>2505912.0939999996</v>
      </c>
      <c r="K37" s="1349">
        <f t="shared" si="18"/>
        <v>0</v>
      </c>
      <c r="L37" s="1350"/>
      <c r="M37" s="1350">
        <f t="shared" si="18"/>
        <v>0</v>
      </c>
      <c r="N37" s="1351">
        <f>SUM(I37:M37)</f>
        <v>3579874.4199999995</v>
      </c>
      <c r="O37" s="1351">
        <f>H37+N37</f>
        <v>3579874.4199999995</v>
      </c>
    </row>
    <row r="38" spans="2:16">
      <c r="B38" s="1347"/>
      <c r="C38" s="1348"/>
      <c r="D38" s="1349"/>
      <c r="E38" s="1349"/>
      <c r="F38" s="1350"/>
      <c r="G38" s="1350"/>
      <c r="H38" s="1351"/>
      <c r="I38" s="1348"/>
      <c r="J38" s="1349"/>
      <c r="K38" s="1349"/>
      <c r="L38" s="1350"/>
      <c r="M38" s="1350"/>
      <c r="N38" s="1351"/>
      <c r="O38" s="1351"/>
    </row>
    <row r="39" spans="2:16">
      <c r="B39" s="1337" t="s">
        <v>261</v>
      </c>
      <c r="C39" s="1359">
        <f t="shared" ref="C39:O39" si="19">SUM(C35:C37)</f>
        <v>0</v>
      </c>
      <c r="D39" s="1360">
        <f t="shared" si="19"/>
        <v>0</v>
      </c>
      <c r="E39" s="1360">
        <f t="shared" si="19"/>
        <v>23519906.433000002</v>
      </c>
      <c r="F39" s="1360">
        <f t="shared" si="19"/>
        <v>39539867.681499995</v>
      </c>
      <c r="G39" s="1361">
        <f t="shared" si="19"/>
        <v>21037934.8455</v>
      </c>
      <c r="H39" s="1362">
        <f t="shared" si="19"/>
        <v>84097708.960000008</v>
      </c>
      <c r="I39" s="1359">
        <f t="shared" si="19"/>
        <v>1073962.3259999999</v>
      </c>
      <c r="J39" s="1360">
        <f t="shared" si="19"/>
        <v>2505912.0939999996</v>
      </c>
      <c r="K39" s="1360">
        <f t="shared" si="19"/>
        <v>0</v>
      </c>
      <c r="L39" s="1361"/>
      <c r="M39" s="1361">
        <f t="shared" si="19"/>
        <v>0</v>
      </c>
      <c r="N39" s="1362">
        <f t="shared" si="19"/>
        <v>3579874.4199999995</v>
      </c>
      <c r="O39" s="1362">
        <f t="shared" si="19"/>
        <v>87677583.38000001</v>
      </c>
      <c r="P39" s="274">
        <f>P33+P27+P21+P15</f>
        <v>87677583.379999995</v>
      </c>
    </row>
    <row r="40" spans="2:16">
      <c r="B40" s="1363" t="s">
        <v>270</v>
      </c>
      <c r="C40" s="1348"/>
      <c r="D40" s="1349"/>
      <c r="E40" s="1349"/>
      <c r="F40" s="1350"/>
      <c r="G40" s="1350"/>
      <c r="H40" s="1351"/>
      <c r="I40" s="1348"/>
      <c r="J40" s="1349"/>
      <c r="K40" s="1349"/>
      <c r="L40" s="1350"/>
      <c r="M40" s="1350"/>
      <c r="N40" s="1353"/>
      <c r="O40" s="1353"/>
    </row>
    <row r="41" spans="2:16">
      <c r="B41" s="1358" t="s">
        <v>271</v>
      </c>
      <c r="C41" s="1348"/>
      <c r="D41" s="1349">
        <f>'DEVIZ GENERAL'!D39+'DEVIZ GENERAL'!D42</f>
        <v>1238518.44</v>
      </c>
      <c r="E41" s="1349"/>
      <c r="F41" s="1350"/>
      <c r="G41" s="1350">
        <v>0</v>
      </c>
      <c r="H41" s="1351">
        <f t="shared" ref="H41:H46" si="20">SUM(C41:G41)</f>
        <v>1238518.44</v>
      </c>
      <c r="I41" s="1348"/>
      <c r="J41" s="1349">
        <v>0</v>
      </c>
      <c r="K41" s="1349"/>
      <c r="L41" s="1350"/>
      <c r="M41" s="1350">
        <v>0</v>
      </c>
      <c r="N41" s="1351">
        <f t="shared" ref="N41:N46" si="21">SUM(I41:M41)</f>
        <v>0</v>
      </c>
      <c r="O41" s="1351">
        <f t="shared" ref="O41:O46" si="22">H41+N41</f>
        <v>1238518.44</v>
      </c>
    </row>
    <row r="42" spans="2:16">
      <c r="B42" s="1358" t="s">
        <v>55</v>
      </c>
      <c r="C42" s="1348">
        <f>('DEVIZ GENERAL'!D59)/5+'DEVIZ GENERAL'!D56</f>
        <v>158000</v>
      </c>
      <c r="D42" s="1349">
        <f>('DEVIZ GENERAL'!D59)/5+'DEVIZ GENERAL'!D63/4</f>
        <v>161150.04500000001</v>
      </c>
      <c r="E42" s="1349">
        <f>('DEVIZ GENERAL'!D59)/5+'DEVIZ GENERAL'!D63/4</f>
        <v>161150.04500000001</v>
      </c>
      <c r="F42" s="1350">
        <f>('DEVIZ GENERAL'!D59)/5+'DEVIZ GENERAL'!D63/4</f>
        <v>161150.04500000001</v>
      </c>
      <c r="G42" s="1350">
        <f>('DEVIZ GENERAL'!D59)/5+'DEVIZ GENERAL'!D63/4</f>
        <v>161150.04500000001</v>
      </c>
      <c r="H42" s="1351">
        <f t="shared" si="20"/>
        <v>802600.18000000017</v>
      </c>
      <c r="I42" s="1348"/>
      <c r="J42" s="1349"/>
      <c r="K42" s="1349"/>
      <c r="L42" s="1350"/>
      <c r="M42" s="1350"/>
      <c r="N42" s="1351">
        <f t="shared" si="21"/>
        <v>0</v>
      </c>
      <c r="O42" s="1351">
        <f t="shared" si="22"/>
        <v>802600.18000000017</v>
      </c>
    </row>
    <row r="43" spans="2:16">
      <c r="B43" s="1358" t="s">
        <v>272</v>
      </c>
      <c r="C43" s="1348">
        <v>0</v>
      </c>
      <c r="D43" s="1349"/>
      <c r="E43" s="1349">
        <f>'DEVIZ GENERAL'!D70/3</f>
        <v>665487.42666666664</v>
      </c>
      <c r="F43" s="1350">
        <f>'DEVIZ GENERAL'!D70/3</f>
        <v>665487.42666666664</v>
      </c>
      <c r="G43" s="1350">
        <f>'DEVIZ GENERAL'!D70/3</f>
        <v>665487.42666666664</v>
      </c>
      <c r="H43" s="1351">
        <f t="shared" si="20"/>
        <v>1996462.2799999998</v>
      </c>
      <c r="I43" s="1348">
        <v>0</v>
      </c>
      <c r="J43" s="1349"/>
      <c r="K43" s="1349"/>
      <c r="L43" s="1350"/>
      <c r="M43" s="1350"/>
      <c r="N43" s="1351">
        <f t="shared" si="21"/>
        <v>0</v>
      </c>
      <c r="O43" s="1351">
        <f t="shared" si="22"/>
        <v>1996462.2799999998</v>
      </c>
    </row>
    <row r="44" spans="2:16">
      <c r="B44" s="1358" t="s">
        <v>273</v>
      </c>
      <c r="C44" s="1348">
        <f>('DEVIZ GENERAL'!D160+'DEVIZ GENERAL'!D161)*20%</f>
        <v>36743.036</v>
      </c>
      <c r="D44" s="1349">
        <f>('DEVIZ GENERAL'!D160+'DEVIZ GENERAL'!D161)*20%</f>
        <v>36743.036</v>
      </c>
      <c r="E44" s="1349">
        <f>('DEVIZ GENERAL'!D160+'DEVIZ GENERAL'!D161)*20%</f>
        <v>36743.036</v>
      </c>
      <c r="F44" s="1350">
        <f>('DEVIZ GENERAL'!D160+'DEVIZ GENERAL'!D161)*20%</f>
        <v>36743.036</v>
      </c>
      <c r="G44" s="1350">
        <f>('DEVIZ GENERAL'!D160+'DEVIZ GENERAL'!D161)*20%</f>
        <v>36743.036</v>
      </c>
      <c r="H44" s="1351">
        <f t="shared" si="20"/>
        <v>183715.18</v>
      </c>
      <c r="I44" s="1348"/>
      <c r="J44" s="1349"/>
      <c r="K44" s="1349"/>
      <c r="L44" s="1350"/>
      <c r="M44" s="1350"/>
      <c r="N44" s="1351">
        <f t="shared" si="21"/>
        <v>0</v>
      </c>
      <c r="O44" s="1351">
        <f t="shared" si="22"/>
        <v>183715.18</v>
      </c>
    </row>
    <row r="45" spans="2:16">
      <c r="B45" s="1358" t="s">
        <v>274</v>
      </c>
      <c r="C45" s="1348">
        <f>'DEVIZ GENERAL'!D140*10%</f>
        <v>34355.802000000003</v>
      </c>
      <c r="D45" s="1349">
        <f>'DEVIZ GENERAL'!D140*15%</f>
        <v>51533.703000000001</v>
      </c>
      <c r="E45" s="1349">
        <f>'DEVIZ GENERAL'!D140*25%</f>
        <v>85889.505000000005</v>
      </c>
      <c r="F45" s="1350">
        <f>'DEVIZ GENERAL'!D140*25%</f>
        <v>85889.505000000005</v>
      </c>
      <c r="G45" s="1350">
        <f>'DEVIZ GENERAL'!D140*25%</f>
        <v>85889.505000000005</v>
      </c>
      <c r="H45" s="1351">
        <f t="shared" si="20"/>
        <v>343558.02</v>
      </c>
      <c r="I45" s="1348"/>
      <c r="J45" s="1349"/>
      <c r="K45" s="1349"/>
      <c r="L45" s="1350"/>
      <c r="M45" s="1350"/>
      <c r="N45" s="1351">
        <f t="shared" si="21"/>
        <v>0</v>
      </c>
      <c r="O45" s="1351">
        <f t="shared" si="22"/>
        <v>343558.02</v>
      </c>
    </row>
    <row r="46" spans="2:16">
      <c r="B46" s="1358" t="s">
        <v>275</v>
      </c>
      <c r="C46" s="1348">
        <v>0</v>
      </c>
      <c r="D46" s="1349"/>
      <c r="E46" s="1349">
        <f>'DEVIZ GENERAL'!D123/3</f>
        <v>221498.59</v>
      </c>
      <c r="F46" s="1350">
        <f>'DEVIZ GENERAL'!D123/3</f>
        <v>221498.59</v>
      </c>
      <c r="G46" s="1350">
        <f>'DEVIZ GENERAL'!D123/3</f>
        <v>221498.59</v>
      </c>
      <c r="H46" s="1351">
        <f t="shared" si="20"/>
        <v>664495.77</v>
      </c>
      <c r="I46" s="1348">
        <v>0</v>
      </c>
      <c r="J46" s="1349"/>
      <c r="K46" s="1349"/>
      <c r="L46" s="1350"/>
      <c r="M46" s="1350"/>
      <c r="N46" s="1351">
        <f t="shared" si="21"/>
        <v>0</v>
      </c>
      <c r="O46" s="1351">
        <f t="shared" si="22"/>
        <v>664495.77</v>
      </c>
    </row>
    <row r="47" spans="2:16">
      <c r="B47" s="1337" t="s">
        <v>276</v>
      </c>
      <c r="C47" s="1359">
        <f t="shared" ref="C47:O47" si="23">SUM(C41:C46)</f>
        <v>229098.83799999999</v>
      </c>
      <c r="D47" s="1360">
        <f t="shared" ref="D47:G47" si="24">SUM(D41:D46)</f>
        <v>1487945.2239999999</v>
      </c>
      <c r="E47" s="1360">
        <f t="shared" si="24"/>
        <v>1170768.6026666667</v>
      </c>
      <c r="F47" s="1360">
        <f t="shared" ref="F47" si="25">SUM(F41:F46)</f>
        <v>1170768.6026666667</v>
      </c>
      <c r="G47" s="1361">
        <f t="shared" si="24"/>
        <v>1170768.6026666667</v>
      </c>
      <c r="H47" s="1362">
        <f t="shared" si="23"/>
        <v>5229349.8699999992</v>
      </c>
      <c r="I47" s="1359">
        <f t="shared" ref="I47:M47" si="26">SUM(I41:I46)</f>
        <v>0</v>
      </c>
      <c r="J47" s="1360">
        <f t="shared" si="26"/>
        <v>0</v>
      </c>
      <c r="K47" s="1360">
        <f t="shared" si="26"/>
        <v>0</v>
      </c>
      <c r="L47" s="1361"/>
      <c r="M47" s="1361">
        <f t="shared" si="26"/>
        <v>0</v>
      </c>
      <c r="N47" s="1362">
        <f t="shared" si="23"/>
        <v>0</v>
      </c>
      <c r="O47" s="1362">
        <f t="shared" si="23"/>
        <v>5229349.8699999992</v>
      </c>
    </row>
    <row r="48" spans="2:16">
      <c r="B48" s="1337" t="s">
        <v>277</v>
      </c>
      <c r="C48" s="1359">
        <f t="shared" ref="C48:O48" si="27">C47+C39</f>
        <v>229098.83799999999</v>
      </c>
      <c r="D48" s="1360">
        <f t="shared" ref="D48:G48" si="28">D47+D39</f>
        <v>1487945.2239999999</v>
      </c>
      <c r="E48" s="1360">
        <f t="shared" si="28"/>
        <v>24690675.035666667</v>
      </c>
      <c r="F48" s="1360">
        <f t="shared" ref="F48" si="29">F47+F39</f>
        <v>40710636.284166664</v>
      </c>
      <c r="G48" s="1361">
        <f t="shared" si="28"/>
        <v>22208703.448166668</v>
      </c>
      <c r="H48" s="1362">
        <f t="shared" si="27"/>
        <v>89327058.830000013</v>
      </c>
      <c r="I48" s="1359">
        <f t="shared" ref="I48:M48" si="30">I47+I39</f>
        <v>1073962.3259999999</v>
      </c>
      <c r="J48" s="1360">
        <f t="shared" si="30"/>
        <v>2505912.0939999996</v>
      </c>
      <c r="K48" s="1360">
        <f t="shared" si="30"/>
        <v>0</v>
      </c>
      <c r="L48" s="1361"/>
      <c r="M48" s="1361">
        <f t="shared" si="30"/>
        <v>0</v>
      </c>
      <c r="N48" s="1362">
        <f t="shared" si="27"/>
        <v>3579874.4199999995</v>
      </c>
      <c r="O48" s="1362">
        <f t="shared" si="27"/>
        <v>92906933.250000015</v>
      </c>
      <c r="P48" s="274">
        <f>'DEVIZ GENERAL'!D164</f>
        <v>92906933.249999985</v>
      </c>
    </row>
    <row r="49" spans="1:17">
      <c r="B49" s="1358" t="s">
        <v>278</v>
      </c>
      <c r="C49" s="1348">
        <v>43119.16</v>
      </c>
      <c r="D49" s="1348">
        <v>280049.26</v>
      </c>
      <c r="E49" s="1348">
        <v>4647083.41</v>
      </c>
      <c r="F49" s="1348">
        <v>7662233.71</v>
      </c>
      <c r="G49" s="1348">
        <v>4179946.36</v>
      </c>
      <c r="H49" s="1353">
        <f>SUM(C49:G49)</f>
        <v>16812431.899999999</v>
      </c>
      <c r="I49" s="1348">
        <v>204052.84</v>
      </c>
      <c r="J49" s="1349">
        <v>476123.29</v>
      </c>
      <c r="K49" s="1349">
        <f>ROUNDDOWN(K48*TVA,2)</f>
        <v>0</v>
      </c>
      <c r="L49" s="1350"/>
      <c r="M49" s="1350">
        <v>0</v>
      </c>
      <c r="N49" s="1353">
        <f>SUM(I49:M49)</f>
        <v>680176.13</v>
      </c>
      <c r="O49" s="1353">
        <f>N49+H49</f>
        <v>17492608.029999997</v>
      </c>
      <c r="P49" s="274">
        <f>'DEVIZ GENERAL'!F164</f>
        <v>17492608.030520115</v>
      </c>
      <c r="Q49" t="s">
        <v>9</v>
      </c>
    </row>
    <row r="50" spans="1:17">
      <c r="B50" s="1364" t="s">
        <v>279</v>
      </c>
      <c r="C50" s="1365">
        <f>C48+C49</f>
        <v>272217.99800000002</v>
      </c>
      <c r="D50" s="1366">
        <f t="shared" ref="D50:G50" si="31">D48+D49</f>
        <v>1767994.4839999999</v>
      </c>
      <c r="E50" s="1366">
        <f t="shared" si="31"/>
        <v>29337758.445666667</v>
      </c>
      <c r="F50" s="1366">
        <f t="shared" si="31"/>
        <v>48372869.994166665</v>
      </c>
      <c r="G50" s="1367">
        <f t="shared" si="31"/>
        <v>26388649.808166668</v>
      </c>
      <c r="H50" s="1368">
        <f>ROUND(SUM(C50:G50),2)</f>
        <v>106139490.73</v>
      </c>
      <c r="I50" s="1365">
        <f t="shared" ref="I50:O50" si="32">I48+I49</f>
        <v>1278015.166</v>
      </c>
      <c r="J50" s="1366">
        <f t="shared" ref="J50:K50" si="33">J48+J49</f>
        <v>2982035.3839999996</v>
      </c>
      <c r="K50" s="1366">
        <f t="shared" si="33"/>
        <v>0</v>
      </c>
      <c r="L50" s="1367"/>
      <c r="M50" s="1367">
        <f t="shared" si="32"/>
        <v>0</v>
      </c>
      <c r="N50" s="1368">
        <f t="shared" si="32"/>
        <v>4260050.55</v>
      </c>
      <c r="O50" s="1368">
        <f t="shared" si="32"/>
        <v>110399541.28000002</v>
      </c>
      <c r="P50" s="274">
        <f>H50+N50</f>
        <v>110399541.28</v>
      </c>
    </row>
    <row r="51" spans="1:17" s="58" customFormat="1">
      <c r="B51" s="1369" t="s">
        <v>280</v>
      </c>
      <c r="C51" s="1166">
        <f>C48/$H$48</f>
        <v>2.5647193694802181E-3</v>
      </c>
      <c r="D51" s="1166">
        <f>D48/$H$48</f>
        <v>1.6657273210256885E-2</v>
      </c>
      <c r="E51" s="1166">
        <f>E48/$H$48</f>
        <v>0.27640756741645273</v>
      </c>
      <c r="F51" s="1166">
        <f>F48/$H$48</f>
        <v>0.45574808817610163</v>
      </c>
      <c r="G51" s="1166">
        <f>G48/$H$48</f>
        <v>0.24862235182770839</v>
      </c>
      <c r="H51" s="1370">
        <f>SUM(C51:G51)</f>
        <v>0.99999999999999989</v>
      </c>
      <c r="I51" s="1166">
        <f>I48/$N$48</f>
        <v>0.3</v>
      </c>
      <c r="J51" s="1166">
        <f>J48/$N$48</f>
        <v>0.7</v>
      </c>
      <c r="K51" s="1166">
        <f>K48/$N$48</f>
        <v>0</v>
      </c>
      <c r="L51" s="1166">
        <f>L48/$N$48</f>
        <v>0</v>
      </c>
      <c r="M51" s="1166">
        <f>M48/$N$48</f>
        <v>0</v>
      </c>
      <c r="N51" s="1166">
        <f>SUM(I51:M51)</f>
        <v>1</v>
      </c>
      <c r="O51" s="1170" t="s">
        <v>9</v>
      </c>
      <c r="P51" s="1165">
        <f>'DEVIZ GENERAL'!H164</f>
        <v>110399541.28052013</v>
      </c>
    </row>
    <row r="52" spans="1:17" s="58" customFormat="1">
      <c r="B52" s="1371" t="s">
        <v>281</v>
      </c>
      <c r="C52" s="1166">
        <f>C50/$H$50</f>
        <v>2.5647192776953698E-3</v>
      </c>
      <c r="D52" s="1166">
        <f>D50/$H$50</f>
        <v>1.6657273102030079E-2</v>
      </c>
      <c r="E52" s="1166">
        <f>E50/$H$50</f>
        <v>0.27640756747454825</v>
      </c>
      <c r="F52" s="1166">
        <f>F50/$H$50</f>
        <v>0.45574808830785374</v>
      </c>
      <c r="G52" s="1166">
        <f>G50/$H$50</f>
        <v>0.24862235183787251</v>
      </c>
      <c r="H52" s="1370">
        <f>SUM(C52:G52)</f>
        <v>1</v>
      </c>
      <c r="I52" s="1166">
        <f>I50/$N$50</f>
        <v>0.30000000023473899</v>
      </c>
      <c r="J52" s="1166">
        <f>J50/$N$50</f>
        <v>0.69999999976526095</v>
      </c>
      <c r="K52" s="1166">
        <f>K50/$N$50</f>
        <v>0</v>
      </c>
      <c r="L52" s="1166">
        <f>L50/$N$50</f>
        <v>0</v>
      </c>
      <c r="M52" s="1166">
        <f>M50/$N$50</f>
        <v>0</v>
      </c>
      <c r="N52" s="1166">
        <f>SUM(I52:M52)</f>
        <v>1</v>
      </c>
      <c r="O52" s="1170" t="s">
        <v>9</v>
      </c>
    </row>
    <row r="53" spans="1:17" s="58" customFormat="1" ht="38.25">
      <c r="B53" s="1372" t="s">
        <v>282</v>
      </c>
      <c r="C53" s="1373">
        <f t="shared" ref="C53:H53" si="34">(C48+I48)/$O$48</f>
        <v>1.4025445878120185E-2</v>
      </c>
      <c r="D53" s="1374">
        <f t="shared" si="34"/>
        <v>4.298772091909512E-2</v>
      </c>
      <c r="E53" s="1374">
        <f t="shared" si="34"/>
        <v>0.26575707723800757</v>
      </c>
      <c r="F53" s="1374">
        <f t="shared" si="34"/>
        <v>0.43818727903352311</v>
      </c>
      <c r="G53" s="1374">
        <f t="shared" si="34"/>
        <v>0.23904247693125383</v>
      </c>
      <c r="H53" s="1375">
        <f t="shared" si="34"/>
        <v>1</v>
      </c>
      <c r="I53" s="1166"/>
      <c r="J53" s="1166"/>
      <c r="K53" s="1166"/>
      <c r="L53" s="1166"/>
      <c r="M53" s="1166"/>
      <c r="N53" s="1166"/>
      <c r="O53" s="1170"/>
    </row>
    <row r="54" spans="1:17" s="58" customFormat="1">
      <c r="B54" s="1159"/>
      <c r="C54" s="1376">
        <v>2025</v>
      </c>
      <c r="D54" s="1376">
        <f>C54+1</f>
        <v>2026</v>
      </c>
      <c r="E54" s="1376">
        <f t="shared" ref="E54" si="35">D54+1</f>
        <v>2027</v>
      </c>
      <c r="F54" s="1376">
        <f t="shared" ref="F54" si="36">E54+1</f>
        <v>2028</v>
      </c>
      <c r="G54" s="1376">
        <f t="shared" ref="G54" si="37">F54+1</f>
        <v>2029</v>
      </c>
      <c r="H54" s="1377" t="s">
        <v>283</v>
      </c>
      <c r="I54" s="1399">
        <f>C54</f>
        <v>2025</v>
      </c>
      <c r="J54" s="1399">
        <f>D54</f>
        <v>2026</v>
      </c>
      <c r="K54" s="1399">
        <f>E54</f>
        <v>2027</v>
      </c>
      <c r="L54" s="1399">
        <f>F54</f>
        <v>2028</v>
      </c>
      <c r="M54" s="1399">
        <f t="shared" ref="M54" si="38">G54</f>
        <v>2029</v>
      </c>
      <c r="N54" s="1400" t="s">
        <v>284</v>
      </c>
      <c r="O54" s="1401" t="s">
        <v>285</v>
      </c>
    </row>
    <row r="55" spans="1:17" s="58" customFormat="1">
      <c r="A55" s="58" t="s">
        <v>9</v>
      </c>
      <c r="B55" s="58" t="s">
        <v>286</v>
      </c>
      <c r="C55" s="1378">
        <f>'Info gen'!E18</f>
        <v>0</v>
      </c>
      <c r="D55" s="1378"/>
      <c r="E55" s="1378"/>
      <c r="F55" s="1378"/>
      <c r="G55" s="1378">
        <f>'Info gen'!F18</f>
        <v>0</v>
      </c>
      <c r="H55" s="1170">
        <f>SUM(C55:G55)</f>
        <v>0</v>
      </c>
      <c r="N55" s="42"/>
      <c r="O55" s="58" t="s">
        <v>9</v>
      </c>
      <c r="P55" s="1165">
        <f>'DEVIZ GENERAL'!D164</f>
        <v>92906933.249999985</v>
      </c>
    </row>
    <row r="56" spans="1:17" s="58" customFormat="1">
      <c r="B56" s="1379" t="s">
        <v>287</v>
      </c>
      <c r="C56" s="1380">
        <f>'Info gen'!I19</f>
        <v>5.2999999999999999E-2</v>
      </c>
      <c r="D56" s="1380">
        <f>'Info gen'!J19</f>
        <v>4.5999999999999999E-2</v>
      </c>
      <c r="E56" s="1380">
        <f>'Info gen'!K19</f>
        <v>3.6999999999999998E-2</v>
      </c>
      <c r="F56" s="1380">
        <f>'Info gen'!L19</f>
        <v>2.9000000000000001E-2</v>
      </c>
      <c r="G56" s="1380">
        <f>'Info gen'!M19</f>
        <v>2.9000000000000001E-2</v>
      </c>
      <c r="H56" s="59" t="s">
        <v>9</v>
      </c>
      <c r="I56" s="1380">
        <f>C56</f>
        <v>5.2999999999999999E-2</v>
      </c>
      <c r="J56" s="1380">
        <f>D56</f>
        <v>4.5999999999999999E-2</v>
      </c>
      <c r="K56" s="1380">
        <f>E56</f>
        <v>3.6999999999999998E-2</v>
      </c>
      <c r="L56" s="1380">
        <f t="shared" ref="L56:M56" si="39">F56</f>
        <v>2.9000000000000001E-2</v>
      </c>
      <c r="M56" s="1380">
        <f t="shared" si="39"/>
        <v>2.9000000000000001E-2</v>
      </c>
      <c r="N56" s="42"/>
      <c r="O56" s="58" t="s">
        <v>9</v>
      </c>
      <c r="P56" s="1165">
        <f>'DEVIZ GENERAL'!F164</f>
        <v>17492608.030520115</v>
      </c>
    </row>
    <row r="57" spans="1:17" s="58" customFormat="1">
      <c r="A57" s="58">
        <v>1</v>
      </c>
      <c r="B57" s="1379" t="s">
        <v>288</v>
      </c>
      <c r="C57" s="1381">
        <f>'Info gen'!I20</f>
        <v>1</v>
      </c>
      <c r="D57" s="1381">
        <f>'Info gen'!J20</f>
        <v>1.046</v>
      </c>
      <c r="E57" s="1381">
        <f>'Info gen'!K20</f>
        <v>1.0847020000000001</v>
      </c>
      <c r="F57" s="1381">
        <f>'Info gen'!L20</f>
        <v>1.1161583580000001</v>
      </c>
      <c r="G57" s="1381">
        <f>'Info gen'!M20</f>
        <v>1.1485269503819999</v>
      </c>
      <c r="H57" s="59" t="s">
        <v>9</v>
      </c>
      <c r="I57" s="1381">
        <f>'Info gen'!H20</f>
        <v>1</v>
      </c>
      <c r="J57" s="1381">
        <v>1</v>
      </c>
      <c r="K57" s="1381">
        <v>1</v>
      </c>
      <c r="L57" s="1381">
        <v>1</v>
      </c>
      <c r="M57" s="1381">
        <v>1</v>
      </c>
      <c r="N57" s="42"/>
      <c r="O57" s="58" t="s">
        <v>9</v>
      </c>
      <c r="P57" s="1165">
        <f>'DEVIZ GENERAL'!H164</f>
        <v>110399541.28052013</v>
      </c>
    </row>
    <row r="58" spans="1:17" s="58" customFormat="1">
      <c r="A58" s="58" t="s">
        <v>9</v>
      </c>
      <c r="B58" s="1379" t="s">
        <v>289</v>
      </c>
      <c r="C58" s="1382">
        <f>euro</f>
        <v>4.9757999999999996</v>
      </c>
      <c r="D58" s="1382">
        <f>euro</f>
        <v>4.9757999999999996</v>
      </c>
      <c r="E58" s="1382">
        <f>euro</f>
        <v>4.9757999999999996</v>
      </c>
      <c r="F58" s="1382">
        <f>euro</f>
        <v>4.9757999999999996</v>
      </c>
      <c r="G58" s="1382">
        <f>euro</f>
        <v>4.9757999999999996</v>
      </c>
      <c r="H58" s="59" t="s">
        <v>9</v>
      </c>
      <c r="I58" s="1382">
        <f>euro</f>
        <v>4.9757999999999996</v>
      </c>
      <c r="J58" s="1382">
        <f>euro</f>
        <v>4.9757999999999996</v>
      </c>
      <c r="K58" s="1382">
        <f>euro</f>
        <v>4.9757999999999996</v>
      </c>
      <c r="L58" s="1382">
        <f>euro</f>
        <v>4.9757999999999996</v>
      </c>
      <c r="M58" s="1382">
        <f>euro</f>
        <v>4.9757999999999996</v>
      </c>
    </row>
    <row r="59" spans="1:17" s="58" customFormat="1"/>
    <row r="60" spans="1:17">
      <c r="B60" s="1383" t="s">
        <v>290</v>
      </c>
      <c r="C60" s="1808" t="s">
        <v>253</v>
      </c>
      <c r="D60" s="1809"/>
      <c r="E60" s="1809"/>
      <c r="F60" s="1809"/>
      <c r="G60" s="1810"/>
      <c r="H60" s="1811"/>
      <c r="I60" s="1812" t="s">
        <v>291</v>
      </c>
      <c r="J60" s="1812"/>
      <c r="K60" s="1812"/>
      <c r="L60" s="1812"/>
      <c r="M60" s="1812"/>
      <c r="N60" s="1813"/>
      <c r="O60" s="1828" t="s">
        <v>257</v>
      </c>
    </row>
    <row r="61" spans="1:17">
      <c r="B61" s="1384" t="s">
        <v>292</v>
      </c>
      <c r="C61" s="1385">
        <v>2025</v>
      </c>
      <c r="D61" s="1386">
        <f>C61+1</f>
        <v>2026</v>
      </c>
      <c r="E61" s="1386">
        <f t="shared" ref="E61" si="40">D61+1</f>
        <v>2027</v>
      </c>
      <c r="F61" s="1386">
        <f t="shared" ref="F61" si="41">E61+1</f>
        <v>2028</v>
      </c>
      <c r="G61" s="1386">
        <f t="shared" ref="G61" si="42">F61+1</f>
        <v>2029</v>
      </c>
      <c r="H61" s="1387" t="s">
        <v>257</v>
      </c>
      <c r="I61" s="1402">
        <f>C61</f>
        <v>2025</v>
      </c>
      <c r="J61" s="1402">
        <f>D61</f>
        <v>2026</v>
      </c>
      <c r="K61" s="1402">
        <f>E61</f>
        <v>2027</v>
      </c>
      <c r="L61" s="1402">
        <f t="shared" ref="L61:M61" si="43">F61</f>
        <v>2028</v>
      </c>
      <c r="M61" s="1402">
        <f t="shared" si="43"/>
        <v>2029</v>
      </c>
      <c r="N61" s="1387" t="s">
        <v>293</v>
      </c>
      <c r="O61" s="1829"/>
    </row>
    <row r="62" spans="1:17">
      <c r="B62" s="1388" t="s">
        <v>277</v>
      </c>
      <c r="C62" s="1389">
        <f>ROUND(C48*coef,2)</f>
        <v>254865.21</v>
      </c>
      <c r="D62" s="1389">
        <f>ROUND(D48*coef,2)</f>
        <v>1655292.02</v>
      </c>
      <c r="E62" s="1389">
        <f>ROUND(E48*coef,2)</f>
        <v>27467595.300000001</v>
      </c>
      <c r="F62" s="1389">
        <f>ROUND(F48*coef,2)</f>
        <v>45289295.659999996</v>
      </c>
      <c r="G62" s="1389">
        <f>ROUND(G48*coef,2)+0.26</f>
        <v>24706480.640000001</v>
      </c>
      <c r="H62" s="1390">
        <f>ROUND(SUM(C62:G62),2)</f>
        <v>99373528.829999998</v>
      </c>
      <c r="I62" s="1403">
        <f>ROUNDDOWN(I48,2)</f>
        <v>1073962.32</v>
      </c>
      <c r="J62" s="1403">
        <f>ROUNDUP(J48,2)</f>
        <v>2505912.0999999996</v>
      </c>
      <c r="K62" s="1403">
        <f t="shared" ref="K62:L62" si="44">ROUNDUP(K48,2)</f>
        <v>0</v>
      </c>
      <c r="L62" s="1403">
        <f t="shared" si="44"/>
        <v>0</v>
      </c>
      <c r="M62" s="1403">
        <f>ROUNDUP(M48*coef,2)</f>
        <v>0</v>
      </c>
      <c r="N62" s="1404">
        <f>ROUNDDOWN(SUM(I62:M62),2)</f>
        <v>3579874.42</v>
      </c>
      <c r="O62" s="1405">
        <f>H62+N62</f>
        <v>102953403.25</v>
      </c>
      <c r="P62" s="274">
        <f>'Deviz general curente'!D145</f>
        <v>102953403.46000001</v>
      </c>
      <c r="Q62" s="274">
        <f>O62-P62</f>
        <v>-0.21000000834465027</v>
      </c>
    </row>
    <row r="63" spans="1:17" s="58" customFormat="1">
      <c r="B63" s="1391" t="s">
        <v>294</v>
      </c>
      <c r="C63" s="1392">
        <f>ROUNDDOWN(C49*coef,2)</f>
        <v>47968.7</v>
      </c>
      <c r="D63" s="1392">
        <f>ROUNDDOWN(D49*coef,2)</f>
        <v>311545.94</v>
      </c>
      <c r="E63" s="1392">
        <f>ROUNDDOWN(E49*coef,2)</f>
        <v>5169733.3600000003</v>
      </c>
      <c r="F63" s="1392">
        <f>ROUNDDOWN(F49*coef,2)</f>
        <v>8523992.7300000004</v>
      </c>
      <c r="G63" s="1392">
        <f>ROUNDDOWN(G49*coef,2)</f>
        <v>4650058.16</v>
      </c>
      <c r="H63" s="1393">
        <f>SUM(C63:G63)</f>
        <v>18703298.890000001</v>
      </c>
      <c r="I63" s="1406">
        <f>ROUNDDOWN(I49,2)</f>
        <v>204052.84</v>
      </c>
      <c r="J63" s="1406">
        <f>ROUNDDOWN(J49,2)</f>
        <v>476123.29</v>
      </c>
      <c r="K63" s="1406">
        <f t="shared" ref="K63:L63" si="45">ROUNDDOWN(K49,2)</f>
        <v>0</v>
      </c>
      <c r="L63" s="1406">
        <f t="shared" si="45"/>
        <v>0</v>
      </c>
      <c r="M63" s="1406">
        <f>ROUNDDOWN(M49*coef,2)</f>
        <v>0</v>
      </c>
      <c r="N63" s="1407">
        <f>SUM(I63:M63)</f>
        <v>680176.13</v>
      </c>
      <c r="O63" s="1408">
        <f>H63+N63</f>
        <v>19383475.02</v>
      </c>
      <c r="P63" s="1165">
        <f>'Deviz general curente'!F145</f>
        <v>19383475.359999999</v>
      </c>
      <c r="Q63" s="274">
        <f>O63-P63</f>
        <v>-0.33999999985098839</v>
      </c>
    </row>
    <row r="64" spans="1:17" s="58" customFormat="1">
      <c r="B64" s="1394" t="s">
        <v>295</v>
      </c>
      <c r="C64" s="1395">
        <f t="shared" ref="C64:N64" si="46">C62+C63</f>
        <v>302833.90999999997</v>
      </c>
      <c r="D64" s="1395">
        <f t="shared" si="46"/>
        <v>1966837.96</v>
      </c>
      <c r="E64" s="1395">
        <f t="shared" si="46"/>
        <v>32637328.66</v>
      </c>
      <c r="F64" s="1395">
        <f t="shared" ref="F64:G64" si="47">F62+F63</f>
        <v>53813288.390000001</v>
      </c>
      <c r="G64" s="1395">
        <f t="shared" si="47"/>
        <v>29356538.800000001</v>
      </c>
      <c r="H64" s="1396">
        <f t="shared" si="46"/>
        <v>118076827.72</v>
      </c>
      <c r="I64" s="1409">
        <f t="shared" ref="I64:J64" si="48">I62+I63</f>
        <v>1278015.1600000001</v>
      </c>
      <c r="J64" s="1409">
        <f t="shared" si="48"/>
        <v>2982035.3899999997</v>
      </c>
      <c r="K64" s="1409">
        <f t="shared" ref="K64:L64" si="49">K62+K63</f>
        <v>0</v>
      </c>
      <c r="L64" s="1409">
        <f t="shared" si="49"/>
        <v>0</v>
      </c>
      <c r="M64" s="1409">
        <f t="shared" si="46"/>
        <v>0</v>
      </c>
      <c r="N64" s="1410">
        <f t="shared" si="46"/>
        <v>4260050.55</v>
      </c>
      <c r="O64" s="1411">
        <f>H64+N64</f>
        <v>122336878.27</v>
      </c>
      <c r="P64" s="1165">
        <f>'Deviz general curente'!H145</f>
        <v>122336878.81999999</v>
      </c>
    </row>
    <row r="65" spans="2:17" s="58" customFormat="1">
      <c r="B65" s="1159"/>
      <c r="C65" s="1166" t="s">
        <v>9</v>
      </c>
      <c r="D65" s="1166"/>
      <c r="E65" s="1166"/>
      <c r="F65" s="1166"/>
      <c r="G65" s="1166" t="s">
        <v>9</v>
      </c>
      <c r="H65" s="1412"/>
      <c r="I65" s="1412"/>
      <c r="J65" s="1412"/>
      <c r="K65" s="1412"/>
      <c r="L65" s="1412"/>
      <c r="M65" s="1412"/>
    </row>
    <row r="66" spans="2:17" s="58" customFormat="1">
      <c r="B66" s="1159" t="s">
        <v>296</v>
      </c>
      <c r="C66" s="41" t="s">
        <v>9</v>
      </c>
      <c r="D66" s="41"/>
      <c r="E66" s="41"/>
      <c r="F66" s="41"/>
      <c r="G66" s="41" t="s">
        <v>9</v>
      </c>
      <c r="H66" s="1413" t="s">
        <v>9</v>
      </c>
      <c r="I66" s="1418">
        <f>('DEVIZ GENERAL'!C97+'DEVIZ GENERAL'!C105+'DEVIZ GENERAL'!C109)*I52</f>
        <v>5343821.7521813447</v>
      </c>
      <c r="J66" s="1418">
        <f>('DEVIZ GENERAL'!C97+'DEVIZ GENERAL'!C105+'DEVIZ GENERAL'!C109)*J52</f>
        <v>12468917.407818655</v>
      </c>
      <c r="K66" s="1412"/>
      <c r="L66" s="1412"/>
      <c r="M66" s="1412"/>
    </row>
    <row r="67" spans="2:17" s="58" customFormat="1">
      <c r="B67" s="1383" t="s">
        <v>290</v>
      </c>
      <c r="C67" s="1808" t="s">
        <v>253</v>
      </c>
      <c r="D67" s="1809"/>
      <c r="E67" s="1809"/>
      <c r="F67" s="1809"/>
      <c r="G67" s="1810"/>
      <c r="H67" s="1811"/>
      <c r="I67" s="1812" t="s">
        <v>291</v>
      </c>
      <c r="J67" s="1812"/>
      <c r="K67" s="1812"/>
      <c r="L67" s="1812"/>
      <c r="M67" s="1812"/>
      <c r="N67" s="1813"/>
      <c r="O67" s="1828" t="s">
        <v>257</v>
      </c>
      <c r="P67" s="1165">
        <f>('DEVIZ GENERAL'!C97+'DEVIZ GENERAL'!C105+'DEVIZ GENERAL'!C109)</f>
        <v>17812739.16</v>
      </c>
    </row>
    <row r="68" spans="2:17" s="58" customFormat="1">
      <c r="B68" s="1384" t="s">
        <v>297</v>
      </c>
      <c r="C68" s="1385">
        <v>2025</v>
      </c>
      <c r="D68" s="1386">
        <f>C68+1</f>
        <v>2026</v>
      </c>
      <c r="E68" s="1386">
        <f t="shared" ref="E68" si="50">D68+1</f>
        <v>2027</v>
      </c>
      <c r="F68" s="1386">
        <f t="shared" ref="F68" si="51">E68+1</f>
        <v>2028</v>
      </c>
      <c r="G68" s="1386">
        <f t="shared" ref="G68" si="52">F68+1</f>
        <v>2029</v>
      </c>
      <c r="H68" s="1387" t="s">
        <v>257</v>
      </c>
      <c r="I68" s="1402">
        <f>C68</f>
        <v>2025</v>
      </c>
      <c r="J68" s="1402">
        <f t="shared" ref="J68" si="53">D68</f>
        <v>2026</v>
      </c>
      <c r="K68" s="1402">
        <f t="shared" ref="K68:L68" si="54">E68</f>
        <v>2027</v>
      </c>
      <c r="L68" s="1402">
        <f t="shared" si="54"/>
        <v>2028</v>
      </c>
      <c r="M68" s="1402">
        <f t="shared" ref="M68" si="55">G68</f>
        <v>2029</v>
      </c>
      <c r="N68" s="1387" t="s">
        <v>293</v>
      </c>
      <c r="O68" s="1829"/>
    </row>
    <row r="69" spans="2:17" s="58" customFormat="1">
      <c r="B69" s="1388" t="s">
        <v>277</v>
      </c>
      <c r="C69" s="1403">
        <f>ROUNDDOWN(C48*euro,2)</f>
        <v>1139949.99</v>
      </c>
      <c r="D69" s="1403">
        <f>ROUNDDOWN(D48*euro,2)</f>
        <v>7403717.8399999999</v>
      </c>
      <c r="E69" s="1403">
        <f>ROUNDDOWN(E48*euro,2)</f>
        <v>122855860.84</v>
      </c>
      <c r="F69" s="1403">
        <f>ROUNDDOWN(F48*euro,2)</f>
        <v>202567984.02000001</v>
      </c>
      <c r="G69" s="1403">
        <f>ROUNDDOWN(G48*euro,2)+0.02</f>
        <v>110506066.63</v>
      </c>
      <c r="H69" s="1404">
        <f>ROUND(SUM(C69:G69),2)</f>
        <v>444473579.31999999</v>
      </c>
      <c r="I69" s="1452">
        <f>ROUND(I48*euro,2)</f>
        <v>5343821.74</v>
      </c>
      <c r="J69" s="1452">
        <f>ROUND(J48*euro,2)</f>
        <v>12468917.4</v>
      </c>
      <c r="K69" s="1452">
        <f>ROUNDDOWN(K48*euro,2)</f>
        <v>0</v>
      </c>
      <c r="L69" s="1452"/>
      <c r="M69" s="1452">
        <f>ROUND(M48*euro,0)</f>
        <v>0</v>
      </c>
      <c r="N69" s="1404">
        <f>ROUNDUP(SUM(I69:M69),2)</f>
        <v>17812739.140000001</v>
      </c>
      <c r="O69" s="1405">
        <f>H69+N69</f>
        <v>462286318.45999998</v>
      </c>
      <c r="P69" s="1165">
        <f>'DEVIZ GENERAL'!C164</f>
        <v>462286318.46340001</v>
      </c>
      <c r="Q69" s="1165">
        <f>P69-O69</f>
        <v>3.4000277519226074E-3</v>
      </c>
    </row>
    <row r="70" spans="2:17" s="58" customFormat="1">
      <c r="B70" s="1391" t="s">
        <v>298</v>
      </c>
      <c r="C70" s="1406">
        <f>ROUND(C49*euro,2)</f>
        <v>214552.32000000001</v>
      </c>
      <c r="D70" s="1406">
        <f>ROUND(D49*euro,2)</f>
        <v>1393469.11</v>
      </c>
      <c r="E70" s="1406">
        <f>ROUND(E49*euro,2)</f>
        <v>23122957.629999999</v>
      </c>
      <c r="F70" s="1406">
        <f>ROUND(F49*euro,2)</f>
        <v>38125742.490000002</v>
      </c>
      <c r="G70" s="1406">
        <f>ROUND(G49*euro,2)</f>
        <v>20798577.100000001</v>
      </c>
      <c r="H70" s="1407">
        <f>ROUND(SUM(C70:G70),0)</f>
        <v>83655299</v>
      </c>
      <c r="I70" s="1453">
        <f>ROUND(I49*euro,2)</f>
        <v>1015326.12</v>
      </c>
      <c r="J70" s="1453">
        <f>ROUND(J49*euro,2)+0.01</f>
        <v>2369094.2799999998</v>
      </c>
      <c r="K70" s="1453">
        <f>ROUNDUP(K69*TVA,2)</f>
        <v>0</v>
      </c>
      <c r="L70" s="1453"/>
      <c r="M70" s="1453">
        <f>ROUNDUP(M49*euro,2)</f>
        <v>0</v>
      </c>
      <c r="N70" s="1407">
        <f>SUM(I70:M70)</f>
        <v>3384420.4</v>
      </c>
      <c r="O70" s="1408">
        <f>H70+N70</f>
        <v>87039719.400000006</v>
      </c>
      <c r="P70" s="1165">
        <f>'DEVIZ GENERAL'!E164</f>
        <v>87039719.395896003</v>
      </c>
      <c r="Q70" s="1165">
        <f>P70-O70</f>
        <v>-4.1040033102035522E-3</v>
      </c>
    </row>
    <row r="71" spans="2:17" s="58" customFormat="1">
      <c r="B71" s="1394" t="s">
        <v>295</v>
      </c>
      <c r="C71" s="1414">
        <f t="shared" ref="C71:H71" si="56">C69+C70</f>
        <v>1354502.31</v>
      </c>
      <c r="D71" s="1414">
        <f t="shared" si="56"/>
        <v>8797186.9499999993</v>
      </c>
      <c r="E71" s="1414">
        <f t="shared" si="56"/>
        <v>145978818.47</v>
      </c>
      <c r="F71" s="1414">
        <f t="shared" ref="F71" si="57">F69+F70</f>
        <v>240693726.51000002</v>
      </c>
      <c r="G71" s="1414">
        <f t="shared" si="56"/>
        <v>131304643.72999999</v>
      </c>
      <c r="H71" s="1410">
        <f t="shared" si="56"/>
        <v>528128878.31999999</v>
      </c>
      <c r="I71" s="1409">
        <f t="shared" ref="I71:M71" si="58">I69+I70</f>
        <v>6359147.8600000003</v>
      </c>
      <c r="J71" s="1409">
        <f t="shared" ref="J71:K71" si="59">J69+J70</f>
        <v>14838011.68</v>
      </c>
      <c r="K71" s="1409">
        <f t="shared" si="59"/>
        <v>0</v>
      </c>
      <c r="L71" s="1409"/>
      <c r="M71" s="1409">
        <f t="shared" si="58"/>
        <v>0</v>
      </c>
      <c r="N71" s="1410">
        <f t="shared" ref="N71" si="60">N69+N70</f>
        <v>21197159.539999999</v>
      </c>
      <c r="O71" s="1411">
        <f>H71+N71</f>
        <v>549326037.86000001</v>
      </c>
    </row>
    <row r="72" spans="2:17" s="58" customFormat="1">
      <c r="B72" s="1159"/>
      <c r="C72" s="1415">
        <f>C71/$H$71</f>
        <v>2.5647192675937896E-3</v>
      </c>
      <c r="D72" s="1415">
        <f>D71/$H$71</f>
        <v>1.665727308452478E-2</v>
      </c>
      <c r="E72" s="1415">
        <f>E71/$H$71</f>
        <v>0.27640756728616073</v>
      </c>
      <c r="F72" s="1415">
        <f>F71/$H$71</f>
        <v>0.45574808799635574</v>
      </c>
      <c r="G72" s="1415">
        <f>G71/$H$71</f>
        <v>0.24862235170264793</v>
      </c>
      <c r="H72" s="1416">
        <f>SUM(C72:G72)</f>
        <v>0.9999999993372829</v>
      </c>
      <c r="I72" s="1412"/>
      <c r="J72" s="1412"/>
      <c r="K72" s="1412"/>
      <c r="L72" s="1412"/>
      <c r="M72" s="1412"/>
      <c r="O72" s="42"/>
    </row>
    <row r="73" spans="2:17" s="58" customFormat="1">
      <c r="B73" s="1159" t="s">
        <v>299</v>
      </c>
      <c r="C73" s="1412"/>
      <c r="D73" s="1412"/>
      <c r="E73" s="1412"/>
      <c r="F73" s="1412"/>
      <c r="G73" s="1412"/>
      <c r="H73" s="1412"/>
      <c r="I73" s="1412"/>
      <c r="J73" s="1412"/>
      <c r="K73" s="1412"/>
      <c r="L73" s="1412"/>
      <c r="M73" s="1412"/>
    </row>
    <row r="74" spans="2:17" s="58" customFormat="1">
      <c r="B74" s="1383" t="s">
        <v>290</v>
      </c>
      <c r="C74" s="1808" t="s">
        <v>253</v>
      </c>
      <c r="D74" s="1809"/>
      <c r="E74" s="1809"/>
      <c r="F74" s="1809"/>
      <c r="G74" s="1810"/>
      <c r="H74" s="1811"/>
      <c r="I74" s="1812" t="s">
        <v>291</v>
      </c>
      <c r="J74" s="1812"/>
      <c r="K74" s="1812"/>
      <c r="L74" s="1812"/>
      <c r="M74" s="1812"/>
      <c r="N74" s="1813"/>
      <c r="O74" s="1828" t="s">
        <v>257</v>
      </c>
    </row>
    <row r="75" spans="2:17" s="58" customFormat="1">
      <c r="B75" s="1384" t="s">
        <v>300</v>
      </c>
      <c r="C75" s="1385">
        <v>2025</v>
      </c>
      <c r="D75" s="1386">
        <f>C75+1</f>
        <v>2026</v>
      </c>
      <c r="E75" s="1386">
        <f t="shared" ref="E75" si="61">D75+1</f>
        <v>2027</v>
      </c>
      <c r="F75" s="1386">
        <f t="shared" ref="F75" si="62">E75+1</f>
        <v>2028</v>
      </c>
      <c r="G75" s="1386">
        <f t="shared" ref="G75" si="63">F75+1</f>
        <v>2029</v>
      </c>
      <c r="H75" s="1387" t="s">
        <v>257</v>
      </c>
      <c r="I75" s="1402">
        <f>C75</f>
        <v>2025</v>
      </c>
      <c r="J75" s="1402">
        <f t="shared" ref="J75" si="64">D75</f>
        <v>2026</v>
      </c>
      <c r="K75" s="1402">
        <f t="shared" ref="K75:L75" si="65">E75</f>
        <v>2027</v>
      </c>
      <c r="L75" s="1402">
        <f t="shared" si="65"/>
        <v>2028</v>
      </c>
      <c r="M75" s="1402">
        <f t="shared" ref="M75" si="66">G75</f>
        <v>2029</v>
      </c>
      <c r="N75" s="1387" t="s">
        <v>293</v>
      </c>
      <c r="O75" s="1829"/>
    </row>
    <row r="76" spans="2:17" s="58" customFormat="1">
      <c r="B76" s="1388" t="s">
        <v>277</v>
      </c>
      <c r="C76" s="1403">
        <f t="shared" ref="C76:F77" si="67">C62*euro</f>
        <v>1268158.3119179998</v>
      </c>
      <c r="D76" s="1403">
        <f t="shared" si="67"/>
        <v>8236402.0331159998</v>
      </c>
      <c r="E76" s="1403">
        <f t="shared" si="67"/>
        <v>136673260.69373998</v>
      </c>
      <c r="F76" s="1403">
        <f t="shared" si="67"/>
        <v>225350477.34502795</v>
      </c>
      <c r="G76" s="1403">
        <f>G62*euro-0.01</f>
        <v>122934506.35851198</v>
      </c>
      <c r="H76" s="1404">
        <f>ROUNDUP(SUM(C76:G76),2)</f>
        <v>494462804.75</v>
      </c>
      <c r="I76" s="1403">
        <f t="shared" ref="I76:K77" si="68">I69</f>
        <v>5343821.74</v>
      </c>
      <c r="J76" s="1403">
        <f t="shared" si="68"/>
        <v>12468917.4</v>
      </c>
      <c r="K76" s="1403">
        <f t="shared" si="68"/>
        <v>0</v>
      </c>
      <c r="L76" s="1403"/>
      <c r="M76" s="1403">
        <f>ROUND(M62*euro,0)</f>
        <v>0</v>
      </c>
      <c r="N76" s="1404">
        <f>ROUNDUP(SUM(I76:M76),2)</f>
        <v>17812739.140000001</v>
      </c>
      <c r="O76" s="1405">
        <f>H76+N76</f>
        <v>512275543.88999999</v>
      </c>
    </row>
    <row r="77" spans="2:17" s="58" customFormat="1">
      <c r="B77" s="1391" t="s">
        <v>298</v>
      </c>
      <c r="C77" s="1417">
        <f t="shared" si="67"/>
        <v>238682.65745999996</v>
      </c>
      <c r="D77" s="1417">
        <f t="shared" si="67"/>
        <v>1550190.2882519998</v>
      </c>
      <c r="E77" s="1417">
        <f t="shared" si="67"/>
        <v>25723559.252687998</v>
      </c>
      <c r="F77" s="1417">
        <f t="shared" si="67"/>
        <v>42413683.025933996</v>
      </c>
      <c r="G77" s="1417">
        <f>G63*euro</f>
        <v>23137759.392527997</v>
      </c>
      <c r="H77" s="1407">
        <f>ROUND(SUM(C77:G77),2)</f>
        <v>93063874.620000005</v>
      </c>
      <c r="I77" s="1417">
        <f>I63*euro</f>
        <v>1015326.121272</v>
      </c>
      <c r="J77" s="1417">
        <f>J63*euro</f>
        <v>2369094.2663819999</v>
      </c>
      <c r="K77" s="1417">
        <f t="shared" si="68"/>
        <v>0</v>
      </c>
      <c r="L77" s="1417"/>
      <c r="M77" s="1417">
        <f>ROUNDUP(M63*euro,2)</f>
        <v>0</v>
      </c>
      <c r="N77" s="1407">
        <f>SUM(I77:M77)</f>
        <v>3384420.387654</v>
      </c>
      <c r="O77" s="1408">
        <f>H77+N77</f>
        <v>96448295.007654011</v>
      </c>
      <c r="P77" s="1165">
        <f>'Deviz general curente'!E145</f>
        <v>96448296.659999996</v>
      </c>
    </row>
    <row r="78" spans="2:17" s="58" customFormat="1">
      <c r="B78" s="1394" t="s">
        <v>295</v>
      </c>
      <c r="C78" s="1414">
        <f t="shared" ref="C78:H78" si="69">C76+C77</f>
        <v>1506840.9693779997</v>
      </c>
      <c r="D78" s="1414">
        <f t="shared" ref="D78:G78" si="70">D76+D77</f>
        <v>9786592.3213679995</v>
      </c>
      <c r="E78" s="1414">
        <f t="shared" si="70"/>
        <v>162396819.94642797</v>
      </c>
      <c r="F78" s="1414">
        <f t="shared" ref="F78" si="71">F76+F77</f>
        <v>267764160.37096196</v>
      </c>
      <c r="G78" s="1414">
        <f t="shared" si="70"/>
        <v>146072265.75103998</v>
      </c>
      <c r="H78" s="1410">
        <f t="shared" si="69"/>
        <v>587526679.37</v>
      </c>
      <c r="I78" s="1409">
        <f t="shared" ref="I78:M78" si="72">I76+I77</f>
        <v>6359147.8612719998</v>
      </c>
      <c r="J78" s="1409">
        <f t="shared" ref="J78:K78" si="73">J76+J77</f>
        <v>14838011.666382</v>
      </c>
      <c r="K78" s="1409">
        <f t="shared" si="73"/>
        <v>0</v>
      </c>
      <c r="L78" s="1409"/>
      <c r="M78" s="1409">
        <f t="shared" si="72"/>
        <v>0</v>
      </c>
      <c r="N78" s="1410">
        <f t="shared" ref="N78" si="74">N76+N77</f>
        <v>21197159.527654</v>
      </c>
      <c r="O78" s="1411">
        <f>H78+N78</f>
        <v>608723838.89765406</v>
      </c>
    </row>
    <row r="79" spans="2:17" s="58" customFormat="1">
      <c r="B79" s="1159"/>
      <c r="C79" s="1418">
        <f>C62*4.9758</f>
        <v>1268158.3119179998</v>
      </c>
      <c r="D79" s="1418"/>
      <c r="E79" s="1418"/>
      <c r="F79" s="1418"/>
      <c r="G79" s="1418"/>
      <c r="H79" s="1418"/>
      <c r="I79" s="1418"/>
      <c r="J79" s="1418"/>
      <c r="K79" s="1418"/>
      <c r="L79" s="1418"/>
      <c r="M79" s="1418"/>
      <c r="N79" s="42"/>
      <c r="O79" s="42"/>
      <c r="P79" s="1165">
        <f>O79-O78</f>
        <v>-608723838.89765406</v>
      </c>
    </row>
    <row r="80" spans="2:17" s="58" customFormat="1" ht="32.85" customHeight="1">
      <c r="B80" s="1419" t="s">
        <v>301</v>
      </c>
      <c r="C80" s="1802" t="s">
        <v>302</v>
      </c>
      <c r="D80" s="1802"/>
      <c r="E80" s="1802"/>
      <c r="F80" s="1802"/>
      <c r="G80" s="1802"/>
      <c r="I80" s="1454"/>
      <c r="J80" s="1454"/>
      <c r="K80" s="1454"/>
      <c r="L80" s="1454"/>
      <c r="M80" s="1814" t="s">
        <v>303</v>
      </c>
      <c r="N80" s="1814"/>
    </row>
    <row r="81" spans="2:15" s="58" customFormat="1" ht="38.25">
      <c r="B81" s="1420" t="s">
        <v>304</v>
      </c>
      <c r="C81" s="1421" t="s">
        <v>305</v>
      </c>
      <c r="D81" s="1422" t="s">
        <v>306</v>
      </c>
      <c r="E81" s="1423" t="s">
        <v>307</v>
      </c>
      <c r="F81" s="1424"/>
      <c r="H81" s="1165">
        <f>H77-H70</f>
        <v>9408575.6200000048</v>
      </c>
      <c r="J81" s="1424"/>
      <c r="K81" s="1424"/>
      <c r="L81" s="1424"/>
      <c r="M81" s="1455" t="s">
        <v>308</v>
      </c>
      <c r="N81" s="1424" t="s">
        <v>8</v>
      </c>
      <c r="O81" s="1165">
        <f>O77-O70</f>
        <v>9408575.6076540053</v>
      </c>
    </row>
    <row r="82" spans="2:15" s="58" customFormat="1">
      <c r="B82" s="1425" t="s">
        <v>309</v>
      </c>
      <c r="C82" s="1426">
        <f>O41</f>
        <v>1238518.44</v>
      </c>
      <c r="D82" s="1427">
        <f>N41</f>
        <v>0</v>
      </c>
      <c r="E82" s="1428">
        <f t="shared" ref="E82:E94" si="75">C82-D82</f>
        <v>1238518.44</v>
      </c>
      <c r="F82" s="117"/>
      <c r="J82" s="117"/>
      <c r="K82" s="117"/>
      <c r="L82" s="117"/>
      <c r="M82" s="1802" t="s">
        <v>310</v>
      </c>
      <c r="N82" s="1802"/>
    </row>
    <row r="83" spans="2:15" s="58" customFormat="1">
      <c r="B83" s="1425" t="s">
        <v>311</v>
      </c>
      <c r="C83" s="1429">
        <f>O8</f>
        <v>0</v>
      </c>
      <c r="D83" s="1399">
        <f>N8</f>
        <v>0</v>
      </c>
      <c r="E83" s="1430">
        <f t="shared" si="75"/>
        <v>0</v>
      </c>
      <c r="F83" s="117"/>
      <c r="J83" s="117"/>
      <c r="K83" s="117"/>
      <c r="L83" s="117"/>
      <c r="M83" s="1456">
        <f>H62-H48+0.01</f>
        <v>10046470.009999985</v>
      </c>
      <c r="N83" s="1165">
        <f>H76-H69</f>
        <v>49989225.430000007</v>
      </c>
    </row>
    <row r="84" spans="2:15" s="58" customFormat="1">
      <c r="B84" s="1425" t="s">
        <v>312</v>
      </c>
      <c r="C84" s="1429">
        <f>O15</f>
        <v>30587524.049999997</v>
      </c>
      <c r="D84" s="1399">
        <f>N15</f>
        <v>0</v>
      </c>
      <c r="E84" s="1430">
        <f t="shared" si="75"/>
        <v>30587524.049999997</v>
      </c>
      <c r="F84" s="117"/>
      <c r="J84" s="117"/>
      <c r="K84" s="117"/>
      <c r="L84" s="117"/>
      <c r="M84" s="1802" t="s">
        <v>291</v>
      </c>
      <c r="N84" s="1802"/>
    </row>
    <row r="85" spans="2:15" s="58" customFormat="1">
      <c r="B85" s="1425" t="s">
        <v>313</v>
      </c>
      <c r="C85" s="1429">
        <f>O27+O21</f>
        <v>49293909.359999999</v>
      </c>
      <c r="D85" s="1399">
        <f>N27+N21</f>
        <v>3579874.4199999995</v>
      </c>
      <c r="E85" s="1430">
        <f t="shared" si="75"/>
        <v>45714034.939999998</v>
      </c>
      <c r="F85" s="117"/>
      <c r="J85" s="117"/>
      <c r="K85" s="117"/>
      <c r="L85" s="117"/>
      <c r="M85" s="1456">
        <f>N64-N50</f>
        <v>0</v>
      </c>
      <c r="N85" s="1165">
        <f>N78-N71</f>
        <v>-1.2345999479293823E-2</v>
      </c>
    </row>
    <row r="86" spans="2:15" s="58" customFormat="1">
      <c r="B86" s="1425" t="s">
        <v>314</v>
      </c>
      <c r="C86" s="1429">
        <f>O33</f>
        <v>7796149.9699999988</v>
      </c>
      <c r="D86" s="1399">
        <f>N33</f>
        <v>0</v>
      </c>
      <c r="E86" s="1430">
        <f t="shared" si="75"/>
        <v>7796149.9699999988</v>
      </c>
      <c r="F86" s="117"/>
      <c r="J86" s="117"/>
      <c r="K86" s="117"/>
      <c r="L86" s="117"/>
      <c r="M86" s="1802" t="s">
        <v>24</v>
      </c>
      <c r="N86" s="1802"/>
    </row>
    <row r="87" spans="2:15" s="58" customFormat="1">
      <c r="B87" s="1431" t="s">
        <v>315</v>
      </c>
      <c r="C87" s="1429">
        <v>0</v>
      </c>
      <c r="D87" s="1432">
        <v>0</v>
      </c>
      <c r="E87" s="1430">
        <f t="shared" si="75"/>
        <v>0</v>
      </c>
      <c r="F87" s="117"/>
      <c r="J87" s="117"/>
      <c r="K87" s="117"/>
      <c r="L87" s="117"/>
      <c r="M87" s="1457">
        <f>ROUND(O62-O48,0)</f>
        <v>10046470</v>
      </c>
      <c r="N87" s="1418">
        <f>O78-O71</f>
        <v>59397801.037654042</v>
      </c>
      <c r="O87" s="1458">
        <f>'Schema Echiv_DB cu p.a.'!G33</f>
        <v>10046470</v>
      </c>
    </row>
    <row r="88" spans="2:15" s="58" customFormat="1">
      <c r="B88" s="1425" t="s">
        <v>316</v>
      </c>
      <c r="C88" s="1429">
        <f>O42+O44</f>
        <v>986315.3600000001</v>
      </c>
      <c r="D88" s="1399">
        <f>N42+N44</f>
        <v>0</v>
      </c>
      <c r="E88" s="1430">
        <f t="shared" si="75"/>
        <v>986315.3600000001</v>
      </c>
      <c r="F88" s="117"/>
      <c r="J88" s="117"/>
      <c r="K88" s="117"/>
      <c r="L88" s="117"/>
      <c r="M88" s="1456" t="s">
        <v>9</v>
      </c>
    </row>
    <row r="89" spans="2:15" s="58" customFormat="1">
      <c r="B89" s="1425" t="s">
        <v>317</v>
      </c>
      <c r="C89" s="1429">
        <f>O45</f>
        <v>343558.02</v>
      </c>
      <c r="D89" s="1399">
        <f>N45</f>
        <v>0</v>
      </c>
      <c r="E89" s="1430">
        <f t="shared" si="75"/>
        <v>343558.02</v>
      </c>
      <c r="F89" s="117"/>
      <c r="J89" s="117"/>
      <c r="K89" s="117"/>
      <c r="L89" s="117"/>
      <c r="M89" s="1454"/>
    </row>
    <row r="90" spans="2:15" s="58" customFormat="1">
      <c r="B90" s="1425" t="s">
        <v>318</v>
      </c>
      <c r="C90" s="1429">
        <f>O43</f>
        <v>1996462.2799999998</v>
      </c>
      <c r="D90" s="1399">
        <f>N43</f>
        <v>0</v>
      </c>
      <c r="E90" s="1430">
        <f t="shared" si="75"/>
        <v>1996462.2799999998</v>
      </c>
      <c r="F90" s="117"/>
      <c r="J90" s="117"/>
      <c r="K90" s="117"/>
      <c r="L90" s="117"/>
      <c r="M90" s="1454"/>
    </row>
    <row r="91" spans="2:15" s="58" customFormat="1">
      <c r="B91" s="1433" t="s">
        <v>319</v>
      </c>
      <c r="C91" s="1429">
        <f>O46</f>
        <v>664495.77</v>
      </c>
      <c r="D91" s="1399">
        <f>N46</f>
        <v>0</v>
      </c>
      <c r="E91" s="1430">
        <f t="shared" si="75"/>
        <v>664495.77</v>
      </c>
      <c r="F91" s="117"/>
      <c r="J91" s="117"/>
      <c r="K91" s="117"/>
      <c r="L91" s="117"/>
      <c r="M91" s="1454"/>
    </row>
    <row r="92" spans="2:15" s="58" customFormat="1">
      <c r="B92" s="1434" t="s">
        <v>320</v>
      </c>
      <c r="C92" s="1435">
        <f>SUM(C82:C91)</f>
        <v>92906933.249999985</v>
      </c>
      <c r="D92" s="1435">
        <f>SUM(D82:D91)</f>
        <v>3579874.4199999995</v>
      </c>
      <c r="E92" s="1436">
        <f t="shared" si="75"/>
        <v>89327058.829999983</v>
      </c>
      <c r="F92" s="112"/>
      <c r="J92" s="112"/>
      <c r="K92" s="112"/>
      <c r="L92" s="112"/>
      <c r="M92" s="1459">
        <f>O62</f>
        <v>102953403.25</v>
      </c>
      <c r="N92" s="1459">
        <f>H48</f>
        <v>89327058.830000013</v>
      </c>
      <c r="O92" s="129"/>
    </row>
    <row r="93" spans="2:15" s="58" customFormat="1">
      <c r="B93" s="1437" t="s">
        <v>321</v>
      </c>
      <c r="C93" s="1429">
        <f>ROUND(O49,2)</f>
        <v>17492608.030000001</v>
      </c>
      <c r="D93" s="1432">
        <f>C93</f>
        <v>17492608.030000001</v>
      </c>
      <c r="E93" s="1430">
        <f t="shared" si="75"/>
        <v>0</v>
      </c>
      <c r="F93" s="117"/>
      <c r="J93" s="117"/>
      <c r="K93" s="117"/>
      <c r="L93" s="117"/>
      <c r="M93" s="1459">
        <f t="shared" ref="M93:M94" si="76">O63</f>
        <v>19383475.02</v>
      </c>
      <c r="N93" s="1459">
        <f>H49</f>
        <v>16812431.899999999</v>
      </c>
      <c r="O93" s="129"/>
    </row>
    <row r="94" spans="2:15" s="58" customFormat="1">
      <c r="B94" s="1438" t="s">
        <v>322</v>
      </c>
      <c r="C94" s="1439">
        <f t="shared" ref="C94:D94" si="77">+C92+C93</f>
        <v>110399541.27999999</v>
      </c>
      <c r="D94" s="1440">
        <f t="shared" si="77"/>
        <v>21072482.449999999</v>
      </c>
      <c r="E94" s="1441">
        <f t="shared" si="75"/>
        <v>89327058.829999983</v>
      </c>
      <c r="F94" s="112"/>
      <c r="J94" s="112" t="s">
        <v>9</v>
      </c>
      <c r="K94" s="112"/>
      <c r="L94" s="112"/>
      <c r="M94" s="1459">
        <f t="shared" si="76"/>
        <v>122336878.27</v>
      </c>
      <c r="N94" s="1459">
        <f>H50</f>
        <v>106139490.73</v>
      </c>
      <c r="O94" s="129"/>
    </row>
    <row r="95" spans="2:15" s="58" customFormat="1">
      <c r="B95" s="82"/>
      <c r="C95" s="112">
        <f>O50</f>
        <v>110399541.28000002</v>
      </c>
      <c r="D95" s="1418">
        <f>N50</f>
        <v>4260050.55</v>
      </c>
      <c r="E95" s="1418">
        <f>H50</f>
        <v>106139490.73</v>
      </c>
      <c r="F95" s="1418"/>
      <c r="J95" s="112" t="s">
        <v>9</v>
      </c>
      <c r="K95" s="112"/>
      <c r="L95" s="112"/>
      <c r="M95" s="1454"/>
    </row>
    <row r="96" spans="2:15" s="58" customFormat="1">
      <c r="B96" s="82"/>
      <c r="C96" s="112"/>
      <c r="D96" s="112"/>
      <c r="E96" s="112"/>
      <c r="F96" s="112"/>
      <c r="G96" s="1418"/>
      <c r="H96" s="1418"/>
      <c r="I96" s="112"/>
      <c r="J96" s="112" t="s">
        <v>9</v>
      </c>
      <c r="K96" s="112"/>
      <c r="L96" s="112"/>
      <c r="M96" s="1454"/>
    </row>
    <row r="97" spans="2:15" s="58" customFormat="1">
      <c r="B97" s="82" t="s">
        <v>323</v>
      </c>
      <c r="C97" s="112">
        <f>N49</f>
        <v>680176.13</v>
      </c>
      <c r="D97" s="112"/>
      <c r="E97" s="112"/>
      <c r="F97" s="112"/>
      <c r="G97" s="1418"/>
      <c r="H97" s="1418"/>
      <c r="I97" s="112"/>
      <c r="J97" s="112"/>
      <c r="K97" s="112"/>
      <c r="L97" s="112"/>
      <c r="M97" s="1454"/>
    </row>
    <row r="98" spans="2:15" s="58" customFormat="1">
      <c r="B98" s="82" t="s">
        <v>324</v>
      </c>
      <c r="C98" s="112">
        <f>D93-C97</f>
        <v>16812431.900000002</v>
      </c>
      <c r="D98" s="112"/>
      <c r="E98" s="112"/>
      <c r="F98" s="112"/>
      <c r="G98" s="1418"/>
      <c r="H98" s="1418"/>
      <c r="I98" s="112"/>
      <c r="J98" s="112"/>
      <c r="K98" s="112"/>
      <c r="L98" s="112"/>
      <c r="M98" s="1454"/>
    </row>
    <row r="99" spans="2:15" s="58" customFormat="1">
      <c r="B99" s="82"/>
      <c r="C99" s="112"/>
      <c r="D99" s="112"/>
      <c r="E99" s="112"/>
      <c r="F99" s="112"/>
      <c r="G99" s="1418"/>
      <c r="H99" s="1418"/>
      <c r="I99" s="112">
        <f>E113</f>
        <v>99373528.829999998</v>
      </c>
      <c r="J99" s="112"/>
      <c r="K99" s="112"/>
      <c r="L99" s="112"/>
      <c r="M99" s="1456" t="s">
        <v>9</v>
      </c>
    </row>
    <row r="100" spans="2:15" s="58" customFormat="1" ht="25.5">
      <c r="B100" s="1442" t="s">
        <v>325</v>
      </c>
      <c r="C100" s="1443" t="s">
        <v>305</v>
      </c>
      <c r="D100" s="1444" t="s">
        <v>326</v>
      </c>
      <c r="E100" s="1445" t="s">
        <v>327</v>
      </c>
      <c r="F100" s="1446"/>
      <c r="I100" s="1460"/>
      <c r="J100" s="1460"/>
      <c r="K100" s="1460"/>
      <c r="L100" s="1460"/>
      <c r="M100" s="1460" t="s">
        <v>328</v>
      </c>
      <c r="N100" s="129"/>
    </row>
    <row r="101" spans="2:15" s="58" customFormat="1">
      <c r="B101" s="1442"/>
      <c r="C101" s="1447" t="s">
        <v>329</v>
      </c>
      <c r="D101" s="1447" t="s">
        <v>329</v>
      </c>
      <c r="E101" s="1447" t="s">
        <v>330</v>
      </c>
      <c r="F101" s="1446"/>
      <c r="I101" s="1460"/>
      <c r="J101" s="1460"/>
      <c r="K101" s="1460"/>
      <c r="L101" s="1460"/>
      <c r="M101" s="1460"/>
      <c r="N101" s="129"/>
    </row>
    <row r="102" spans="2:15" s="58" customFormat="1">
      <c r="B102" s="1159" t="str">
        <f t="shared" ref="B102:C106" si="78">B82</f>
        <v>1. Planning/design fees</v>
      </c>
      <c r="C102" s="41">
        <f t="shared" si="78"/>
        <v>1238518.44</v>
      </c>
      <c r="D102" s="41">
        <f>D82</f>
        <v>0</v>
      </c>
      <c r="E102" s="1448">
        <f t="shared" ref="E102:E113" si="79">C102-D102</f>
        <v>1238518.44</v>
      </c>
      <c r="F102" s="1448"/>
      <c r="I102" s="1460"/>
      <c r="J102" s="1460"/>
      <c r="K102" s="1460"/>
      <c r="L102" s="1460"/>
      <c r="M102" s="1460" t="e">
        <f>#REF!-D85</f>
        <v>#REF!</v>
      </c>
      <c r="N102" s="129"/>
      <c r="O102" s="41" t="s">
        <v>9</v>
      </c>
    </row>
    <row r="103" spans="2:15" s="58" customFormat="1">
      <c r="B103" s="1159" t="str">
        <f t="shared" si="78"/>
        <v>2. Land purchase</v>
      </c>
      <c r="C103" s="41">
        <f t="shared" si="78"/>
        <v>0</v>
      </c>
      <c r="D103" s="41">
        <f>D83</f>
        <v>0</v>
      </c>
      <c r="E103" s="1448">
        <f t="shared" si="79"/>
        <v>0</v>
      </c>
      <c r="F103" s="1448"/>
      <c r="I103" s="1460"/>
      <c r="J103" s="1460"/>
      <c r="K103" s="1460"/>
      <c r="L103" s="1460"/>
      <c r="M103" s="1460" t="e">
        <f>#REF!-D93</f>
        <v>#REF!</v>
      </c>
      <c r="N103" s="129"/>
      <c r="O103" s="41" t="s">
        <v>9</v>
      </c>
    </row>
    <row r="104" spans="2:15" s="58" customFormat="1">
      <c r="B104" s="1159" t="str">
        <f t="shared" si="78"/>
        <v>3. Building and construction</v>
      </c>
      <c r="C104" s="41">
        <f t="shared" si="78"/>
        <v>30587524.049999997</v>
      </c>
      <c r="D104" s="41">
        <f>D84</f>
        <v>0</v>
      </c>
      <c r="E104" s="1448">
        <f t="shared" si="79"/>
        <v>30587524.049999997</v>
      </c>
      <c r="F104" s="1448"/>
      <c r="I104" s="1460"/>
      <c r="J104" s="1460"/>
      <c r="K104" s="1460"/>
      <c r="L104" s="1460"/>
      <c r="M104" s="1460" t="e">
        <f>#REF!-D94</f>
        <v>#REF!</v>
      </c>
      <c r="N104" s="129"/>
      <c r="O104" s="1167" t="s">
        <v>9</v>
      </c>
    </row>
    <row r="105" spans="2:15" s="58" customFormat="1">
      <c r="B105" s="1159" t="str">
        <f t="shared" si="78"/>
        <v>4. Plant, machinery &amp; mobile equipment</v>
      </c>
      <c r="C105" s="41">
        <f t="shared" si="78"/>
        <v>49293909.359999999</v>
      </c>
      <c r="D105" s="41">
        <f>D85</f>
        <v>3579874.4199999995</v>
      </c>
      <c r="E105" s="1448">
        <f t="shared" si="79"/>
        <v>45714034.939999998</v>
      </c>
      <c r="F105" s="1448"/>
      <c r="I105" s="1460"/>
      <c r="J105" s="1460"/>
      <c r="K105" s="1460"/>
      <c r="L105" s="1460"/>
      <c r="M105" s="1460" t="e">
        <f>M102+M103</f>
        <v>#REF!</v>
      </c>
      <c r="N105" s="129"/>
    </row>
    <row r="106" spans="2:15" s="58" customFormat="1">
      <c r="B106" s="1159" t="str">
        <f t="shared" si="78"/>
        <v>5. Contingencies</v>
      </c>
      <c r="C106" s="41">
        <f t="shared" si="78"/>
        <v>7796149.9699999988</v>
      </c>
      <c r="D106" s="41">
        <f>D86</f>
        <v>0</v>
      </c>
      <c r="E106" s="1448">
        <f t="shared" si="79"/>
        <v>7796149.9699999988</v>
      </c>
      <c r="F106" s="1448"/>
      <c r="I106" s="1460"/>
      <c r="J106" s="1460"/>
      <c r="K106" s="1460"/>
      <c r="L106" s="1460"/>
      <c r="M106" s="1460"/>
      <c r="N106" s="129"/>
    </row>
    <row r="107" spans="2:15" s="58" customFormat="1">
      <c r="B107" s="1159" t="str">
        <f>B87</f>
        <v>6. Price adjustments</v>
      </c>
      <c r="C107" s="41">
        <f>M87</f>
        <v>10046470</v>
      </c>
      <c r="D107" s="41">
        <f>M85</f>
        <v>0</v>
      </c>
      <c r="E107" s="1448">
        <f t="shared" si="79"/>
        <v>10046470</v>
      </c>
      <c r="F107" s="1448"/>
      <c r="I107" s="1460"/>
      <c r="J107" s="1460"/>
      <c r="K107" s="1460"/>
      <c r="L107" s="1460"/>
      <c r="M107" s="1460"/>
      <c r="N107" s="129"/>
    </row>
    <row r="108" spans="2:15" s="58" customFormat="1">
      <c r="B108" s="1159" t="str">
        <f t="shared" ref="B108:C109" si="80">B89</f>
        <v>8. Publicity</v>
      </c>
      <c r="C108" s="41">
        <f t="shared" si="80"/>
        <v>343558.02</v>
      </c>
      <c r="D108" s="41">
        <f>D89</f>
        <v>0</v>
      </c>
      <c r="E108" s="1448">
        <f t="shared" si="79"/>
        <v>343558.02</v>
      </c>
      <c r="F108" s="1448"/>
      <c r="I108" s="1460"/>
      <c r="J108" s="1460"/>
      <c r="K108" s="1460"/>
      <c r="L108" s="1460"/>
      <c r="M108" s="1460"/>
      <c r="N108" s="129"/>
    </row>
    <row r="109" spans="2:15" s="58" customFormat="1">
      <c r="B109" s="1159" t="str">
        <f t="shared" si="80"/>
        <v>9. Supervision during implementation</v>
      </c>
      <c r="C109" s="41">
        <f t="shared" si="80"/>
        <v>1996462.2799999998</v>
      </c>
      <c r="D109" s="41">
        <f>D90</f>
        <v>0</v>
      </c>
      <c r="E109" s="1448">
        <f t="shared" si="79"/>
        <v>1996462.2799999998</v>
      </c>
      <c r="F109" s="1448"/>
      <c r="I109" s="1460"/>
      <c r="J109" s="1460"/>
      <c r="K109" s="1460"/>
      <c r="L109" s="1460"/>
      <c r="M109" s="1460"/>
      <c r="N109" s="129"/>
    </row>
    <row r="110" spans="2:15" s="58" customFormat="1">
      <c r="B110" s="1159" t="str">
        <f>B88</f>
        <v>7. Technical assistance</v>
      </c>
      <c r="C110" s="41">
        <f>C88+C91</f>
        <v>1650811.1300000001</v>
      </c>
      <c r="D110" s="41">
        <f>D88+D91</f>
        <v>0</v>
      </c>
      <c r="E110" s="1448">
        <f t="shared" si="79"/>
        <v>1650811.1300000001</v>
      </c>
      <c r="F110" s="1448"/>
      <c r="I110" s="1460"/>
      <c r="J110" s="1460"/>
      <c r="K110" s="1460"/>
      <c r="L110" s="1460"/>
      <c r="M110" s="1460"/>
      <c r="N110" s="129"/>
    </row>
    <row r="111" spans="2:15" s="58" customFormat="1">
      <c r="B111" s="58" t="s">
        <v>331</v>
      </c>
      <c r="C111" s="1449">
        <f>SUM(C102:C110)</f>
        <v>102953403.24999999</v>
      </c>
      <c r="D111" s="81">
        <f>SUM(D102:D110)</f>
        <v>3579874.4199999995</v>
      </c>
      <c r="E111" s="1450">
        <f t="shared" si="79"/>
        <v>99373528.829999983</v>
      </c>
      <c r="F111" s="1450"/>
      <c r="I111" s="129"/>
      <c r="J111" s="129"/>
      <c r="K111" s="129"/>
      <c r="L111" s="129"/>
      <c r="M111" s="129"/>
      <c r="N111" s="129"/>
    </row>
    <row r="112" spans="2:15" s="58" customFormat="1">
      <c r="B112" s="58" t="s">
        <v>332</v>
      </c>
      <c r="C112" s="1451">
        <f>O63</f>
        <v>19383475.02</v>
      </c>
      <c r="D112" s="41">
        <f>C112</f>
        <v>19383475.02</v>
      </c>
      <c r="E112" s="1448">
        <f t="shared" si="79"/>
        <v>0</v>
      </c>
      <c r="F112" s="1448"/>
      <c r="I112" s="129"/>
      <c r="J112" s="129"/>
      <c r="K112" s="129"/>
      <c r="L112" s="129"/>
      <c r="M112" s="129"/>
      <c r="N112" s="129"/>
    </row>
    <row r="113" spans="2:14" s="58" customFormat="1">
      <c r="B113" s="82" t="s">
        <v>257</v>
      </c>
      <c r="C113" s="1449">
        <f>ROUNDUP(C111+C112,2)</f>
        <v>122336878.27</v>
      </c>
      <c r="D113" s="81">
        <f>D111+D112</f>
        <v>22963349.439999998</v>
      </c>
      <c r="E113" s="1450">
        <f t="shared" si="79"/>
        <v>99373528.829999998</v>
      </c>
      <c r="F113" s="1450"/>
      <c r="I113" s="129"/>
      <c r="J113" s="129"/>
      <c r="K113" s="129"/>
      <c r="L113" s="129"/>
      <c r="M113" s="129"/>
      <c r="N113" s="129"/>
    </row>
    <row r="114" spans="2:14" s="58" customFormat="1" hidden="1">
      <c r="B114" s="1442" t="s">
        <v>333</v>
      </c>
      <c r="C114" s="1167"/>
      <c r="D114" s="1167"/>
      <c r="E114" s="1167"/>
      <c r="F114" s="1167"/>
      <c r="I114" s="129"/>
      <c r="J114" s="129"/>
      <c r="K114" s="129"/>
      <c r="L114" s="129"/>
      <c r="M114" s="129"/>
      <c r="N114" s="129"/>
    </row>
    <row r="115" spans="2:14" s="58" customFormat="1" hidden="1">
      <c r="B115" s="58" t="str">
        <f>B102</f>
        <v>1. Planning/design fees</v>
      </c>
      <c r="C115" s="41">
        <f>ROUNDDOWN(ROUND(C102,0)*euro,0)</f>
        <v>6162617</v>
      </c>
      <c r="D115" s="1167">
        <f>D102*euro</f>
        <v>0</v>
      </c>
      <c r="E115" s="1448" t="e">
        <f>#REF!/#REF!</f>
        <v>#REF!</v>
      </c>
      <c r="F115" s="1448"/>
      <c r="I115" s="1459"/>
      <c r="J115" s="1459"/>
      <c r="K115" s="1459"/>
      <c r="L115" s="1459"/>
      <c r="M115" s="129" t="s">
        <v>9</v>
      </c>
      <c r="N115" s="129"/>
    </row>
    <row r="116" spans="2:14" s="58" customFormat="1" hidden="1">
      <c r="B116" s="58" t="str">
        <f t="shared" ref="B116:B123" si="81">B103</f>
        <v>2. Land purchase</v>
      </c>
      <c r="C116" s="41">
        <f>ROUND(C103*euro,0)</f>
        <v>0</v>
      </c>
      <c r="D116" s="1167">
        <f>D103*euro</f>
        <v>0</v>
      </c>
      <c r="E116" s="1448" t="e">
        <f>#REF!/#REF!</f>
        <v>#REF!</v>
      </c>
      <c r="F116" s="1448"/>
      <c r="I116" s="1459"/>
      <c r="J116" s="1459"/>
      <c r="K116" s="1459"/>
      <c r="L116" s="1459"/>
      <c r="M116" s="129"/>
      <c r="N116" s="129"/>
    </row>
    <row r="117" spans="2:14" s="58" customFormat="1" hidden="1">
      <c r="B117" s="58" t="str">
        <f t="shared" si="81"/>
        <v>3. Building and construction</v>
      </c>
      <c r="C117" s="41">
        <f>ROUNDDOWN(C104*euro,0)</f>
        <v>152197402</v>
      </c>
      <c r="D117" s="1167">
        <f>D104*euro</f>
        <v>0</v>
      </c>
      <c r="E117" s="1448" t="e">
        <f>#REF!/#REF!</f>
        <v>#REF!</v>
      </c>
      <c r="F117" s="1448"/>
      <c r="I117" s="1459"/>
      <c r="J117" s="1459"/>
      <c r="K117" s="1459"/>
      <c r="L117" s="1459"/>
      <c r="M117" s="129" t="s">
        <v>9</v>
      </c>
      <c r="N117" s="129"/>
    </row>
    <row r="118" spans="2:14" s="58" customFormat="1" hidden="1">
      <c r="B118" s="58" t="str">
        <f t="shared" si="81"/>
        <v>4. Plant, machinery &amp; mobile equipment</v>
      </c>
      <c r="C118" s="41">
        <f>ROUNDDOWN(C105*euro,0)</f>
        <v>245276634</v>
      </c>
      <c r="D118" s="41">
        <f>D105*euro</f>
        <v>17812739.139035996</v>
      </c>
      <c r="E118" s="1448" t="e">
        <f>#REF!/#REF!</f>
        <v>#REF!</v>
      </c>
      <c r="F118" s="1448"/>
      <c r="I118" s="1459"/>
      <c r="J118" s="1459"/>
      <c r="K118" s="1459"/>
      <c r="L118" s="1459"/>
      <c r="M118" s="129" t="s">
        <v>9</v>
      </c>
      <c r="N118" s="129"/>
    </row>
    <row r="119" spans="2:14" s="58" customFormat="1" hidden="1">
      <c r="B119" s="58" t="str">
        <f t="shared" si="81"/>
        <v>5. Contingencies</v>
      </c>
      <c r="C119" s="41">
        <f>ROUNDDOWN(C106*euro,0)</f>
        <v>38792083</v>
      </c>
      <c r="D119" s="1167">
        <f>D106*euro</f>
        <v>0</v>
      </c>
      <c r="E119" s="1448" t="e">
        <f>#REF!/#REF!</f>
        <v>#REF!</v>
      </c>
      <c r="F119" s="1448"/>
      <c r="I119" s="1459"/>
      <c r="J119" s="1459"/>
      <c r="K119" s="1459"/>
      <c r="L119" s="1459"/>
      <c r="M119" s="129" t="s">
        <v>9</v>
      </c>
      <c r="N119" s="129"/>
    </row>
    <row r="120" spans="2:14" s="58" customFormat="1" hidden="1">
      <c r="B120" s="58" t="str">
        <f t="shared" si="81"/>
        <v>6. Price adjustments</v>
      </c>
      <c r="C120" s="1167" t="e">
        <f>ROUNDDOWN(#REF!-'DEVIZ GENERAL'!C164,0)</f>
        <v>#REF!</v>
      </c>
      <c r="D120" s="1167" t="str">
        <f>O104</f>
        <v/>
      </c>
      <c r="E120" s="1448" t="e">
        <f>#REF!/#REF!</f>
        <v>#REF!</v>
      </c>
      <c r="F120" s="1448"/>
      <c r="I120" s="1459"/>
      <c r="J120" s="1459"/>
      <c r="K120" s="1459"/>
      <c r="L120" s="1459"/>
      <c r="M120" s="129" t="s">
        <v>9</v>
      </c>
      <c r="N120" s="129"/>
    </row>
    <row r="121" spans="2:14" s="58" customFormat="1" hidden="1">
      <c r="B121" s="58" t="str">
        <f t="shared" si="81"/>
        <v>8. Publicity</v>
      </c>
      <c r="C121" s="41">
        <f>ROUNDDOWN(C108*euro,0)</f>
        <v>1709475</v>
      </c>
      <c r="D121" s="1167"/>
      <c r="E121" s="1448" t="e">
        <f>#REF!/#REF!</f>
        <v>#REF!</v>
      </c>
      <c r="F121" s="1448"/>
      <c r="I121" s="1459"/>
      <c r="J121" s="1459"/>
      <c r="K121" s="1459"/>
      <c r="L121" s="1459"/>
      <c r="M121" s="129" t="s">
        <v>9</v>
      </c>
      <c r="N121" s="129"/>
    </row>
    <row r="122" spans="2:14" s="58" customFormat="1" hidden="1">
      <c r="B122" s="58" t="str">
        <f t="shared" si="81"/>
        <v>9. Supervision during implementation</v>
      </c>
      <c r="C122" s="41">
        <f>ROUNDDOWN(C109*euro,0)</f>
        <v>9933997</v>
      </c>
      <c r="D122" s="1167"/>
      <c r="E122" s="1448" t="e">
        <f>#REF!/#REF!</f>
        <v>#REF!</v>
      </c>
      <c r="F122" s="1448"/>
      <c r="I122" s="1459"/>
      <c r="J122" s="1459"/>
      <c r="K122" s="1459"/>
      <c r="L122" s="1459"/>
      <c r="M122" s="129" t="s">
        <v>9</v>
      </c>
      <c r="N122" s="129"/>
    </row>
    <row r="123" spans="2:14" s="58" customFormat="1" hidden="1">
      <c r="B123" s="58" t="str">
        <f t="shared" si="81"/>
        <v>7. Technical assistance</v>
      </c>
      <c r="C123" s="41">
        <f>ROUNDDOWN(C110*euro,0)</f>
        <v>8214106</v>
      </c>
      <c r="D123" s="1167"/>
      <c r="E123" s="1448" t="e">
        <f>#REF!/#REF!</f>
        <v>#REF!</v>
      </c>
      <c r="F123" s="1448"/>
      <c r="I123" s="1459"/>
      <c r="J123" s="1459"/>
      <c r="K123" s="1459"/>
      <c r="L123" s="1459"/>
      <c r="M123" s="129" t="s">
        <v>9</v>
      </c>
      <c r="N123" s="129"/>
    </row>
    <row r="124" spans="2:14" s="58" customFormat="1" hidden="1">
      <c r="C124" s="1167" t="e">
        <f>ROUNDDOWN(SUM(C115:C123),0)</f>
        <v>#REF!</v>
      </c>
      <c r="D124" s="1167">
        <f>ROUNDUP(SUM(D115:D123),0)</f>
        <v>17812740</v>
      </c>
      <c r="E124" s="1448" t="e">
        <f>#REF!/#REF!</f>
        <v>#REF!</v>
      </c>
      <c r="F124" s="1448"/>
      <c r="I124" s="1459"/>
      <c r="J124" s="1459"/>
      <c r="K124" s="1459"/>
      <c r="L124" s="1459"/>
      <c r="M124" s="129" t="s">
        <v>9</v>
      </c>
      <c r="N124" s="129"/>
    </row>
    <row r="125" spans="2:14" s="58" customFormat="1" hidden="1">
      <c r="B125" s="129"/>
      <c r="C125" s="41" t="e">
        <f>ROUNDDOWN(#REF!,0)</f>
        <v>#REF!</v>
      </c>
      <c r="D125" s="41">
        <f>D112*euro</f>
        <v>96448295.004515991</v>
      </c>
      <c r="E125" s="1448" t="e">
        <f>#REF!/#REF!</f>
        <v>#REF!</v>
      </c>
      <c r="F125" s="1448"/>
      <c r="I125" s="129"/>
      <c r="J125" s="129"/>
      <c r="K125" s="129"/>
      <c r="L125" s="129"/>
      <c r="M125" s="129"/>
      <c r="N125" s="129"/>
    </row>
    <row r="126" spans="2:14" s="58" customFormat="1" hidden="1">
      <c r="C126" s="1167" t="e">
        <f>ROUND(C124+C125,0)</f>
        <v>#REF!</v>
      </c>
      <c r="D126" s="1167">
        <f>D124+D125</f>
        <v>114261035.00451599</v>
      </c>
      <c r="E126" s="1167" t="e">
        <f>E124+E125</f>
        <v>#REF!</v>
      </c>
      <c r="F126" s="1167"/>
      <c r="I126" s="129"/>
      <c r="J126" s="129"/>
      <c r="K126" s="129"/>
      <c r="L126" s="129"/>
      <c r="M126" s="129"/>
      <c r="N126" s="129"/>
    </row>
    <row r="127" spans="2:14" s="58" customFormat="1" hidden="1">
      <c r="B127" s="58" t="s">
        <v>334</v>
      </c>
      <c r="C127" s="1167" t="e">
        <f>#REF!</f>
        <v>#REF!</v>
      </c>
      <c r="D127" s="1167"/>
      <c r="E127" s="1167"/>
      <c r="F127" s="1167"/>
      <c r="I127" s="129"/>
      <c r="J127" s="129"/>
      <c r="K127" s="129"/>
      <c r="L127" s="129"/>
      <c r="M127" s="129"/>
      <c r="N127" s="129"/>
    </row>
    <row r="128" spans="2:14" s="58" customFormat="1" hidden="1">
      <c r="C128" s="1167">
        <f>N78</f>
        <v>21197159.527654</v>
      </c>
      <c r="D128" s="1167"/>
      <c r="E128" s="1167"/>
      <c r="F128" s="1167"/>
      <c r="I128" s="129"/>
      <c r="J128" s="129"/>
      <c r="K128" s="129"/>
      <c r="L128" s="129"/>
      <c r="M128" s="129"/>
      <c r="N128" s="129"/>
    </row>
    <row r="129" spans="2:14" s="58" customFormat="1" hidden="1">
      <c r="C129" s="1167"/>
      <c r="D129" s="1167"/>
      <c r="E129" s="1167"/>
      <c r="F129" s="1167"/>
      <c r="I129" s="129"/>
      <c r="J129" s="129"/>
      <c r="K129" s="129"/>
      <c r="L129" s="129"/>
      <c r="M129" s="129"/>
      <c r="N129" s="129"/>
    </row>
    <row r="130" spans="2:14" s="58" customFormat="1" hidden="1">
      <c r="C130" s="1167" t="e">
        <f>#REF!</f>
        <v>#REF!</v>
      </c>
      <c r="D130" s="1167"/>
      <c r="E130" s="1448" t="s">
        <v>9</v>
      </c>
      <c r="F130" s="1448"/>
      <c r="I130" s="129"/>
      <c r="J130" s="129"/>
      <c r="K130" s="129"/>
      <c r="L130" s="129"/>
      <c r="M130" s="129"/>
      <c r="N130" s="129"/>
    </row>
    <row r="131" spans="2:14" s="58" customFormat="1" hidden="1">
      <c r="C131" s="1167"/>
      <c r="D131" s="1167"/>
      <c r="E131" s="1167"/>
      <c r="F131" s="1167"/>
      <c r="I131" s="129"/>
      <c r="J131" s="129"/>
      <c r="K131" s="129"/>
      <c r="L131" s="129"/>
      <c r="M131" s="129"/>
      <c r="N131" s="129"/>
    </row>
    <row r="132" spans="2:14" s="58" customFormat="1">
      <c r="B132" s="58" t="s">
        <v>335</v>
      </c>
      <c r="C132" s="1166">
        <f>E111/C111</f>
        <v>0.96522820706269363</v>
      </c>
      <c r="D132" s="1167"/>
      <c r="E132" s="1167"/>
      <c r="F132" s="1167"/>
      <c r="I132" s="129"/>
      <c r="J132" s="129"/>
      <c r="K132" s="129"/>
      <c r="L132" s="129"/>
      <c r="M132" s="129"/>
      <c r="N132" s="129"/>
    </row>
    <row r="133" spans="2:14" s="58" customFormat="1">
      <c r="I133" s="129"/>
      <c r="J133" s="129"/>
      <c r="K133" s="129"/>
      <c r="L133" s="129"/>
      <c r="M133" s="129"/>
      <c r="N133" s="129"/>
    </row>
    <row r="134" spans="2:14" s="58" customFormat="1" ht="25.5">
      <c r="B134" s="1442" t="s">
        <v>333</v>
      </c>
      <c r="C134" s="1443" t="s">
        <v>305</v>
      </c>
      <c r="D134" s="1444" t="s">
        <v>326</v>
      </c>
      <c r="E134" s="1445" t="s">
        <v>327</v>
      </c>
      <c r="F134" s="1446"/>
      <c r="I134" s="129"/>
      <c r="J134" s="129"/>
      <c r="K134" s="129"/>
      <c r="L134" s="129"/>
      <c r="M134" s="129"/>
      <c r="N134" s="129"/>
    </row>
    <row r="135" spans="2:14" s="58" customFormat="1">
      <c r="B135" s="1442"/>
      <c r="C135" s="1447" t="s">
        <v>329</v>
      </c>
      <c r="D135" s="1447" t="s">
        <v>329</v>
      </c>
      <c r="E135" s="1447" t="s">
        <v>330</v>
      </c>
      <c r="F135" s="1446"/>
      <c r="I135" s="129"/>
      <c r="J135" s="129"/>
      <c r="K135" s="129"/>
      <c r="L135" s="129"/>
      <c r="M135" s="129"/>
      <c r="N135" s="129"/>
    </row>
    <row r="136" spans="2:14" s="58" customFormat="1">
      <c r="B136" s="1461" t="s">
        <v>309</v>
      </c>
      <c r="C136" s="1451">
        <f t="shared" ref="C136:C144" si="82">C102*euro</f>
        <v>6162620.0537519995</v>
      </c>
      <c r="D136" s="41">
        <f>ROUNDDOWN(D102*euro,0)</f>
        <v>0</v>
      </c>
      <c r="E136" s="41">
        <f t="shared" ref="E136:E144" si="83">C136-D136</f>
        <v>6162620.0537519995</v>
      </c>
      <c r="F136" s="41"/>
      <c r="I136" s="129"/>
      <c r="J136" s="129"/>
      <c r="K136" s="129"/>
      <c r="L136" s="129"/>
      <c r="M136" s="129"/>
      <c r="N136" s="129"/>
    </row>
    <row r="137" spans="2:14" s="58" customFormat="1">
      <c r="B137" s="1159" t="s">
        <v>311</v>
      </c>
      <c r="C137" s="1451">
        <f t="shared" si="82"/>
        <v>0</v>
      </c>
      <c r="D137" s="41">
        <f>ROUNDDOWN(D103*euro,2)</f>
        <v>0</v>
      </c>
      <c r="E137" s="41">
        <f t="shared" si="83"/>
        <v>0</v>
      </c>
      <c r="F137" s="41"/>
    </row>
    <row r="138" spans="2:14" s="58" customFormat="1">
      <c r="B138" s="1159" t="s">
        <v>312</v>
      </c>
      <c r="C138" s="1451">
        <f t="shared" si="82"/>
        <v>152197402.16798997</v>
      </c>
      <c r="D138" s="41">
        <f>ROUNDDOWN(D104*euro,0)</f>
        <v>0</v>
      </c>
      <c r="E138" s="41">
        <f t="shared" si="83"/>
        <v>152197402.16798997</v>
      </c>
      <c r="F138" s="41"/>
    </row>
    <row r="139" spans="2:14" s="58" customFormat="1">
      <c r="B139" s="1159" t="s">
        <v>313</v>
      </c>
      <c r="C139" s="1451">
        <f t="shared" si="82"/>
        <v>245276634.19348797</v>
      </c>
      <c r="D139" s="41">
        <f>ROUNDDOWN(D105*euro,0)</f>
        <v>17812739</v>
      </c>
      <c r="E139" s="41">
        <f t="shared" si="83"/>
        <v>227463895.19348797</v>
      </c>
      <c r="F139" s="41"/>
    </row>
    <row r="140" spans="2:14" s="58" customFormat="1">
      <c r="B140" s="1159" t="s">
        <v>314</v>
      </c>
      <c r="C140" s="1451">
        <f t="shared" si="82"/>
        <v>38792083.020725988</v>
      </c>
      <c r="D140" s="41">
        <f>ROUND(D106*euro,0)</f>
        <v>0</v>
      </c>
      <c r="E140" s="41">
        <f t="shared" si="83"/>
        <v>38792083.020725988</v>
      </c>
      <c r="F140" s="41"/>
    </row>
    <row r="141" spans="2:14" s="58" customFormat="1">
      <c r="B141" s="1159" t="s">
        <v>315</v>
      </c>
      <c r="C141" s="1451">
        <f t="shared" si="82"/>
        <v>49989225.425999999</v>
      </c>
      <c r="D141" s="41">
        <f>N85</f>
        <v>-1.2345999479293823E-2</v>
      </c>
      <c r="E141" s="41">
        <f t="shared" si="83"/>
        <v>49989225.438345999</v>
      </c>
      <c r="F141" s="41"/>
    </row>
    <row r="142" spans="2:14" s="58" customFormat="1">
      <c r="B142" s="1159" t="s">
        <v>317</v>
      </c>
      <c r="C142" s="1451">
        <f t="shared" si="82"/>
        <v>1709475.9959159999</v>
      </c>
      <c r="D142" s="41">
        <f>ROUND(D108*euro,0)</f>
        <v>0</v>
      </c>
      <c r="E142" s="41">
        <f t="shared" si="83"/>
        <v>1709475.9959159999</v>
      </c>
      <c r="F142" s="41"/>
    </row>
    <row r="143" spans="2:14" s="58" customFormat="1">
      <c r="B143" s="1159" t="s">
        <v>318</v>
      </c>
      <c r="C143" s="1451">
        <f t="shared" si="82"/>
        <v>9933997.0128239989</v>
      </c>
      <c r="D143" s="41">
        <f>ROUNDDOWN(D109*euro,2)-0.02</f>
        <v>-0.02</v>
      </c>
      <c r="E143" s="42">
        <f t="shared" si="83"/>
        <v>9933997.0328239985</v>
      </c>
      <c r="F143" s="42"/>
    </row>
    <row r="144" spans="2:14" s="58" customFormat="1">
      <c r="B144" s="1159" t="s">
        <v>316</v>
      </c>
      <c r="C144" s="1451">
        <f t="shared" si="82"/>
        <v>8214106.0206539994</v>
      </c>
      <c r="D144" s="41">
        <f>ROUNDDOWN(D110*euro,0)</f>
        <v>0</v>
      </c>
      <c r="E144" s="42">
        <f t="shared" si="83"/>
        <v>8214106.0206539994</v>
      </c>
      <c r="F144" s="42"/>
    </row>
    <row r="145" spans="2:6" s="58" customFormat="1">
      <c r="B145" s="58" t="s">
        <v>336</v>
      </c>
      <c r="C145" s="1451">
        <f>SUM(C136:C144)</f>
        <v>512275543.89134991</v>
      </c>
      <c r="D145" s="41">
        <f>SUM(D136:D144)</f>
        <v>17812738.967654001</v>
      </c>
      <c r="E145" s="41">
        <f>SUM(E136:E144)</f>
        <v>494462804.92369592</v>
      </c>
      <c r="F145" s="41"/>
    </row>
    <row r="146" spans="2:6" s="58" customFormat="1">
      <c r="B146" s="58" t="s">
        <v>5</v>
      </c>
      <c r="C146" s="1451">
        <f>C112*euro</f>
        <v>96448295.004515991</v>
      </c>
      <c r="D146" s="41">
        <f>C146</f>
        <v>96448295.004515991</v>
      </c>
      <c r="E146" s="41">
        <f>C146-D146</f>
        <v>0</v>
      </c>
      <c r="F146" s="41"/>
    </row>
    <row r="147" spans="2:6" s="58" customFormat="1">
      <c r="B147" s="58" t="s">
        <v>261</v>
      </c>
      <c r="C147" s="1449">
        <f>ROUND(C145+C146,2)</f>
        <v>608723838.89999998</v>
      </c>
      <c r="D147" s="81">
        <f>D145+D146</f>
        <v>114261033.97217</v>
      </c>
      <c r="E147" s="81">
        <f>C147-D147</f>
        <v>494462804.92782998</v>
      </c>
      <c r="F147" s="81"/>
    </row>
    <row r="148" spans="2:6" s="58" customFormat="1">
      <c r="C148" s="41">
        <f>'Deviz general curente'!G145</f>
        <v>608723841.65999997</v>
      </c>
      <c r="D148" s="1167"/>
      <c r="E148" s="1167"/>
      <c r="F148" s="1167"/>
    </row>
    <row r="149" spans="2:6" s="58" customFormat="1">
      <c r="C149" s="1167">
        <f>'DEVIZ GENERAL'!E164</f>
        <v>87039719.395896003</v>
      </c>
      <c r="D149" s="1167"/>
      <c r="E149" s="1167"/>
      <c r="F149" s="1167"/>
    </row>
    <row r="150" spans="2:6" s="58" customFormat="1"/>
    <row r="151" spans="2:6" s="58" customFormat="1"/>
    <row r="152" spans="2:6" s="58" customFormat="1"/>
    <row r="153" spans="2:6" s="58" customFormat="1"/>
    <row r="154" spans="2:6" s="58" customFormat="1"/>
    <row r="155" spans="2:6" s="58" customFormat="1"/>
    <row r="156" spans="2:6" s="58" customFormat="1"/>
    <row r="157" spans="2:6" s="58" customFormat="1"/>
    <row r="158" spans="2:6" s="58" customFormat="1"/>
    <row r="159" spans="2:6" s="58" customFormat="1"/>
    <row r="160" spans="2:6" s="58" customFormat="1"/>
    <row r="161" s="58" customFormat="1"/>
    <row r="162" s="58" customFormat="1"/>
    <row r="163" s="58" customFormat="1"/>
    <row r="164" s="58" customFormat="1"/>
    <row r="165" s="58" customFormat="1"/>
    <row r="166" s="58" customFormat="1"/>
    <row r="167" s="58" customFormat="1"/>
    <row r="168" s="58" customFormat="1"/>
    <row r="169" s="58" customFormat="1"/>
    <row r="170" s="58" customFormat="1"/>
    <row r="171" s="58" customFormat="1"/>
    <row r="172" s="58" customFormat="1"/>
    <row r="173" s="58" customFormat="1"/>
    <row r="174" s="58" customFormat="1"/>
    <row r="175" s="58" customFormat="1"/>
    <row r="176" s="58" customFormat="1"/>
    <row r="177" s="58" customFormat="1"/>
    <row r="178" s="58" customFormat="1"/>
    <row r="179" s="58" customFormat="1"/>
    <row r="180" s="58" customFormat="1"/>
    <row r="181" s="58" customFormat="1"/>
    <row r="182" s="58" customFormat="1"/>
    <row r="183" s="58" customFormat="1"/>
    <row r="184" s="58" customFormat="1"/>
    <row r="185" s="58" customFormat="1"/>
    <row r="186" s="58" customFormat="1"/>
    <row r="187" s="58" customFormat="1"/>
    <row r="188" s="58" customFormat="1"/>
    <row r="189" s="58" customFormat="1"/>
    <row r="190" s="58" customFormat="1"/>
    <row r="191" s="58" customFormat="1"/>
    <row r="192" s="58" customFormat="1"/>
    <row r="193" s="58" customFormat="1"/>
    <row r="194" s="58" customFormat="1"/>
    <row r="195" s="58" customFormat="1"/>
    <row r="196" s="58" customFormat="1"/>
    <row r="197" s="58" customFormat="1"/>
    <row r="198" s="58" customFormat="1"/>
    <row r="199" s="58" customFormat="1"/>
    <row r="200" s="58" customFormat="1"/>
    <row r="201" s="58" customFormat="1"/>
    <row r="202" s="58" customFormat="1"/>
    <row r="203" s="58" customFormat="1"/>
    <row r="204" s="58" customFormat="1"/>
    <row r="205" s="58" customFormat="1"/>
    <row r="206" s="58" customFormat="1"/>
    <row r="207" s="58" customFormat="1"/>
    <row r="208" s="58" customFormat="1"/>
    <row r="209" s="58" customFormat="1"/>
    <row r="210" s="58" customFormat="1"/>
    <row r="211" s="58" customFormat="1"/>
    <row r="212" s="58" customFormat="1"/>
    <row r="213" s="58" customFormat="1"/>
    <row r="214" s="58" customFormat="1"/>
    <row r="215" s="58" customFormat="1"/>
    <row r="216" s="58" customFormat="1"/>
    <row r="217" s="58" customFormat="1"/>
    <row r="218" s="58" customFormat="1"/>
    <row r="219" s="58" customFormat="1"/>
    <row r="220" s="58" customFormat="1"/>
    <row r="221" s="58" customFormat="1"/>
    <row r="222" s="58" customFormat="1"/>
    <row r="223" s="58" customFormat="1"/>
    <row r="224" s="58" customFormat="1"/>
    <row r="225" s="58" customFormat="1"/>
    <row r="226" s="58" customFormat="1"/>
    <row r="227" s="58" customFormat="1"/>
    <row r="228" s="58" customFormat="1"/>
    <row r="229" s="58" customFormat="1"/>
    <row r="230" s="58" customFormat="1"/>
    <row r="231" s="58" customFormat="1"/>
    <row r="232" s="58" customFormat="1"/>
    <row r="233" s="58" customFormat="1"/>
    <row r="234" s="58" customFormat="1"/>
    <row r="235" s="58" customFormat="1"/>
    <row r="236" s="58" customFormat="1"/>
    <row r="237" s="58" customFormat="1"/>
    <row r="238" s="58" customFormat="1"/>
    <row r="239" s="58" customFormat="1"/>
    <row r="240" s="58" customFormat="1"/>
    <row r="241" s="58" customFormat="1"/>
    <row r="242" s="58" customFormat="1"/>
    <row r="243" s="58" customFormat="1"/>
    <row r="244" s="58" customFormat="1"/>
    <row r="245" s="58" customFormat="1"/>
    <row r="246" s="58" customFormat="1"/>
    <row r="247" s="58" customFormat="1"/>
    <row r="248" s="58" customFormat="1"/>
    <row r="249" s="58" customFormat="1"/>
    <row r="250" s="58" customFormat="1"/>
    <row r="251" s="58" customFormat="1"/>
    <row r="252" s="58" customFormat="1"/>
    <row r="253" s="58" customFormat="1"/>
    <row r="254" s="58" customFormat="1"/>
    <row r="255" s="58" customFormat="1"/>
    <row r="256" s="58" customFormat="1"/>
    <row r="257" s="58" customFormat="1"/>
    <row r="258" s="58" customFormat="1"/>
    <row r="259" s="58" customFormat="1"/>
    <row r="260" s="58" customFormat="1"/>
    <row r="261" s="58" customFormat="1"/>
    <row r="262" s="58" customFormat="1"/>
    <row r="263" s="58" customFormat="1"/>
    <row r="264" s="58" customFormat="1"/>
    <row r="265" s="58" customFormat="1"/>
    <row r="266" s="58" customFormat="1"/>
    <row r="267" s="58" customFormat="1"/>
    <row r="268" s="58" customFormat="1"/>
    <row r="269" s="58" customFormat="1"/>
    <row r="270" s="58" customFormat="1"/>
    <row r="271" s="58" customFormat="1"/>
    <row r="272" s="58" customFormat="1"/>
    <row r="273" s="58" customFormat="1"/>
    <row r="274" s="58" customFormat="1"/>
    <row r="275" s="58" customFormat="1"/>
    <row r="276" s="58" customFormat="1"/>
    <row r="277" s="58" customFormat="1"/>
    <row r="278" s="58" customFormat="1"/>
    <row r="279" s="58" customFormat="1"/>
    <row r="280" s="58" customFormat="1"/>
    <row r="281" s="58" customFormat="1"/>
    <row r="282" s="58" customFormat="1"/>
    <row r="283" s="58" customFormat="1"/>
    <row r="284" s="58" customFormat="1"/>
    <row r="285" s="58" customFormat="1"/>
    <row r="286" s="58" customFormat="1"/>
    <row r="287" s="58" customFormat="1"/>
    <row r="288" s="58" customFormat="1"/>
    <row r="289" s="58" customFormat="1"/>
    <row r="290" s="58" customFormat="1"/>
    <row r="291" s="58" customFormat="1"/>
    <row r="292" s="58" customFormat="1"/>
    <row r="293" s="58" customFormat="1"/>
    <row r="294" s="58" customFormat="1"/>
    <row r="295" s="58" customFormat="1"/>
    <row r="296" s="58" customFormat="1"/>
    <row r="297" s="58" customFormat="1"/>
    <row r="298" s="58" customFormat="1"/>
    <row r="299" s="58" customFormat="1"/>
    <row r="300" s="58" customFormat="1"/>
    <row r="301" s="58" customFormat="1"/>
    <row r="302" s="58" customFormat="1"/>
    <row r="303" s="58" customFormat="1"/>
    <row r="304" s="58" customFormat="1"/>
    <row r="305" s="58" customFormat="1"/>
    <row r="306" s="58" customFormat="1"/>
    <row r="307" s="58" customFormat="1"/>
    <row r="308" s="58" customFormat="1"/>
    <row r="309" s="58" customFormat="1"/>
    <row r="310" s="58" customFormat="1"/>
    <row r="311" s="58" customFormat="1"/>
    <row r="312" s="58" customFormat="1"/>
    <row r="313" s="58" customFormat="1"/>
    <row r="314" s="58" customFormat="1"/>
    <row r="315" s="58" customFormat="1"/>
    <row r="316" s="58" customFormat="1"/>
    <row r="317" s="58" customFormat="1"/>
    <row r="318" s="58" customFormat="1"/>
    <row r="319" s="58" customFormat="1"/>
    <row r="320" s="58" customFormat="1"/>
    <row r="321" s="58" customFormat="1"/>
    <row r="322" s="58" customFormat="1"/>
    <row r="323" s="58" customFormat="1"/>
    <row r="324" s="58" customFormat="1"/>
    <row r="325" s="58" customFormat="1"/>
    <row r="326" s="58" customFormat="1"/>
    <row r="327" s="58" customFormat="1"/>
    <row r="328" s="58" customFormat="1"/>
    <row r="329" s="58" customFormat="1"/>
    <row r="330" s="58" customFormat="1"/>
    <row r="331" s="58" customFormat="1"/>
    <row r="332" s="58" customFormat="1"/>
    <row r="333" s="58" customFormat="1"/>
    <row r="334" s="58" customFormat="1"/>
    <row r="335" s="58" customFormat="1"/>
    <row r="336" s="58" customFormat="1"/>
    <row r="337" s="58" customFormat="1"/>
    <row r="338" s="58" customFormat="1"/>
    <row r="339" s="58" customFormat="1"/>
    <row r="340" s="58" customFormat="1"/>
    <row r="341" s="58" customFormat="1"/>
    <row r="342" s="58" customFormat="1"/>
    <row r="343" s="58" customFormat="1"/>
    <row r="344" s="58" customFormat="1"/>
    <row r="345" s="58" customFormat="1"/>
    <row r="346" s="58" customFormat="1"/>
    <row r="347" s="58" customFormat="1"/>
    <row r="348" s="58" customFormat="1"/>
    <row r="349" s="58" customFormat="1"/>
    <row r="350" s="58" customFormat="1"/>
    <row r="351" s="58" customFormat="1"/>
    <row r="352" s="58" customFormat="1"/>
    <row r="353" s="58" customFormat="1"/>
    <row r="354" s="58" customFormat="1"/>
    <row r="355" s="58" customFormat="1"/>
    <row r="356" s="58" customFormat="1"/>
    <row r="357" s="58" customFormat="1"/>
    <row r="358" s="58" customFormat="1"/>
    <row r="359" s="58" customFormat="1"/>
    <row r="360" s="58" customFormat="1"/>
    <row r="361" s="58" customFormat="1"/>
    <row r="362" s="58" customFormat="1"/>
    <row r="363" s="58" customFormat="1"/>
    <row r="364" s="58" customFormat="1"/>
    <row r="365" s="58" customFormat="1"/>
    <row r="366" s="58" customFormat="1"/>
    <row r="367" s="58" customFormat="1"/>
    <row r="368" s="58" customFormat="1"/>
    <row r="369" s="58" customFormat="1"/>
    <row r="370" s="58" customFormat="1"/>
    <row r="371" s="58" customFormat="1"/>
    <row r="372" s="58" customFormat="1"/>
    <row r="373" s="58" customFormat="1"/>
    <row r="374" s="58" customFormat="1"/>
    <row r="375" s="58" customFormat="1"/>
    <row r="376" s="58" customFormat="1"/>
    <row r="377" s="58" customFormat="1"/>
    <row r="378" s="58" customFormat="1"/>
    <row r="379" s="58" customFormat="1"/>
    <row r="380" s="58" customFormat="1"/>
    <row r="381" s="58" customFormat="1"/>
    <row r="382" s="58" customFormat="1"/>
    <row r="383" s="58" customFormat="1"/>
    <row r="384" s="58" customFormat="1"/>
    <row r="385" s="58" customFormat="1"/>
    <row r="386" s="58" customFormat="1"/>
    <row r="387" s="58" customFormat="1"/>
    <row r="388" s="58" customFormat="1"/>
    <row r="389" s="58" customFormat="1"/>
    <row r="390" s="58" customFormat="1"/>
    <row r="391" s="58" customFormat="1"/>
    <row r="392" s="58" customFormat="1"/>
    <row r="393" s="58" customFormat="1"/>
    <row r="394" s="58" customFormat="1"/>
    <row r="395" s="58" customFormat="1"/>
    <row r="396" s="58" customFormat="1"/>
    <row r="397" s="58" customFormat="1"/>
    <row r="398" s="58" customFormat="1"/>
    <row r="399" s="58" customFormat="1"/>
    <row r="400" s="58" customFormat="1"/>
    <row r="401" s="58" customFormat="1"/>
    <row r="402" s="58" customFormat="1"/>
    <row r="403" s="58" customFormat="1"/>
    <row r="404" s="58" customFormat="1"/>
    <row r="405" s="58" customFormat="1"/>
    <row r="406" s="58" customFormat="1"/>
    <row r="407" s="58" customFormat="1"/>
    <row r="408" s="58" customFormat="1"/>
    <row r="409" s="58" customFormat="1"/>
    <row r="410" s="58" customFormat="1"/>
    <row r="411" s="58" customFormat="1"/>
    <row r="412" s="58" customFormat="1"/>
    <row r="413" s="58" customFormat="1"/>
    <row r="414" s="58" customFormat="1"/>
    <row r="415" s="58" customFormat="1"/>
    <row r="416" s="58" customFormat="1"/>
    <row r="417" s="58" customFormat="1"/>
    <row r="418" s="58" customFormat="1"/>
    <row r="419" s="58" customFormat="1"/>
    <row r="420" s="58" customFormat="1"/>
    <row r="421" s="58" customFormat="1"/>
    <row r="422" s="58" customFormat="1"/>
    <row r="423" s="58" customFormat="1"/>
    <row r="424" s="58" customFormat="1"/>
    <row r="425" s="58" customFormat="1"/>
    <row r="426" s="58" customFormat="1"/>
    <row r="427" s="58" customFormat="1"/>
    <row r="428" s="58" customFormat="1"/>
    <row r="429" s="58" customFormat="1"/>
    <row r="430" s="58" customFormat="1"/>
    <row r="431" s="58" customFormat="1"/>
    <row r="432" s="58" customFormat="1"/>
    <row r="433" s="58" customFormat="1"/>
    <row r="434" s="58" customFormat="1"/>
    <row r="435" s="58" customFormat="1"/>
    <row r="436" s="58" customFormat="1"/>
    <row r="437" s="58" customFormat="1"/>
    <row r="438" s="58" customFormat="1"/>
    <row r="439" s="58" customFormat="1"/>
    <row r="440" s="58" customFormat="1"/>
    <row r="441" s="58" customFormat="1"/>
    <row r="442" s="58" customFormat="1"/>
    <row r="443" s="58" customFormat="1"/>
    <row r="444" s="58" customFormat="1"/>
    <row r="445" s="58" customFormat="1"/>
    <row r="446" s="58" customFormat="1"/>
    <row r="447" s="58" customFormat="1"/>
    <row r="448" s="58" customFormat="1"/>
    <row r="449" s="58" customFormat="1"/>
    <row r="450" s="58" customFormat="1"/>
    <row r="451" s="58" customFormat="1"/>
    <row r="452" s="58" customFormat="1"/>
    <row r="453" s="58" customFormat="1"/>
    <row r="454" s="58" customFormat="1"/>
    <row r="455" s="58" customFormat="1"/>
    <row r="456" s="58" customFormat="1"/>
    <row r="457" s="58" customFormat="1"/>
    <row r="458" s="58" customFormat="1"/>
    <row r="459" s="58" customFormat="1"/>
    <row r="460" s="58" customFormat="1"/>
    <row r="461" s="58" customFormat="1"/>
    <row r="462" s="58" customFormat="1"/>
    <row r="463" s="58" customFormat="1"/>
    <row r="464" s="58" customFormat="1"/>
    <row r="465" s="58" customFormat="1"/>
    <row r="466" s="58" customFormat="1"/>
    <row r="467" s="58" customFormat="1"/>
    <row r="468" s="58" customFormat="1"/>
    <row r="469" s="58" customFormat="1"/>
    <row r="470" s="58" customFormat="1"/>
    <row r="471" s="58" customFormat="1"/>
    <row r="472" s="58" customFormat="1"/>
    <row r="473" s="58" customFormat="1"/>
    <row r="474" s="58" customFormat="1"/>
    <row r="475" s="58" customFormat="1"/>
    <row r="476" s="58" customFormat="1"/>
    <row r="477" s="58" customFormat="1"/>
    <row r="478" s="58" customFormat="1"/>
    <row r="479" s="58" customFormat="1"/>
    <row r="480" s="58" customFormat="1"/>
    <row r="481" s="58" customFormat="1"/>
    <row r="482" s="58" customFormat="1"/>
    <row r="483" s="58" customFormat="1"/>
    <row r="484" s="58" customFormat="1"/>
    <row r="485" s="58" customFormat="1"/>
    <row r="486" s="58" customFormat="1"/>
    <row r="487" s="58" customFormat="1"/>
    <row r="488" s="58" customFormat="1"/>
    <row r="489" s="58" customFormat="1"/>
    <row r="490" s="58" customFormat="1"/>
    <row r="491" s="58" customFormat="1"/>
    <row r="492" s="58" customFormat="1"/>
    <row r="493" s="58" customFormat="1"/>
    <row r="494" s="58" customFormat="1"/>
    <row r="495" s="58" customFormat="1"/>
    <row r="496" s="58" customFormat="1"/>
    <row r="497" s="58" customFormat="1"/>
    <row r="498" s="58" customFormat="1"/>
    <row r="499" s="58" customFormat="1"/>
    <row r="500" s="58" customFormat="1"/>
    <row r="501" s="58" customFormat="1"/>
    <row r="502" s="58" customFormat="1"/>
    <row r="503" s="58" customFormat="1"/>
    <row r="504" s="58" customFormat="1"/>
    <row r="505" s="58" customFormat="1"/>
    <row r="506" s="58" customFormat="1"/>
    <row r="507" s="58" customFormat="1"/>
    <row r="508" s="58" customFormat="1"/>
    <row r="509" s="58" customFormat="1"/>
    <row r="510" s="58" customFormat="1"/>
    <row r="511" s="58" customFormat="1"/>
    <row r="512" s="58" customFormat="1"/>
    <row r="513" s="58" customFormat="1"/>
    <row r="514" s="58" customFormat="1"/>
    <row r="515" s="58" customFormat="1"/>
    <row r="516" s="58" customFormat="1"/>
    <row r="517" s="58" customFormat="1"/>
    <row r="518" s="58" customFormat="1"/>
    <row r="519" s="58" customFormat="1"/>
    <row r="520" s="58" customFormat="1"/>
    <row r="521" s="58" customFormat="1"/>
    <row r="522" s="58" customFormat="1"/>
    <row r="523" s="58" customFormat="1"/>
    <row r="524" s="58" customFormat="1"/>
    <row r="525" s="58" customFormat="1"/>
    <row r="526" s="58" customFormat="1"/>
    <row r="527" s="58" customFormat="1"/>
    <row r="528" s="58" customFormat="1"/>
    <row r="529" s="58" customFormat="1"/>
    <row r="530" s="58" customFormat="1"/>
    <row r="531" s="58" customFormat="1"/>
    <row r="532" s="58" customFormat="1"/>
    <row r="533" s="58" customFormat="1"/>
    <row r="534" s="58" customFormat="1"/>
    <row r="535" s="58" customFormat="1"/>
    <row r="536" s="58" customFormat="1"/>
    <row r="537" s="58" customFormat="1"/>
    <row r="538" s="58" customFormat="1"/>
    <row r="539" s="58" customFormat="1"/>
    <row r="540" s="58" customFormat="1"/>
    <row r="541" s="58" customFormat="1"/>
    <row r="542" s="58" customFormat="1"/>
    <row r="543" s="58" customFormat="1"/>
    <row r="544" s="58" customFormat="1"/>
    <row r="545" s="58" customFormat="1"/>
    <row r="546" s="58" customFormat="1"/>
    <row r="547" s="58" customFormat="1"/>
    <row r="548" s="58" customFormat="1"/>
    <row r="549" s="58" customFormat="1"/>
    <row r="550" s="58" customFormat="1"/>
    <row r="551" s="58" customFormat="1"/>
    <row r="552" s="58" customFormat="1"/>
    <row r="553" s="58" customFormat="1"/>
    <row r="554" s="58" customFormat="1"/>
    <row r="555" s="58" customFormat="1"/>
    <row r="556" s="58" customFormat="1"/>
    <row r="557" s="58" customFormat="1"/>
    <row r="558" s="58" customFormat="1"/>
    <row r="559" s="58" customFormat="1"/>
    <row r="560" s="58" customFormat="1"/>
    <row r="561" s="58" customFormat="1"/>
    <row r="562" s="58" customFormat="1"/>
    <row r="563" s="58" customFormat="1"/>
    <row r="564" s="58" customFormat="1"/>
    <row r="565" s="58" customFormat="1"/>
    <row r="566" s="58" customFormat="1"/>
    <row r="567" s="58" customFormat="1"/>
    <row r="568" s="58" customFormat="1"/>
    <row r="569" s="58" customFormat="1"/>
    <row r="570" s="58" customFormat="1"/>
    <row r="571" s="58" customFormat="1"/>
    <row r="572" s="58" customFormat="1"/>
    <row r="573" s="58" customFormat="1"/>
    <row r="574" s="58" customFormat="1"/>
    <row r="575" s="58" customFormat="1"/>
    <row r="576" s="58" customFormat="1"/>
    <row r="577" s="58" customFormat="1"/>
    <row r="578" s="58" customFormat="1"/>
    <row r="579" s="58" customFormat="1"/>
    <row r="580" s="58" customFormat="1"/>
    <row r="581" s="58" customFormat="1"/>
    <row r="582" s="58" customFormat="1"/>
    <row r="583" s="58" customFormat="1"/>
    <row r="584" s="58" customFormat="1"/>
    <row r="585" s="58" customFormat="1"/>
    <row r="586" s="58" customFormat="1"/>
    <row r="587" s="58" customFormat="1"/>
    <row r="588" s="58" customFormat="1"/>
    <row r="589" s="58" customFormat="1"/>
    <row r="590" s="58" customFormat="1"/>
    <row r="591" s="58" customFormat="1"/>
    <row r="592" s="58" customFormat="1"/>
    <row r="593" s="58" customFormat="1"/>
    <row r="594" s="58" customFormat="1"/>
    <row r="595" s="58" customFormat="1"/>
    <row r="596" s="58" customFormat="1"/>
    <row r="597" s="58" customFormat="1"/>
    <row r="598" s="58" customFormat="1"/>
    <row r="599" s="58" customFormat="1"/>
    <row r="600" s="58" customFormat="1"/>
    <row r="601" s="58" customFormat="1"/>
    <row r="602" s="58" customFormat="1"/>
    <row r="603" s="58" customFormat="1"/>
    <row r="604" s="58" customFormat="1"/>
    <row r="605" s="58" customFormat="1"/>
    <row r="606" s="58" customFormat="1"/>
    <row r="607" s="58" customFormat="1"/>
    <row r="608" s="58" customFormat="1"/>
    <row r="609" s="58" customFormat="1"/>
    <row r="610" s="58" customFormat="1"/>
    <row r="611" s="58" customFormat="1"/>
    <row r="612" s="58" customFormat="1"/>
    <row r="613" s="58" customFormat="1"/>
    <row r="614" s="58" customFormat="1"/>
    <row r="615" s="58" customFormat="1"/>
    <row r="616" s="58" customFormat="1"/>
    <row r="617" s="58" customFormat="1"/>
  </sheetData>
  <mergeCells count="22">
    <mergeCell ref="O5:O7"/>
    <mergeCell ref="O60:O61"/>
    <mergeCell ref="O67:O68"/>
    <mergeCell ref="O74:O75"/>
    <mergeCell ref="M82:N82"/>
    <mergeCell ref="I60:N60"/>
    <mergeCell ref="M84:N84"/>
    <mergeCell ref="M86:N86"/>
    <mergeCell ref="B5:B7"/>
    <mergeCell ref="H6:H7"/>
    <mergeCell ref="N6:N7"/>
    <mergeCell ref="C67:H67"/>
    <mergeCell ref="I67:N67"/>
    <mergeCell ref="C74:H74"/>
    <mergeCell ref="I74:N74"/>
    <mergeCell ref="C80:G80"/>
    <mergeCell ref="M80:N80"/>
    <mergeCell ref="C5:H5"/>
    <mergeCell ref="I5:N5"/>
    <mergeCell ref="C6:G6"/>
    <mergeCell ref="I6:M6"/>
    <mergeCell ref="C60:H60"/>
  </mergeCells>
  <pageMargins left="0.7" right="0.7" top="0.75" bottom="0.75" header="0.3" footer="0.3"/>
  <pageSetup paperSize="9" scale="31" orientation="portrait" r:id="rId1"/>
  <rowBreaks count="1" manualBreakCount="1">
    <brk id="59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R93"/>
  <sheetViews>
    <sheetView showGridLines="0" topLeftCell="A40" zoomScale="69" zoomScaleNormal="69" zoomScaleSheetLayoutView="77" zoomScalePageLayoutView="80" workbookViewId="0">
      <selection activeCell="E59" sqref="E59"/>
    </sheetView>
  </sheetViews>
  <sheetFormatPr defaultColWidth="8.85546875" defaultRowHeight="12.75"/>
  <cols>
    <col min="1" max="1" width="4.42578125" style="1182" customWidth="1"/>
    <col min="2" max="2" width="3.42578125" style="1182" customWidth="1"/>
    <col min="3" max="3" width="2.42578125" style="1182" customWidth="1"/>
    <col min="4" max="4" width="42.42578125" style="1183" customWidth="1"/>
    <col min="5" max="5" width="30.42578125" style="1182" customWidth="1"/>
    <col min="6" max="6" width="24.85546875" style="1182" customWidth="1"/>
    <col min="7" max="7" width="26" style="1182" customWidth="1"/>
    <col min="8" max="8" width="19.28515625" style="1182" customWidth="1"/>
    <col min="9" max="9" width="17.28515625" style="1182" customWidth="1"/>
    <col min="10" max="10" width="5.7109375" style="1182" customWidth="1"/>
    <col min="11" max="11" width="38.42578125" style="1182" customWidth="1"/>
    <col min="12" max="12" width="33.85546875" style="1182" customWidth="1"/>
    <col min="13" max="13" width="23.7109375" style="1182" customWidth="1"/>
    <col min="14" max="14" width="18.140625" style="1182" customWidth="1"/>
    <col min="15" max="15" width="16.28515625" style="1182" customWidth="1"/>
    <col min="16" max="16" width="17.28515625" style="1182" customWidth="1"/>
    <col min="17" max="17" width="4.42578125" style="1182" customWidth="1"/>
    <col min="18" max="18" width="3.42578125" style="1182" customWidth="1"/>
    <col min="19" max="16384" width="8.85546875" style="1182"/>
  </cols>
  <sheetData>
    <row r="1" spans="2:18">
      <c r="D1" s="1184"/>
      <c r="E1" s="172"/>
      <c r="F1" s="215"/>
      <c r="G1" s="215"/>
      <c r="H1" s="215"/>
      <c r="I1" s="215"/>
      <c r="J1" s="215"/>
      <c r="K1" s="215"/>
      <c r="L1" s="215"/>
      <c r="M1" s="215"/>
      <c r="N1" s="215"/>
      <c r="O1" s="172"/>
      <c r="P1" s="172"/>
      <c r="Q1" s="172"/>
      <c r="R1" s="172"/>
    </row>
    <row r="2" spans="2:18">
      <c r="D2" s="1185" t="s">
        <v>9</v>
      </c>
      <c r="E2" s="172"/>
      <c r="F2" s="215"/>
      <c r="G2" s="215"/>
      <c r="H2" s="215"/>
      <c r="I2" s="215"/>
      <c r="J2" s="215"/>
      <c r="K2" s="215"/>
      <c r="L2" s="215"/>
      <c r="M2" s="215"/>
      <c r="N2" s="215"/>
    </row>
    <row r="3" spans="2:18">
      <c r="B3" s="1186"/>
      <c r="C3" s="1186"/>
      <c r="D3" s="1187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</row>
    <row r="4" spans="2:18" s="1179" customFormat="1">
      <c r="B4" s="1186"/>
      <c r="C4" s="1188"/>
      <c r="D4" s="1844" t="str">
        <f>'[3]4.Incremental'!C5</f>
        <v>SMID Dambovita -  Project</v>
      </c>
      <c r="E4" s="1845"/>
      <c r="F4" s="1188"/>
      <c r="G4" s="1188"/>
      <c r="H4" s="1188"/>
      <c r="I4" s="1188"/>
      <c r="J4" s="1188"/>
      <c r="K4" s="1188"/>
      <c r="L4" s="1188"/>
      <c r="M4" s="1188"/>
      <c r="N4" s="1188"/>
      <c r="O4" s="1188"/>
      <c r="P4" s="1188"/>
      <c r="Q4" s="1188"/>
      <c r="R4" s="1186"/>
    </row>
    <row r="5" spans="2:18" s="1179" customFormat="1">
      <c r="B5" s="1186"/>
      <c r="C5" s="1188"/>
      <c r="D5" s="1846"/>
      <c r="E5" s="1847"/>
      <c r="F5" s="1188"/>
      <c r="G5" s="1188"/>
      <c r="H5" s="1188"/>
      <c r="I5" s="1188"/>
      <c r="J5" s="1188"/>
      <c r="K5" s="1188"/>
      <c r="L5" s="1188"/>
      <c r="M5" s="1188"/>
      <c r="N5" s="1188"/>
      <c r="O5" s="1188"/>
      <c r="P5" s="1188"/>
      <c r="Q5" s="1188"/>
      <c r="R5" s="1186"/>
    </row>
    <row r="6" spans="2:18" s="1179" customFormat="1">
      <c r="B6" s="1186"/>
      <c r="C6" s="1188"/>
      <c r="D6" s="1848"/>
      <c r="E6" s="184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6"/>
    </row>
    <row r="7" spans="2:18" s="1179" customFormat="1">
      <c r="B7" s="1186"/>
      <c r="C7" s="1188"/>
      <c r="D7" s="1188"/>
      <c r="E7" s="1188"/>
      <c r="F7" s="1188"/>
      <c r="G7" s="1188"/>
      <c r="H7" s="1188"/>
      <c r="I7" s="1188"/>
      <c r="J7" s="1188"/>
      <c r="K7" s="1188"/>
      <c r="L7" s="1188"/>
      <c r="M7" s="1188"/>
      <c r="N7" s="1188"/>
      <c r="O7" s="1188"/>
      <c r="P7" s="1188"/>
      <c r="Q7" s="1188"/>
      <c r="R7" s="1186"/>
    </row>
    <row r="8" spans="2:18" s="1179" customFormat="1" ht="30" customHeight="1">
      <c r="B8" s="1186"/>
      <c r="C8" s="1186"/>
      <c r="D8" s="1841" t="s">
        <v>337</v>
      </c>
      <c r="E8" s="1841"/>
      <c r="F8" s="1186"/>
      <c r="G8" s="1186"/>
      <c r="H8" s="1186"/>
      <c r="I8" s="1186"/>
      <c r="J8" s="1186"/>
      <c r="K8" s="1186"/>
      <c r="L8" s="1186"/>
      <c r="M8" s="1186"/>
      <c r="N8" s="1186"/>
      <c r="O8" s="1186"/>
      <c r="P8" s="1186"/>
      <c r="Q8" s="1186"/>
      <c r="R8" s="1186"/>
    </row>
    <row r="9" spans="2:18" s="1179" customFormat="1">
      <c r="B9" s="1186"/>
      <c r="C9" s="1189"/>
      <c r="D9" s="1190"/>
      <c r="E9" s="1191"/>
      <c r="F9" s="1191"/>
      <c r="G9" s="1191"/>
      <c r="H9" s="1191"/>
      <c r="I9" s="1191"/>
      <c r="J9" s="1191"/>
      <c r="K9" s="1191"/>
      <c r="L9" s="1191"/>
      <c r="M9" s="1191"/>
      <c r="N9" s="1191"/>
      <c r="O9" s="1191"/>
      <c r="P9" s="1191"/>
      <c r="Q9" s="1304"/>
      <c r="R9" s="1186"/>
    </row>
    <row r="10" spans="2:18" s="1180" customFormat="1" ht="27.75" customHeight="1">
      <c r="B10" s="1186"/>
      <c r="C10" s="1192"/>
      <c r="D10" s="1193" t="s">
        <v>338</v>
      </c>
      <c r="E10" s="1194" t="s">
        <v>339</v>
      </c>
      <c r="F10" s="1195"/>
      <c r="G10" s="1195"/>
      <c r="H10" s="1195"/>
      <c r="I10" s="1195"/>
      <c r="J10" s="1195"/>
      <c r="K10" s="1195"/>
      <c r="L10" s="1195"/>
      <c r="M10" s="1195"/>
      <c r="N10" s="1195"/>
      <c r="O10" s="1195"/>
      <c r="P10" s="1195"/>
      <c r="Q10" s="1305"/>
      <c r="R10" s="1186"/>
    </row>
    <row r="11" spans="2:18" s="1180" customFormat="1" ht="27" customHeight="1">
      <c r="B11" s="1186"/>
      <c r="C11" s="1192"/>
      <c r="D11" s="1196" t="s">
        <v>340</v>
      </c>
      <c r="E11" s="1197">
        <f>'esalonare investitie'!H62</f>
        <v>99373528.829999998</v>
      </c>
      <c r="F11" s="1195"/>
      <c r="G11" s="1195"/>
      <c r="H11" s="1195"/>
      <c r="I11" s="1195"/>
      <c r="J11" s="1195"/>
      <c r="K11" s="1195"/>
      <c r="L11" s="1195"/>
      <c r="M11" s="1195"/>
      <c r="N11" s="1195"/>
      <c r="O11" s="1195"/>
      <c r="P11" s="1195"/>
      <c r="Q11" s="1305"/>
      <c r="R11" s="1186"/>
    </row>
    <row r="12" spans="2:18" s="1180" customFormat="1" ht="23.25" customHeight="1">
      <c r="B12" s="1186"/>
      <c r="C12" s="1192"/>
      <c r="D12" s="1196" t="s">
        <v>341</v>
      </c>
      <c r="E12" s="1197" t="e">
        <f>'esalonare investitie'!#REF!</f>
        <v>#REF!</v>
      </c>
      <c r="F12" s="1195"/>
      <c r="G12" s="1195"/>
      <c r="H12" s="1195"/>
      <c r="I12" s="1195"/>
      <c r="J12" s="1195"/>
      <c r="K12" s="1195"/>
      <c r="L12" s="1195"/>
      <c r="M12" s="1195"/>
      <c r="N12" s="1195"/>
      <c r="O12" s="1195"/>
      <c r="P12" s="1195"/>
      <c r="Q12" s="1305"/>
      <c r="R12" s="1186"/>
    </row>
    <row r="13" spans="2:18" s="1180" customFormat="1" ht="18">
      <c r="B13" s="1186"/>
      <c r="C13" s="1192"/>
      <c r="D13" s="1198" t="s">
        <v>342</v>
      </c>
      <c r="E13" s="1199" t="e">
        <f>SUM(E11:E12)</f>
        <v>#REF!</v>
      </c>
      <c r="F13" s="1195"/>
      <c r="G13" s="1195"/>
      <c r="H13" s="1195"/>
      <c r="I13" s="1195"/>
      <c r="J13" s="1195"/>
      <c r="K13" s="1195"/>
      <c r="L13" s="1195"/>
      <c r="M13" s="1195"/>
      <c r="N13" s="1195"/>
      <c r="O13" s="1195"/>
      <c r="P13" s="1195"/>
      <c r="Q13" s="1305"/>
      <c r="R13" s="1186"/>
    </row>
    <row r="14" spans="2:18" s="1180" customFormat="1" ht="24.75" customHeight="1">
      <c r="B14" s="1186"/>
      <c r="C14" s="1192"/>
      <c r="D14" s="1200" t="s">
        <v>343</v>
      </c>
      <c r="E14" s="1201" t="s">
        <v>339</v>
      </c>
      <c r="F14" s="1195"/>
      <c r="G14" s="1195"/>
      <c r="H14" s="1195"/>
      <c r="I14" s="1195"/>
      <c r="J14" s="1195"/>
      <c r="K14" s="1195"/>
      <c r="L14" s="1195"/>
      <c r="M14" s="1195"/>
      <c r="N14" s="1195"/>
      <c r="O14" s="1195"/>
      <c r="P14" s="1195"/>
      <c r="Q14" s="1305"/>
      <c r="R14" s="1186"/>
    </row>
    <row r="15" spans="2:18" s="1180" customFormat="1" ht="30">
      <c r="B15" s="1186"/>
      <c r="C15" s="1192"/>
      <c r="D15" s="1196" t="s">
        <v>344</v>
      </c>
      <c r="E15" s="1197">
        <f>'esalonare investitie'!N62</f>
        <v>3579874.42</v>
      </c>
      <c r="F15" s="1195"/>
      <c r="G15" s="1195"/>
      <c r="H15" s="1195"/>
      <c r="I15" s="1195"/>
      <c r="J15" s="1195"/>
      <c r="K15" s="1195"/>
      <c r="L15" s="1195"/>
      <c r="M15" s="1195"/>
      <c r="N15" s="1195"/>
      <c r="O15" s="1195"/>
      <c r="P15" s="1195"/>
      <c r="Q15" s="1305"/>
      <c r="R15" s="1186"/>
    </row>
    <row r="16" spans="2:18" s="1180" customFormat="1" ht="27" customHeight="1">
      <c r="B16" s="1186"/>
      <c r="C16" s="1192"/>
      <c r="D16" s="1196" t="s">
        <v>341</v>
      </c>
      <c r="E16" s="1197" t="e">
        <f>'esalonare investitie'!N63-'esalonare investitie'!#REF!</f>
        <v>#REF!</v>
      </c>
      <c r="F16" s="1195"/>
      <c r="G16" s="1195"/>
      <c r="H16" s="1195"/>
      <c r="I16" s="1195"/>
      <c r="J16" s="1195"/>
      <c r="K16" s="1195"/>
      <c r="L16" s="1195"/>
      <c r="M16" s="1195"/>
      <c r="N16" s="1195"/>
      <c r="O16" s="1195"/>
      <c r="P16" s="1195"/>
      <c r="Q16" s="1305"/>
      <c r="R16" s="1186"/>
    </row>
    <row r="17" spans="2:18" s="1180" customFormat="1" ht="18">
      <c r="B17" s="1186"/>
      <c r="C17" s="1192"/>
      <c r="D17" s="1198" t="s">
        <v>345</v>
      </c>
      <c r="E17" s="1199" t="e">
        <f>SUM(E15:E16)</f>
        <v>#REF!</v>
      </c>
      <c r="F17" s="1195"/>
      <c r="G17" s="1195"/>
      <c r="H17" s="1195"/>
      <c r="I17" s="1195"/>
      <c r="J17" s="1195"/>
      <c r="K17" s="1195"/>
      <c r="L17" s="1195"/>
      <c r="M17" s="1195"/>
      <c r="N17" s="1195"/>
      <c r="O17" s="1195"/>
      <c r="P17" s="1195"/>
      <c r="Q17" s="1305"/>
      <c r="R17" s="1186"/>
    </row>
    <row r="18" spans="2:18" s="1180" customFormat="1" ht="27" customHeight="1">
      <c r="B18" s="1186"/>
      <c r="C18" s="1192"/>
      <c r="D18" s="1202" t="s">
        <v>346</v>
      </c>
      <c r="E18" s="1203" t="e">
        <f>E13+E17</f>
        <v>#REF!</v>
      </c>
      <c r="F18" s="1195"/>
      <c r="G18" s="1195"/>
      <c r="H18" s="1195"/>
      <c r="I18" s="1195"/>
      <c r="J18" s="1195"/>
      <c r="K18" s="1195"/>
      <c r="L18" s="1195"/>
      <c r="M18" s="1195"/>
      <c r="N18" s="1195"/>
      <c r="O18" s="1195"/>
      <c r="P18" s="1195"/>
      <c r="Q18" s="1305"/>
      <c r="R18" s="1186"/>
    </row>
    <row r="19" spans="2:18" s="1180" customFormat="1" ht="15.75" customHeight="1">
      <c r="B19" s="1186"/>
      <c r="C19" s="1204"/>
      <c r="D19" s="1205"/>
      <c r="E19" s="1206"/>
      <c r="F19" s="1207"/>
      <c r="G19" s="1207"/>
      <c r="H19" s="1207"/>
      <c r="I19" s="1207"/>
      <c r="J19" s="1207"/>
      <c r="K19" s="1207"/>
      <c r="L19" s="1207"/>
      <c r="M19" s="1207"/>
      <c r="N19" s="1207"/>
      <c r="O19" s="1207"/>
      <c r="P19" s="1207"/>
      <c r="Q19" s="1306"/>
      <c r="R19" s="1186"/>
    </row>
    <row r="20" spans="2:18" s="1180" customFormat="1" ht="30" customHeight="1">
      <c r="B20" s="1186"/>
      <c r="C20" s="1186"/>
      <c r="D20" s="1841" t="s">
        <v>347</v>
      </c>
      <c r="E20" s="1841"/>
      <c r="F20" s="1186"/>
      <c r="G20" s="1186"/>
      <c r="H20" s="1186"/>
      <c r="I20" s="1186"/>
      <c r="J20" s="1186"/>
      <c r="K20" s="1186"/>
      <c r="L20" s="1186"/>
      <c r="M20" s="1186"/>
      <c r="N20" s="1186"/>
      <c r="O20" s="1186"/>
      <c r="P20" s="1186"/>
      <c r="Q20" s="1186"/>
      <c r="R20" s="1186"/>
    </row>
    <row r="21" spans="2:18" s="1181" customFormat="1" ht="15">
      <c r="B21" s="1186"/>
      <c r="C21" s="1189"/>
      <c r="D21" s="1190"/>
      <c r="E21" s="1191"/>
      <c r="F21" s="1191"/>
      <c r="G21" s="1191"/>
      <c r="H21" s="1191"/>
      <c r="I21" s="1191"/>
      <c r="J21" s="1191"/>
      <c r="K21" s="1191"/>
      <c r="L21" s="1283"/>
      <c r="M21" s="1283"/>
      <c r="N21" s="1283"/>
      <c r="O21" s="1283"/>
      <c r="P21" s="1283"/>
      <c r="Q21" s="1307"/>
      <c r="R21" s="1186"/>
    </row>
    <row r="22" spans="2:18" ht="27.75" customHeight="1">
      <c r="B22" s="1186"/>
      <c r="C22" s="1192"/>
      <c r="D22" s="1850" t="s">
        <v>348</v>
      </c>
      <c r="E22" s="1851"/>
      <c r="F22" s="1208"/>
      <c r="G22" s="1208"/>
      <c r="H22" s="1208"/>
      <c r="I22" s="1210"/>
      <c r="J22" s="172"/>
      <c r="K22" s="1850" t="s">
        <v>349</v>
      </c>
      <c r="L22" s="1851"/>
      <c r="M22" s="1208"/>
      <c r="N22" s="1208"/>
      <c r="O22" s="1208"/>
      <c r="P22" s="1210"/>
      <c r="Q22" s="1308"/>
      <c r="R22" s="1186"/>
    </row>
    <row r="23" spans="2:18" ht="15">
      <c r="B23" s="1186"/>
      <c r="C23" s="1192"/>
      <c r="D23" s="1209"/>
      <c r="E23" s="1210"/>
      <c r="F23" s="1210"/>
      <c r="G23" s="1210"/>
      <c r="H23" s="1210"/>
      <c r="I23" s="1210"/>
      <c r="J23" s="172"/>
      <c r="K23" s="1209"/>
      <c r="L23" s="1210"/>
      <c r="M23" s="1210"/>
      <c r="N23" s="1210"/>
      <c r="O23" s="1210"/>
      <c r="P23" s="1210"/>
      <c r="Q23" s="1308"/>
      <c r="R23" s="1186"/>
    </row>
    <row r="24" spans="2:18" ht="31.5">
      <c r="B24" s="1186"/>
      <c r="C24" s="1192"/>
      <c r="D24" s="1211" t="s">
        <v>350</v>
      </c>
      <c r="E24" s="1212" t="s">
        <v>351</v>
      </c>
      <c r="F24" s="1213" t="s">
        <v>352</v>
      </c>
      <c r="G24" s="1830" t="s">
        <v>353</v>
      </c>
      <c r="H24" s="1831"/>
      <c r="I24" s="1284"/>
      <c r="J24" s="172"/>
      <c r="K24" s="1211" t="s">
        <v>350</v>
      </c>
      <c r="L24" s="1212" t="s">
        <v>354</v>
      </c>
      <c r="M24" s="1213" t="s">
        <v>352</v>
      </c>
      <c r="N24" s="1830" t="s">
        <v>355</v>
      </c>
      <c r="O24" s="1831"/>
      <c r="P24" s="1832"/>
      <c r="Q24" s="1308"/>
      <c r="R24" s="1186"/>
    </row>
    <row r="25" spans="2:18" ht="15.75">
      <c r="B25" s="1214"/>
      <c r="C25" s="1215"/>
      <c r="D25" s="1216" t="e">
        <f>E25+E40</f>
        <v>#REF!</v>
      </c>
      <c r="E25" s="1217">
        <f>E11</f>
        <v>99373528.829999998</v>
      </c>
      <c r="F25" s="1218">
        <f>E25*F26</f>
        <v>79498823.063999996</v>
      </c>
      <c r="G25" s="1219">
        <f>$F$25*G26</f>
        <v>67573999.604399994</v>
      </c>
      <c r="H25" s="1220"/>
      <c r="I25" s="1285"/>
      <c r="J25" s="172"/>
      <c r="K25" s="1216" t="e">
        <f>L25+L40</f>
        <v>#REF!</v>
      </c>
      <c r="L25" s="1217">
        <f>E15</f>
        <v>3579874.42</v>
      </c>
      <c r="M25" s="1218">
        <f>L25*M26</f>
        <v>3221886.9780000001</v>
      </c>
      <c r="N25" s="1219">
        <f>$M$25*N26</f>
        <v>1933132.1868</v>
      </c>
      <c r="O25" s="1220"/>
      <c r="P25" s="1285"/>
      <c r="Q25" s="1308"/>
      <c r="R25" s="1186"/>
    </row>
    <row r="26" spans="2:18" ht="15.75">
      <c r="B26" s="1214"/>
      <c r="C26" s="1221"/>
      <c r="D26" s="1222">
        <v>1</v>
      </c>
      <c r="E26" s="1223" t="e">
        <f>E25/D25</f>
        <v>#REF!</v>
      </c>
      <c r="F26" s="1224">
        <f>(1-'[3]1.Input'!F23)</f>
        <v>0.8</v>
      </c>
      <c r="G26" s="1225">
        <f>'[3]1.Input'!F24</f>
        <v>0.85</v>
      </c>
      <c r="H26" s="1226"/>
      <c r="I26" s="1286" t="s">
        <v>356</v>
      </c>
      <c r="J26" s="172"/>
      <c r="K26" s="1222">
        <v>1</v>
      </c>
      <c r="L26" s="1223" t="e">
        <f>L25/K25</f>
        <v>#REF!</v>
      </c>
      <c r="M26" s="1224">
        <f>(1-'[3]1.Input'!G23)</f>
        <v>0.9</v>
      </c>
      <c r="N26" s="1225">
        <f>'[3]1.Input'!G24</f>
        <v>0.6</v>
      </c>
      <c r="O26" s="1226"/>
      <c r="P26" s="1286" t="s">
        <v>356</v>
      </c>
      <c r="Q26" s="1308"/>
      <c r="R26" s="1186"/>
    </row>
    <row r="27" spans="2:18" ht="15.75" customHeight="1">
      <c r="B27" s="1214"/>
      <c r="C27" s="1221"/>
      <c r="D27" s="1227"/>
      <c r="E27" s="1228" t="s">
        <v>357</v>
      </c>
      <c r="F27" s="1229" t="s">
        <v>358</v>
      </c>
      <c r="G27" s="1833" t="s">
        <v>359</v>
      </c>
      <c r="H27" s="1834"/>
      <c r="I27" s="1835"/>
      <c r="J27" s="172"/>
      <c r="K27" s="1227"/>
      <c r="L27" s="1228" t="s">
        <v>357</v>
      </c>
      <c r="M27" s="1229" t="s">
        <v>358</v>
      </c>
      <c r="N27" s="1833" t="s">
        <v>360</v>
      </c>
      <c r="O27" s="1834"/>
      <c r="P27" s="1835"/>
      <c r="Q27" s="1308"/>
      <c r="R27" s="1186"/>
    </row>
    <row r="28" spans="2:18" ht="15.75">
      <c r="B28" s="1214"/>
      <c r="C28" s="1221"/>
      <c r="D28" s="1230" t="s">
        <v>361</v>
      </c>
      <c r="E28" s="1231"/>
      <c r="F28" s="1232"/>
      <c r="G28" s="1233">
        <f>$F$25*G29</f>
        <v>10334846.99832</v>
      </c>
      <c r="H28" s="1234"/>
      <c r="I28" s="1287" t="s">
        <v>356</v>
      </c>
      <c r="J28" s="1288"/>
      <c r="K28" s="1230" t="s">
        <v>361</v>
      </c>
      <c r="L28" s="1231"/>
      <c r="M28" s="1232"/>
      <c r="N28" s="1233">
        <f>$M$25*N29</f>
        <v>1224317.05164</v>
      </c>
      <c r="O28" s="1234"/>
      <c r="P28" s="1287" t="s">
        <v>356</v>
      </c>
      <c r="Q28" s="1308"/>
      <c r="R28" s="1186"/>
    </row>
    <row r="29" spans="2:18" ht="15.75">
      <c r="B29" s="1214"/>
      <c r="C29" s="1221"/>
      <c r="D29" s="1235"/>
      <c r="E29" s="1231"/>
      <c r="F29" s="1232"/>
      <c r="G29" s="1236">
        <f>'[3]1.Input'!F25</f>
        <v>0.13</v>
      </c>
      <c r="H29" s="1226"/>
      <c r="I29" s="1286"/>
      <c r="J29" s="1288"/>
      <c r="K29" s="1235"/>
      <c r="L29" s="1231"/>
      <c r="M29" s="1232"/>
      <c r="N29" s="1236">
        <f>'[3]1.Input'!G25</f>
        <v>0.38</v>
      </c>
      <c r="O29" s="1226"/>
      <c r="P29" s="1286"/>
      <c r="Q29" s="1308"/>
      <c r="R29" s="1186"/>
    </row>
    <row r="30" spans="2:18" ht="15.75" customHeight="1">
      <c r="B30" s="1214"/>
      <c r="C30" s="1221"/>
      <c r="D30" s="1227"/>
      <c r="E30" s="1231"/>
      <c r="F30" s="1232"/>
      <c r="G30" s="1836" t="s">
        <v>362</v>
      </c>
      <c r="H30" s="1837"/>
      <c r="I30" s="1838"/>
      <c r="J30" s="172"/>
      <c r="K30" s="1227"/>
      <c r="L30" s="1231"/>
      <c r="M30" s="1232"/>
      <c r="N30" s="1836" t="s">
        <v>362</v>
      </c>
      <c r="O30" s="1837"/>
      <c r="P30" s="1838"/>
      <c r="Q30" s="1308"/>
      <c r="R30" s="1186"/>
    </row>
    <row r="31" spans="2:18" ht="15.75">
      <c r="B31" s="1214"/>
      <c r="C31" s="1221"/>
      <c r="D31" s="1227"/>
      <c r="E31" s="1231"/>
      <c r="F31" s="1237" t="s">
        <v>9</v>
      </c>
      <c r="G31" s="1233">
        <f>$F$25*G32</f>
        <v>1589976.4612799999</v>
      </c>
      <c r="H31" s="1234"/>
      <c r="I31" s="1287" t="s">
        <v>356</v>
      </c>
      <c r="J31" s="172"/>
      <c r="K31" s="1227"/>
      <c r="L31" s="1231"/>
      <c r="M31" s="1237" t="s">
        <v>9</v>
      </c>
      <c r="N31" s="1289">
        <f>$M$25*N32</f>
        <v>64437.739560000002</v>
      </c>
      <c r="O31" s="1234"/>
      <c r="P31" s="1287" t="s">
        <v>356</v>
      </c>
      <c r="Q31" s="1308"/>
      <c r="R31" s="1186"/>
    </row>
    <row r="32" spans="2:18" ht="15.75">
      <c r="B32" s="1214"/>
      <c r="C32" s="1221"/>
      <c r="D32" s="1227"/>
      <c r="E32" s="1231"/>
      <c r="F32" s="1237"/>
      <c r="G32" s="1236">
        <f>1-G26-G29</f>
        <v>0.02</v>
      </c>
      <c r="H32" s="1226"/>
      <c r="I32" s="1286"/>
      <c r="J32" s="172"/>
      <c r="K32" s="1227"/>
      <c r="L32" s="1231"/>
      <c r="M32" s="1237"/>
      <c r="N32" s="1236">
        <f>1-N26-N29</f>
        <v>0.02</v>
      </c>
      <c r="O32" s="1226"/>
      <c r="P32" s="1286"/>
      <c r="Q32" s="1308"/>
      <c r="R32" s="1186"/>
    </row>
    <row r="33" spans="2:18" ht="15.75" customHeight="1">
      <c r="B33" s="1214"/>
      <c r="C33" s="1221"/>
      <c r="D33" s="1227"/>
      <c r="E33" s="1231"/>
      <c r="F33" s="1833" t="s">
        <v>363</v>
      </c>
      <c r="G33" s="1834"/>
      <c r="H33" s="1834"/>
      <c r="I33" s="1835"/>
      <c r="J33" s="172"/>
      <c r="K33" s="1227"/>
      <c r="L33" s="1231"/>
      <c r="M33" s="1833" t="s">
        <v>363</v>
      </c>
      <c r="N33" s="1834"/>
      <c r="O33" s="1834"/>
      <c r="P33" s="1835"/>
      <c r="Q33" s="1308"/>
      <c r="R33" s="1186"/>
    </row>
    <row r="34" spans="2:18" ht="15.75">
      <c r="B34" s="1214"/>
      <c r="C34" s="1221"/>
      <c r="D34" s="1227"/>
      <c r="E34" s="1231"/>
      <c r="F34" s="1238">
        <f>E25-F25</f>
        <v>19874705.766000003</v>
      </c>
      <c r="G34" s="1239"/>
      <c r="H34" s="1220"/>
      <c r="I34" s="1285"/>
      <c r="J34" s="172"/>
      <c r="K34" s="1227"/>
      <c r="L34" s="1231"/>
      <c r="M34" s="1238">
        <f>L25-M25</f>
        <v>357987.44199999981</v>
      </c>
      <c r="N34" s="1239"/>
      <c r="O34" s="1220"/>
      <c r="P34" s="1285"/>
      <c r="Q34" s="1308"/>
      <c r="R34" s="1186"/>
    </row>
    <row r="35" spans="2:18" ht="15.75">
      <c r="B35" s="1214"/>
      <c r="C35" s="1221"/>
      <c r="D35" s="1227"/>
      <c r="E35" s="1240"/>
      <c r="F35" s="1241">
        <f>F34/E25</f>
        <v>0.20000000000000004</v>
      </c>
      <c r="G35" s="1242" t="s">
        <v>358</v>
      </c>
      <c r="H35" s="1243"/>
      <c r="I35" s="1290"/>
      <c r="J35" s="172"/>
      <c r="K35" s="1227"/>
      <c r="L35" s="1240"/>
      <c r="M35" s="1241">
        <f>M34/L25</f>
        <v>9.999999999999995E-2</v>
      </c>
      <c r="N35" s="1242" t="s">
        <v>358</v>
      </c>
      <c r="O35" s="1243"/>
      <c r="P35" s="1290"/>
      <c r="Q35" s="1308"/>
      <c r="R35" s="1186"/>
    </row>
    <row r="36" spans="2:18" ht="34.5" customHeight="1">
      <c r="B36" s="1214"/>
      <c r="C36" s="1221"/>
      <c r="D36" s="1227"/>
      <c r="E36" s="1842" t="s">
        <v>364</v>
      </c>
      <c r="F36" s="1839" t="s">
        <v>365</v>
      </c>
      <c r="G36" s="1839"/>
      <c r="H36" s="1245" t="s">
        <v>332</v>
      </c>
      <c r="I36" s="1291" t="s">
        <v>366</v>
      </c>
      <c r="J36" s="172"/>
      <c r="K36" s="1227"/>
      <c r="L36" s="1842" t="s">
        <v>364</v>
      </c>
      <c r="M36" s="1839" t="s">
        <v>365</v>
      </c>
      <c r="N36" s="1839"/>
      <c r="O36" s="1245" t="s">
        <v>332</v>
      </c>
      <c r="P36" s="1291" t="s">
        <v>366</v>
      </c>
      <c r="Q36" s="1308"/>
      <c r="R36" s="1186"/>
    </row>
    <row r="37" spans="2:18" ht="24.95" customHeight="1">
      <c r="B37" s="1214"/>
      <c r="C37" s="1221"/>
      <c r="D37" s="1227"/>
      <c r="E37" s="1843"/>
      <c r="F37" s="1244"/>
      <c r="G37" s="1244"/>
      <c r="H37" s="1246" t="e">
        <f>I37+I40</f>
        <v>#REF!</v>
      </c>
      <c r="I37" s="1292" t="e">
        <f>E12</f>
        <v>#REF!</v>
      </c>
      <c r="J37" s="172"/>
      <c r="K37" s="1227"/>
      <c r="L37" s="1843"/>
      <c r="M37" s="1244"/>
      <c r="N37" s="1244"/>
      <c r="O37" s="1293" t="e">
        <f>P37+P40</f>
        <v>#REF!</v>
      </c>
      <c r="P37" s="1292" t="e">
        <f>E16</f>
        <v>#REF!</v>
      </c>
      <c r="Q37" s="1308"/>
      <c r="R37" s="1186"/>
    </row>
    <row r="38" spans="2:18" ht="24" customHeight="1">
      <c r="B38" s="1214"/>
      <c r="C38" s="1221"/>
      <c r="D38" s="1227"/>
      <c r="E38" s="1843"/>
      <c r="F38" s="1244"/>
      <c r="G38" s="1244"/>
      <c r="H38" s="1247">
        <f>I38+I41</f>
        <v>0</v>
      </c>
      <c r="I38" s="1294">
        <v>0</v>
      </c>
      <c r="J38" s="172"/>
      <c r="K38" s="1227"/>
      <c r="L38" s="1843"/>
      <c r="M38" s="1244"/>
      <c r="N38" s="1244"/>
      <c r="O38" s="1295">
        <f>P38+P41</f>
        <v>0</v>
      </c>
      <c r="P38" s="1294">
        <v>0</v>
      </c>
      <c r="Q38" s="1308"/>
      <c r="R38" s="1186"/>
    </row>
    <row r="39" spans="2:18" ht="31.5">
      <c r="B39" s="1214"/>
      <c r="C39" s="1221"/>
      <c r="D39" s="1227"/>
      <c r="E39" s="1843"/>
      <c r="F39" s="1248" t="e">
        <f>H37+H43</f>
        <v>#REF!</v>
      </c>
      <c r="G39" s="1239"/>
      <c r="H39" s="1249"/>
      <c r="I39" s="1296" t="s">
        <v>367</v>
      </c>
      <c r="J39" s="172"/>
      <c r="K39" s="1227"/>
      <c r="L39" s="1843"/>
      <c r="M39" s="1248" t="e">
        <f>O37+O43</f>
        <v>#REF!</v>
      </c>
      <c r="N39" s="1239"/>
      <c r="O39" s="1249"/>
      <c r="P39" s="1296" t="s">
        <v>367</v>
      </c>
      <c r="Q39" s="1308"/>
      <c r="R39" s="1186"/>
    </row>
    <row r="40" spans="2:18" ht="15.75">
      <c r="B40" s="1214"/>
      <c r="C40" s="1221"/>
      <c r="D40" s="1227"/>
      <c r="E40" s="1250" t="e">
        <f>F39</f>
        <v>#REF!</v>
      </c>
      <c r="F40" s="1251" t="e">
        <f>F39/E40</f>
        <v>#REF!</v>
      </c>
      <c r="G40" s="1252" t="s">
        <v>368</v>
      </c>
      <c r="H40" s="1249"/>
      <c r="I40" s="1297">
        <v>0</v>
      </c>
      <c r="J40" s="172"/>
      <c r="K40" s="1227"/>
      <c r="L40" s="1250" t="e">
        <f>M39</f>
        <v>#REF!</v>
      </c>
      <c r="M40" s="1251" t="e">
        <f>M39/L40</f>
        <v>#REF!</v>
      </c>
      <c r="N40" s="1252" t="s">
        <v>368</v>
      </c>
      <c r="O40" s="1249"/>
      <c r="P40" s="1297">
        <v>0</v>
      </c>
      <c r="Q40" s="1308"/>
      <c r="R40" s="1186"/>
    </row>
    <row r="41" spans="2:18" ht="15.75">
      <c r="B41" s="1214"/>
      <c r="C41" s="1221"/>
      <c r="D41" s="1227"/>
      <c r="E41" s="1253" t="e">
        <f>E40/D25</f>
        <v>#REF!</v>
      </c>
      <c r="F41" s="1840"/>
      <c r="G41" s="1840"/>
      <c r="H41" s="1254"/>
      <c r="I41" s="1298">
        <v>0</v>
      </c>
      <c r="J41" s="172"/>
      <c r="K41" s="1227"/>
      <c r="L41" s="1253" t="e">
        <f>L40/K25</f>
        <v>#REF!</v>
      </c>
      <c r="M41" s="1840"/>
      <c r="N41" s="1840"/>
      <c r="O41" s="1254"/>
      <c r="P41" s="1298">
        <v>0</v>
      </c>
      <c r="Q41" s="1308"/>
      <c r="R41" s="1186"/>
    </row>
    <row r="42" spans="2:18" ht="15.75">
      <c r="B42" s="1214"/>
      <c r="C42" s="1221"/>
      <c r="D42" s="1227"/>
      <c r="E42" s="1228" t="s">
        <v>357</v>
      </c>
      <c r="F42" s="1220"/>
      <c r="G42" s="1220"/>
      <c r="H42" s="1255" t="s">
        <v>369</v>
      </c>
      <c r="I42" s="1291"/>
      <c r="J42" s="172"/>
      <c r="K42" s="1227"/>
      <c r="L42" s="1228" t="s">
        <v>357</v>
      </c>
      <c r="M42" s="1220"/>
      <c r="N42" s="1220"/>
      <c r="O42" s="1255" t="s">
        <v>369</v>
      </c>
      <c r="P42" s="1291"/>
      <c r="Q42" s="1308"/>
      <c r="R42" s="1186"/>
    </row>
    <row r="43" spans="2:18" ht="15.75">
      <c r="B43" s="1214"/>
      <c r="C43" s="1221"/>
      <c r="D43" s="1227"/>
      <c r="E43" s="1256"/>
      <c r="F43" s="1220"/>
      <c r="G43" s="1220"/>
      <c r="H43" s="1257">
        <v>0</v>
      </c>
      <c r="I43" s="1291"/>
      <c r="J43" s="172"/>
      <c r="K43" s="1227"/>
      <c r="L43" s="1256"/>
      <c r="M43" s="1220"/>
      <c r="N43" s="1220"/>
      <c r="O43" s="1257">
        <v>0</v>
      </c>
      <c r="P43" s="1291"/>
      <c r="Q43" s="1308"/>
      <c r="R43" s="1186"/>
    </row>
    <row r="44" spans="2:18" ht="15.75">
      <c r="B44" s="1214"/>
      <c r="C44" s="1221"/>
      <c r="D44" s="1258"/>
      <c r="E44" s="1259"/>
      <c r="F44" s="1260"/>
      <c r="G44" s="1260"/>
      <c r="H44" s="1261">
        <v>0</v>
      </c>
      <c r="I44" s="1299"/>
      <c r="J44" s="172"/>
      <c r="K44" s="1258"/>
      <c r="L44" s="1259"/>
      <c r="M44" s="1260"/>
      <c r="N44" s="1260"/>
      <c r="O44" s="1261">
        <v>0</v>
      </c>
      <c r="P44" s="1299"/>
      <c r="Q44" s="1308"/>
      <c r="R44" s="1186"/>
    </row>
    <row r="45" spans="2:18" ht="11.25" customHeight="1">
      <c r="B45" s="1214"/>
      <c r="C45" s="1262"/>
      <c r="D45" s="1263"/>
      <c r="E45" s="1264"/>
      <c r="F45" s="1264" t="s">
        <v>9</v>
      </c>
      <c r="G45" s="1264"/>
      <c r="H45" s="1265"/>
      <c r="I45" s="1264"/>
      <c r="J45" s="1300"/>
      <c r="K45" s="1300"/>
      <c r="L45" s="1300"/>
      <c r="M45" s="1300"/>
      <c r="N45" s="1301"/>
      <c r="O45" s="1301"/>
      <c r="P45" s="1301"/>
      <c r="Q45" s="1309"/>
      <c r="R45" s="1186"/>
    </row>
    <row r="46" spans="2:18" ht="33.75" customHeight="1">
      <c r="B46" s="1214"/>
      <c r="C46" s="1214"/>
      <c r="D46" s="1841" t="s">
        <v>370</v>
      </c>
      <c r="E46" s="1841"/>
      <c r="F46" s="1214"/>
      <c r="G46" s="1214"/>
      <c r="H46" s="1214"/>
      <c r="I46" s="1214"/>
      <c r="J46" s="1214"/>
      <c r="K46" s="1214"/>
      <c r="L46" s="1214"/>
      <c r="M46" s="1214"/>
      <c r="N46" s="1214"/>
      <c r="O46" s="1214"/>
      <c r="P46" s="1214"/>
      <c r="Q46" s="1214"/>
      <c r="R46" s="1186"/>
    </row>
    <row r="47" spans="2:18">
      <c r="B47" s="1214"/>
      <c r="C47" s="1266"/>
      <c r="D47" s="1267"/>
      <c r="E47" s="1268"/>
      <c r="F47" s="1268"/>
      <c r="G47" s="1269"/>
      <c r="H47" s="1268"/>
      <c r="I47" s="1268"/>
      <c r="J47" s="1302"/>
      <c r="K47" s="1302"/>
      <c r="L47" s="1302"/>
      <c r="M47" s="1302"/>
      <c r="N47" s="1303"/>
      <c r="O47" s="1303"/>
      <c r="P47" s="1303"/>
      <c r="Q47" s="1310"/>
      <c r="R47" s="1186"/>
    </row>
    <row r="48" spans="2:18" ht="33" customHeight="1">
      <c r="B48" s="1214"/>
      <c r="C48" s="1221"/>
      <c r="D48" s="1193" t="s">
        <v>371</v>
      </c>
      <c r="E48" s="1270" t="s">
        <v>338</v>
      </c>
      <c r="F48" s="1270" t="s">
        <v>343</v>
      </c>
      <c r="G48" s="1271" t="s">
        <v>257</v>
      </c>
      <c r="H48" s="1272"/>
      <c r="I48" s="1272"/>
      <c r="J48" s="172"/>
      <c r="K48" s="172"/>
      <c r="L48" s="172"/>
      <c r="M48" s="172"/>
      <c r="Q48" s="1308"/>
      <c r="R48" s="1186"/>
    </row>
    <row r="49" spans="2:18" ht="24" customHeight="1">
      <c r="B49" s="1214"/>
      <c r="C49" s="1221"/>
      <c r="D49" s="1273" t="s">
        <v>38</v>
      </c>
      <c r="E49" s="1274">
        <f>G25</f>
        <v>67573999.604399994</v>
      </c>
      <c r="F49" s="1274">
        <f>N25</f>
        <v>1933132.1868</v>
      </c>
      <c r="G49" s="1197">
        <f>E49+F49</f>
        <v>69507131.791199997</v>
      </c>
      <c r="H49" s="1272"/>
      <c r="I49" s="1272"/>
      <c r="J49" s="172"/>
      <c r="K49" s="172"/>
      <c r="L49" s="172"/>
      <c r="M49" s="172"/>
      <c r="Q49" s="1308"/>
      <c r="R49" s="1186"/>
    </row>
    <row r="50" spans="2:18" ht="21.75" customHeight="1">
      <c r="B50" s="1214"/>
      <c r="C50" s="1221"/>
      <c r="D50" s="1273" t="s">
        <v>39</v>
      </c>
      <c r="E50" s="1274">
        <f>G28</f>
        <v>10334846.99832</v>
      </c>
      <c r="F50" s="1274">
        <f>N28</f>
        <v>1224317.05164</v>
      </c>
      <c r="G50" s="1197">
        <f t="shared" ref="G50:G52" si="0">E50+F50</f>
        <v>11559164.04996</v>
      </c>
      <c r="H50" s="1272"/>
      <c r="I50" s="1272"/>
      <c r="J50" s="172"/>
      <c r="K50" s="172"/>
      <c r="L50" s="172"/>
      <c r="M50" s="172"/>
      <c r="Q50" s="1308"/>
      <c r="R50" s="1186"/>
    </row>
    <row r="51" spans="2:18" ht="31.5" customHeight="1">
      <c r="B51" s="1214"/>
      <c r="C51" s="1221"/>
      <c r="D51" s="1273" t="s">
        <v>372</v>
      </c>
      <c r="E51" s="1274" t="e">
        <f>G31+F34+E40</f>
        <v>#REF!</v>
      </c>
      <c r="F51" s="1274" t="e">
        <f>N31+M34+L40</f>
        <v>#REF!</v>
      </c>
      <c r="G51" s="1197" t="e">
        <f t="shared" si="0"/>
        <v>#REF!</v>
      </c>
      <c r="H51" s="1272"/>
      <c r="I51" s="1272"/>
      <c r="J51" s="172"/>
      <c r="K51" s="172"/>
      <c r="L51" s="172"/>
      <c r="M51" s="172"/>
      <c r="Q51" s="1308"/>
      <c r="R51" s="1186"/>
    </row>
    <row r="52" spans="2:18" ht="23.25" customHeight="1">
      <c r="B52" s="1214"/>
      <c r="C52" s="1221"/>
      <c r="D52" s="1275" t="s">
        <v>373</v>
      </c>
      <c r="E52" s="1276" t="e">
        <f>I37</f>
        <v>#REF!</v>
      </c>
      <c r="F52" s="1276" t="e">
        <f>P37</f>
        <v>#REF!</v>
      </c>
      <c r="G52" s="1277" t="e">
        <f t="shared" si="0"/>
        <v>#REF!</v>
      </c>
      <c r="H52" s="1272"/>
      <c r="I52" s="1272"/>
      <c r="J52" s="172"/>
      <c r="K52" s="172"/>
      <c r="L52" s="172"/>
      <c r="M52" s="172"/>
      <c r="Q52" s="1308"/>
      <c r="R52" s="1186"/>
    </row>
    <row r="53" spans="2:18" ht="27.75" customHeight="1">
      <c r="B53" s="1214"/>
      <c r="C53" s="1221"/>
      <c r="D53" s="1278" t="s">
        <v>374</v>
      </c>
      <c r="E53" s="1279" t="e">
        <f>E49+E50+E51</f>
        <v>#REF!</v>
      </c>
      <c r="F53" s="1279" t="e">
        <f t="shared" ref="F53:G53" si="1">F49+F50+F51</f>
        <v>#REF!</v>
      </c>
      <c r="G53" s="1279" t="e">
        <f t="shared" si="1"/>
        <v>#REF!</v>
      </c>
      <c r="H53" s="1272"/>
      <c r="I53" s="1272"/>
      <c r="J53" s="172"/>
      <c r="K53" s="172"/>
      <c r="L53" s="172"/>
      <c r="M53" s="172"/>
      <c r="Q53" s="1308"/>
      <c r="R53" s="1186"/>
    </row>
    <row r="54" spans="2:18">
      <c r="B54" s="1214"/>
      <c r="C54" s="1262"/>
      <c r="D54" s="1263"/>
      <c r="E54" s="1264"/>
      <c r="F54" s="1264"/>
      <c r="G54" s="1280"/>
      <c r="H54" s="1264"/>
      <c r="I54" s="1264"/>
      <c r="J54" s="1300"/>
      <c r="K54" s="1300"/>
      <c r="L54" s="1300"/>
      <c r="M54" s="1300"/>
      <c r="N54" s="1301"/>
      <c r="O54" s="1301"/>
      <c r="P54" s="1301"/>
      <c r="Q54" s="1309"/>
      <c r="R54" s="1186"/>
    </row>
    <row r="55" spans="2:18">
      <c r="B55" s="1214"/>
      <c r="C55" s="1214"/>
      <c r="D55" s="1214"/>
      <c r="E55" s="1214"/>
      <c r="F55" s="1214"/>
      <c r="G55" s="1214"/>
      <c r="H55" s="1214"/>
      <c r="I55" s="1214"/>
      <c r="J55" s="1214"/>
      <c r="K55" s="1214"/>
      <c r="L55" s="1214"/>
      <c r="M55" s="1214"/>
      <c r="N55" s="1214"/>
      <c r="O55" s="1214"/>
      <c r="P55" s="1214"/>
      <c r="Q55" s="1214"/>
      <c r="R55" s="1214"/>
    </row>
    <row r="56" spans="2:18">
      <c r="D56" s="1281"/>
      <c r="E56" s="1272"/>
      <c r="F56" s="1272"/>
      <c r="G56" s="1282"/>
      <c r="H56" s="1272"/>
      <c r="I56" s="1272"/>
      <c r="J56" s="172"/>
      <c r="K56" s="172"/>
      <c r="L56" s="172"/>
      <c r="M56" s="172"/>
    </row>
    <row r="57" spans="2:18">
      <c r="D57" s="1281"/>
      <c r="E57" s="1272"/>
      <c r="F57" s="1272"/>
      <c r="G57" s="1282"/>
      <c r="H57" s="1272"/>
      <c r="I57" s="1272"/>
      <c r="J57" s="172"/>
      <c r="K57" s="172"/>
      <c r="L57" s="172"/>
      <c r="M57" s="172"/>
    </row>
    <row r="58" spans="2:18" ht="20.25">
      <c r="B58" s="1214"/>
      <c r="C58" s="1214"/>
      <c r="D58" s="1841" t="s">
        <v>375</v>
      </c>
      <c r="E58" s="1841"/>
      <c r="F58" s="1214"/>
      <c r="G58" s="1214"/>
      <c r="H58" s="1214"/>
      <c r="I58" s="1214"/>
      <c r="J58" s="1214"/>
      <c r="K58" s="1214"/>
      <c r="L58" s="1214"/>
      <c r="M58" s="1214"/>
      <c r="N58" s="1214"/>
      <c r="O58" s="1214"/>
      <c r="P58" s="1214"/>
      <c r="Q58" s="1214"/>
      <c r="R58" s="1186"/>
    </row>
    <row r="59" spans="2:18">
      <c r="B59" s="1214"/>
      <c r="C59" s="1266"/>
      <c r="D59" s="1267"/>
      <c r="E59" s="1268"/>
      <c r="F59" s="1268"/>
      <c r="G59" s="1269"/>
      <c r="H59" s="1268"/>
      <c r="I59" s="1268"/>
      <c r="J59" s="1302"/>
      <c r="K59" s="1302"/>
      <c r="L59" s="1302"/>
      <c r="M59" s="1302"/>
      <c r="N59" s="1303"/>
      <c r="O59" s="1303"/>
      <c r="P59" s="1303"/>
      <c r="Q59" s="1310"/>
      <c r="R59" s="1186"/>
    </row>
    <row r="60" spans="2:18" ht="15.75">
      <c r="B60" s="1214"/>
      <c r="C60" s="1221"/>
      <c r="D60" s="1193" t="s">
        <v>371</v>
      </c>
      <c r="E60" s="1270" t="s">
        <v>338</v>
      </c>
      <c r="F60" s="1270" t="s">
        <v>343</v>
      </c>
      <c r="G60" s="1271" t="s">
        <v>257</v>
      </c>
      <c r="H60" s="1272"/>
      <c r="I60" s="1272"/>
      <c r="J60" s="172"/>
      <c r="K60" s="172"/>
      <c r="L60" s="172"/>
      <c r="M60" s="172"/>
      <c r="Q60" s="1308"/>
      <c r="R60" s="1186"/>
    </row>
    <row r="61" spans="2:18" ht="15.75">
      <c r="B61" s="1214"/>
      <c r="C61" s="1221"/>
      <c r="D61" s="1273" t="s">
        <v>38</v>
      </c>
      <c r="E61" s="1274">
        <f t="shared" ref="E61:F64" si="2">E49*euro</f>
        <v>336234707.23157346</v>
      </c>
      <c r="F61" s="1274">
        <f t="shared" si="2"/>
        <v>9618879.1350794397</v>
      </c>
      <c r="G61" s="1197">
        <f>E61+F61</f>
        <v>345853586.36665291</v>
      </c>
      <c r="H61" s="1282">
        <f>G61+G62</f>
        <v>403369674.84644389</v>
      </c>
      <c r="I61" s="1282">
        <f>E61+E62</f>
        <v>387658838.92581409</v>
      </c>
      <c r="J61" s="172"/>
      <c r="K61" s="265">
        <f>F61+F62</f>
        <v>15710835.920629751</v>
      </c>
      <c r="L61" s="172"/>
      <c r="M61" s="172"/>
      <c r="Q61" s="1308"/>
      <c r="R61" s="1186"/>
    </row>
    <row r="62" spans="2:18" ht="15.75">
      <c r="B62" s="1214"/>
      <c r="C62" s="1221"/>
      <c r="D62" s="1273" t="s">
        <v>39</v>
      </c>
      <c r="E62" s="1274">
        <f t="shared" si="2"/>
        <v>51424131.694240652</v>
      </c>
      <c r="F62" s="1274">
        <f t="shared" si="2"/>
        <v>6091956.7855503112</v>
      </c>
      <c r="G62" s="1197">
        <f t="shared" ref="G62:G64" si="3">E62+F62</f>
        <v>57516088.479790963</v>
      </c>
      <c r="H62" s="1272"/>
      <c r="I62" s="1272"/>
      <c r="J62" s="172"/>
      <c r="K62" s="172"/>
      <c r="L62" s="172"/>
      <c r="M62" s="172"/>
      <c r="Q62" s="1308"/>
      <c r="R62" s="1186"/>
    </row>
    <row r="63" spans="2:18" ht="31.5">
      <c r="B63" s="1214"/>
      <c r="C63" s="1221"/>
      <c r="D63" s="1273" t="s">
        <v>372</v>
      </c>
      <c r="E63" s="1274" t="e">
        <f t="shared" si="2"/>
        <v>#REF!</v>
      </c>
      <c r="F63" s="1274" t="e">
        <f t="shared" si="2"/>
        <v>#REF!</v>
      </c>
      <c r="G63" s="1197" t="e">
        <f t="shared" si="3"/>
        <v>#REF!</v>
      </c>
      <c r="H63" s="1272"/>
      <c r="I63" s="1272"/>
      <c r="J63" s="172"/>
      <c r="K63" s="172"/>
      <c r="L63" s="172"/>
      <c r="M63" s="172"/>
      <c r="Q63" s="1308"/>
      <c r="R63" s="1186"/>
    </row>
    <row r="64" spans="2:18" ht="15">
      <c r="B64" s="1214"/>
      <c r="C64" s="1221"/>
      <c r="D64" s="1275" t="s">
        <v>373</v>
      </c>
      <c r="E64" s="1274" t="e">
        <f t="shared" si="2"/>
        <v>#REF!</v>
      </c>
      <c r="F64" s="1274" t="e">
        <f t="shared" si="2"/>
        <v>#REF!</v>
      </c>
      <c r="G64" s="1277" t="e">
        <f t="shared" si="3"/>
        <v>#REF!</v>
      </c>
      <c r="H64" s="1272"/>
      <c r="I64" s="1272"/>
      <c r="J64" s="172"/>
      <c r="K64" s="172"/>
      <c r="L64" s="172"/>
      <c r="M64" s="172"/>
      <c r="Q64" s="1308"/>
      <c r="R64" s="1186"/>
    </row>
    <row r="65" spans="2:18" ht="18">
      <c r="B65" s="1214"/>
      <c r="C65" s="1221"/>
      <c r="D65" s="1278" t="s">
        <v>374</v>
      </c>
      <c r="E65" s="1279" t="e">
        <f>E61+E62+E63</f>
        <v>#REF!</v>
      </c>
      <c r="F65" s="1279" t="e">
        <f t="shared" ref="F65:G65" si="4">F61+F62+F63</f>
        <v>#REF!</v>
      </c>
      <c r="G65" s="1279" t="e">
        <f t="shared" si="4"/>
        <v>#REF!</v>
      </c>
      <c r="H65" s="1311" t="e">
        <f>G53*euro</f>
        <v>#REF!</v>
      </c>
      <c r="I65" s="1272"/>
      <c r="J65" s="172"/>
      <c r="K65" s="172"/>
      <c r="L65" s="172"/>
      <c r="M65" s="172"/>
      <c r="Q65" s="1308"/>
      <c r="R65" s="1186"/>
    </row>
    <row r="66" spans="2:18">
      <c r="B66" s="1214"/>
      <c r="C66" s="1262"/>
      <c r="D66" s="1263"/>
      <c r="E66" s="1264"/>
      <c r="F66" s="1264"/>
      <c r="G66" s="1280"/>
      <c r="H66" s="1264"/>
      <c r="I66" s="1264"/>
      <c r="J66" s="1300"/>
      <c r="K66" s="1300"/>
      <c r="L66" s="1300"/>
      <c r="M66" s="1300"/>
      <c r="N66" s="1301"/>
      <c r="O66" s="1301"/>
      <c r="P66" s="1301"/>
      <c r="Q66" s="1309"/>
      <c r="R66" s="1186"/>
    </row>
    <row r="67" spans="2:18">
      <c r="B67" s="1214"/>
      <c r="C67" s="1214"/>
      <c r="D67" s="1214"/>
      <c r="E67" s="1214"/>
      <c r="F67" s="1214"/>
      <c r="G67" s="1214"/>
      <c r="H67" s="1214"/>
      <c r="I67" s="1214"/>
      <c r="J67" s="1214"/>
      <c r="K67" s="1214"/>
      <c r="L67" s="1214"/>
      <c r="M67" s="1214"/>
      <c r="N67" s="1214"/>
      <c r="O67" s="1214"/>
      <c r="P67" s="1214"/>
      <c r="Q67" s="1214"/>
      <c r="R67" s="1214"/>
    </row>
    <row r="68" spans="2:18">
      <c r="D68" s="1281"/>
      <c r="E68" s="1272"/>
      <c r="F68" s="1272"/>
      <c r="G68" s="1282"/>
      <c r="H68" s="1272"/>
      <c r="I68" s="1272"/>
      <c r="J68" s="172"/>
      <c r="K68" s="172"/>
      <c r="L68" s="172"/>
      <c r="M68" s="172"/>
    </row>
    <row r="69" spans="2:18">
      <c r="D69" s="1281"/>
      <c r="E69" s="1272"/>
      <c r="F69" s="1272"/>
      <c r="G69" s="1282"/>
      <c r="H69" s="1272"/>
      <c r="I69" s="1272"/>
      <c r="J69" s="172"/>
      <c r="K69" s="172"/>
      <c r="L69" s="172"/>
      <c r="M69" s="172"/>
    </row>
    <row r="70" spans="2:18">
      <c r="D70" s="1281"/>
      <c r="E70" s="1272"/>
      <c r="F70" s="1272"/>
      <c r="G70" s="1282"/>
      <c r="H70" s="1272"/>
      <c r="I70" s="1272"/>
      <c r="J70" s="172"/>
      <c r="K70" s="172"/>
      <c r="L70" s="172"/>
      <c r="M70" s="172"/>
    </row>
    <row r="71" spans="2:18" ht="15">
      <c r="D71" s="1312" t="s">
        <v>376</v>
      </c>
      <c r="E71" s="1272" t="s">
        <v>377</v>
      </c>
      <c r="F71" s="1272"/>
      <c r="G71" s="1282"/>
      <c r="H71" s="1272"/>
      <c r="I71" s="1272"/>
      <c r="J71" s="172"/>
      <c r="K71" s="172"/>
      <c r="L71" s="172"/>
      <c r="M71" s="172"/>
    </row>
    <row r="72" spans="2:18">
      <c r="D72" s="1313"/>
      <c r="E72" s="1314" t="s">
        <v>378</v>
      </c>
      <c r="F72" s="1314" t="s">
        <v>379</v>
      </c>
      <c r="G72" s="1315" t="s">
        <v>380</v>
      </c>
      <c r="H72" s="1272"/>
      <c r="I72" s="1272"/>
      <c r="J72" s="172"/>
      <c r="K72" s="172"/>
      <c r="L72" s="172"/>
      <c r="M72" s="172"/>
    </row>
    <row r="73" spans="2:18" ht="15">
      <c r="D73" s="1316" t="s">
        <v>381</v>
      </c>
      <c r="E73" s="1317" t="e">
        <f>E76+E77</f>
        <v>#REF!</v>
      </c>
      <c r="F73" s="1318" t="e">
        <f>F77+F76</f>
        <v>#REF!</v>
      </c>
      <c r="G73" s="1318" t="e">
        <f>G77+G76</f>
        <v>#REF!</v>
      </c>
      <c r="H73" s="1272"/>
      <c r="I73" s="1272"/>
      <c r="J73" s="172"/>
      <c r="K73" s="172"/>
      <c r="L73" s="172"/>
      <c r="M73" s="172"/>
    </row>
    <row r="74" spans="2:18">
      <c r="D74" s="1313" t="s">
        <v>382</v>
      </c>
      <c r="E74" s="1319">
        <f>G31+N31</f>
        <v>1654414.2008399998</v>
      </c>
      <c r="F74" s="1320">
        <f>G31</f>
        <v>1589976.4612799999</v>
      </c>
      <c r="G74" s="1320">
        <f>N31</f>
        <v>64437.739560000002</v>
      </c>
      <c r="H74" s="1272"/>
      <c r="I74" s="1272"/>
      <c r="J74" s="172"/>
      <c r="K74" s="172"/>
      <c r="L74" s="172"/>
      <c r="M74" s="172"/>
    </row>
    <row r="75" spans="2:18" ht="25.5">
      <c r="D75" s="1313" t="s">
        <v>383</v>
      </c>
      <c r="E75" s="1319">
        <f>F34+M34</f>
        <v>20232693.208000004</v>
      </c>
      <c r="F75" s="1320">
        <f>F34</f>
        <v>19874705.766000003</v>
      </c>
      <c r="G75" s="1320">
        <f>M34</f>
        <v>357987.44199999981</v>
      </c>
      <c r="H75" s="1272"/>
      <c r="I75" s="1272"/>
      <c r="J75" s="172"/>
      <c r="K75" s="172"/>
      <c r="L75" s="172"/>
      <c r="M75" s="172"/>
    </row>
    <row r="76" spans="2:18">
      <c r="D76" s="1321" t="s">
        <v>384</v>
      </c>
      <c r="E76" s="1322">
        <f>E74+E75</f>
        <v>21887107.408840004</v>
      </c>
      <c r="F76" s="1323">
        <f t="shared" ref="F76:G76" si="5">F74+F75</f>
        <v>21464682.227280002</v>
      </c>
      <c r="G76" s="1323">
        <f t="shared" si="5"/>
        <v>422425.18155999982</v>
      </c>
      <c r="H76" s="1272"/>
      <c r="I76" s="1272"/>
      <c r="J76" s="172"/>
      <c r="K76" s="172"/>
      <c r="L76" s="172"/>
      <c r="M76" s="172"/>
    </row>
    <row r="77" spans="2:18">
      <c r="D77" s="1313" t="s">
        <v>385</v>
      </c>
      <c r="E77" s="1324" t="e">
        <f>G52</f>
        <v>#REF!</v>
      </c>
      <c r="F77" s="1325" t="e">
        <f>E52</f>
        <v>#REF!</v>
      </c>
      <c r="G77" s="1325" t="e">
        <f>F52</f>
        <v>#REF!</v>
      </c>
      <c r="H77" s="1272"/>
      <c r="I77" s="1272"/>
      <c r="J77" s="172"/>
      <c r="K77" s="172"/>
      <c r="L77" s="172"/>
      <c r="M77" s="172"/>
    </row>
    <row r="78" spans="2:18">
      <c r="D78" s="1281"/>
      <c r="E78" s="1272"/>
      <c r="F78" s="1272"/>
      <c r="G78" s="1282"/>
      <c r="H78" s="1272"/>
      <c r="I78" s="1272"/>
      <c r="J78" s="172"/>
      <c r="K78" s="172"/>
      <c r="L78" s="172"/>
      <c r="M78" s="172"/>
    </row>
    <row r="79" spans="2:18">
      <c r="D79" s="1281"/>
      <c r="E79" s="1272"/>
      <c r="F79" s="1272"/>
      <c r="G79" s="1282"/>
      <c r="H79" s="1272"/>
      <c r="I79" s="1272"/>
      <c r="J79" s="172"/>
      <c r="K79" s="172"/>
      <c r="L79" s="172"/>
      <c r="M79" s="172"/>
    </row>
    <row r="80" spans="2:18" ht="15">
      <c r="D80" s="1312" t="s">
        <v>376</v>
      </c>
      <c r="E80" s="1272" t="s">
        <v>386</v>
      </c>
      <c r="F80" s="1272"/>
      <c r="G80" s="1282"/>
      <c r="H80" s="1272"/>
      <c r="I80" s="1272"/>
      <c r="J80" s="172"/>
      <c r="K80" s="172"/>
      <c r="L80" s="172"/>
      <c r="M80" s="172"/>
    </row>
    <row r="81" spans="4:13">
      <c r="D81" s="1313"/>
      <c r="E81" s="1314" t="s">
        <v>378</v>
      </c>
      <c r="F81" s="1314" t="s">
        <v>379</v>
      </c>
      <c r="G81" s="1315" t="s">
        <v>380</v>
      </c>
      <c r="H81" s="1272"/>
      <c r="I81" s="1272"/>
      <c r="J81" s="172"/>
      <c r="K81" s="172"/>
      <c r="L81" s="172"/>
      <c r="M81" s="172"/>
    </row>
    <row r="82" spans="4:13" ht="15">
      <c r="D82" s="1316" t="s">
        <v>381</v>
      </c>
      <c r="E82" s="1317" t="e">
        <f t="shared" ref="E82:G86" si="6">E73*euro</f>
        <v>#REF!</v>
      </c>
      <c r="F82" s="1318" t="e">
        <f t="shared" si="6"/>
        <v>#REF!</v>
      </c>
      <c r="G82" s="1318" t="e">
        <f t="shared" si="6"/>
        <v>#REF!</v>
      </c>
      <c r="H82" s="1272"/>
      <c r="I82" s="1272"/>
      <c r="J82" s="172"/>
      <c r="K82" s="172"/>
      <c r="L82" s="172"/>
      <c r="M82" s="172"/>
    </row>
    <row r="83" spans="4:13">
      <c r="D83" s="1313" t="s">
        <v>382</v>
      </c>
      <c r="E83" s="1319">
        <f t="shared" si="6"/>
        <v>8232034.1805396704</v>
      </c>
      <c r="F83" s="1320">
        <f t="shared" si="6"/>
        <v>7911404.876037023</v>
      </c>
      <c r="G83" s="1320">
        <f t="shared" si="6"/>
        <v>320629.30450264795</v>
      </c>
      <c r="H83" s="1272"/>
      <c r="I83" s="1272"/>
      <c r="J83" s="172"/>
      <c r="K83" s="172"/>
      <c r="L83" s="172"/>
      <c r="M83" s="172"/>
    </row>
    <row r="84" spans="4:13" ht="25.5">
      <c r="D84" s="1313" t="s">
        <v>383</v>
      </c>
      <c r="E84" s="1319">
        <f t="shared" si="6"/>
        <v>100673834.86436641</v>
      </c>
      <c r="F84" s="1320">
        <f t="shared" si="6"/>
        <v>98892560.950462803</v>
      </c>
      <c r="G84" s="1320">
        <f t="shared" si="6"/>
        <v>1781273.9139035989</v>
      </c>
      <c r="H84" s="1272"/>
      <c r="I84" s="1272"/>
      <c r="J84" s="172"/>
      <c r="K84" s="172"/>
      <c r="L84" s="172"/>
      <c r="M84" s="172"/>
    </row>
    <row r="85" spans="4:13">
      <c r="D85" s="1321" t="s">
        <v>384</v>
      </c>
      <c r="E85" s="1322">
        <f t="shared" si="6"/>
        <v>108905869.04490608</v>
      </c>
      <c r="F85" s="1323">
        <f t="shared" si="6"/>
        <v>106803965.82649982</v>
      </c>
      <c r="G85" s="1323">
        <f t="shared" si="6"/>
        <v>2101903.218406247</v>
      </c>
      <c r="H85" s="1272"/>
      <c r="I85" s="1272"/>
      <c r="J85" s="172"/>
      <c r="K85" s="172"/>
      <c r="L85" s="172"/>
      <c r="M85" s="172"/>
    </row>
    <row r="86" spans="4:13">
      <c r="D86" s="1313" t="s">
        <v>385</v>
      </c>
      <c r="E86" s="1326" t="e">
        <f t="shared" si="6"/>
        <v>#REF!</v>
      </c>
      <c r="F86" s="1318" t="e">
        <f t="shared" si="6"/>
        <v>#REF!</v>
      </c>
      <c r="G86" s="1318" t="e">
        <f t="shared" si="6"/>
        <v>#REF!</v>
      </c>
      <c r="H86" s="1272"/>
      <c r="I86" s="1272"/>
      <c r="J86" s="172"/>
      <c r="K86" s="172"/>
      <c r="L86" s="172"/>
      <c r="M86" s="172"/>
    </row>
    <row r="87" spans="4:13">
      <c r="D87" s="1281"/>
      <c r="E87" s="1272"/>
      <c r="F87" s="1272"/>
      <c r="G87" s="1282"/>
      <c r="H87" s="1272"/>
      <c r="I87" s="1272"/>
      <c r="J87" s="172"/>
      <c r="K87" s="172"/>
      <c r="L87" s="172"/>
      <c r="M87" s="172"/>
    </row>
    <row r="88" spans="4:13">
      <c r="D88" s="1281"/>
      <c r="E88" s="1272"/>
      <c r="F88" s="1272"/>
      <c r="G88" s="1282"/>
      <c r="H88" s="1272"/>
      <c r="I88" s="1272"/>
      <c r="J88" s="172"/>
      <c r="K88" s="172"/>
      <c r="L88" s="172"/>
      <c r="M88" s="172"/>
    </row>
    <row r="89" spans="4:13">
      <c r="D89" s="1281"/>
      <c r="E89" s="1272"/>
      <c r="F89" s="1272"/>
      <c r="G89" s="1282"/>
      <c r="H89" s="1272"/>
      <c r="I89" s="1272"/>
      <c r="J89" s="172"/>
      <c r="K89" s="172"/>
      <c r="L89" s="172"/>
      <c r="M89" s="172"/>
    </row>
    <row r="90" spans="4:13">
      <c r="D90" s="1281"/>
      <c r="E90" s="1272"/>
      <c r="F90" s="1272"/>
      <c r="G90" s="1282"/>
      <c r="H90" s="1272"/>
      <c r="I90" s="1272"/>
      <c r="J90" s="172"/>
      <c r="K90" s="172"/>
      <c r="L90" s="172"/>
      <c r="M90" s="172"/>
    </row>
    <row r="91" spans="4:13">
      <c r="D91" s="1281"/>
      <c r="E91" s="1272"/>
      <c r="F91" s="1272"/>
      <c r="G91" s="1327"/>
      <c r="H91" s="1272"/>
      <c r="I91" s="1272"/>
      <c r="J91" s="172"/>
      <c r="K91" s="172"/>
      <c r="L91" s="172"/>
      <c r="M91" s="172"/>
    </row>
    <row r="92" spans="4:13">
      <c r="D92" s="1184"/>
      <c r="E92" s="172"/>
      <c r="F92" s="172"/>
      <c r="G92" s="1328"/>
      <c r="H92" s="172"/>
      <c r="I92" s="172"/>
      <c r="J92" s="172"/>
      <c r="K92" s="172"/>
      <c r="L92" s="172"/>
      <c r="M92" s="172"/>
    </row>
    <row r="93" spans="4:13">
      <c r="D93" s="1184"/>
      <c r="E93" s="172"/>
      <c r="F93" s="172"/>
      <c r="G93" s="172"/>
      <c r="H93" s="172"/>
      <c r="I93" s="172"/>
      <c r="J93" s="172"/>
      <c r="K93" s="172"/>
      <c r="L93" s="172"/>
      <c r="M93" s="172"/>
    </row>
  </sheetData>
  <mergeCells count="21">
    <mergeCell ref="D46:E46"/>
    <mergeCell ref="D58:E58"/>
    <mergeCell ref="E36:E39"/>
    <mergeCell ref="L36:L39"/>
    <mergeCell ref="D4:E6"/>
    <mergeCell ref="F33:I33"/>
    <mergeCell ref="D8:E8"/>
    <mergeCell ref="D20:E20"/>
    <mergeCell ref="D22:E22"/>
    <mergeCell ref="K22:L22"/>
    <mergeCell ref="M33:P33"/>
    <mergeCell ref="F36:G36"/>
    <mergeCell ref="M36:N36"/>
    <mergeCell ref="F41:G41"/>
    <mergeCell ref="M41:N41"/>
    <mergeCell ref="N24:P24"/>
    <mergeCell ref="G27:I27"/>
    <mergeCell ref="N27:P27"/>
    <mergeCell ref="G30:I30"/>
    <mergeCell ref="N30:P30"/>
    <mergeCell ref="G24:H24"/>
  </mergeCells>
  <pageMargins left="0.7" right="0.7" top="0.75" bottom="0.75" header="0.3" footer="0.3"/>
  <pageSetup paperSize="9" scale="39" orientation="landscape"/>
  <rowBreaks count="1" manualBreakCount="1">
    <brk id="5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2:WVV92"/>
  <sheetViews>
    <sheetView view="pageBreakPreview" topLeftCell="G1" zoomScale="77" zoomScaleNormal="75" workbookViewId="0">
      <selection activeCell="O1" sqref="O1:O1048576"/>
    </sheetView>
  </sheetViews>
  <sheetFormatPr defaultColWidth="9.140625" defaultRowHeight="12.75"/>
  <cols>
    <col min="1" max="1" width="4.85546875" style="172" customWidth="1"/>
    <col min="2" max="2" width="2.140625" style="172" customWidth="1"/>
    <col min="3" max="3" width="34.7109375" style="173" customWidth="1"/>
    <col min="4" max="4" width="16.140625" style="174" customWidth="1"/>
    <col min="5" max="5" width="6.7109375" style="172" customWidth="1"/>
    <col min="6" max="6" width="44.7109375" style="172" customWidth="1"/>
    <col min="7" max="7" width="25.28515625" style="175" customWidth="1"/>
    <col min="8" max="8" width="19.85546875" style="175" customWidth="1"/>
    <col min="9" max="9" width="25.85546875" style="175" customWidth="1"/>
    <col min="10" max="10" width="22.85546875" style="175" customWidth="1"/>
    <col min="11" max="11" width="23.7109375" style="175" customWidth="1"/>
    <col min="12" max="12" width="23.28515625" style="175" customWidth="1"/>
    <col min="13" max="13" width="19.7109375" style="175" customWidth="1"/>
    <col min="14" max="14" width="18.7109375" style="176" customWidth="1"/>
    <col min="15" max="15" width="0.140625" style="172" hidden="1" customWidth="1"/>
    <col min="16" max="16" width="18.7109375" style="172" customWidth="1"/>
    <col min="17" max="17" width="20" style="172" customWidth="1"/>
    <col min="18" max="18" width="15.28515625" style="172" customWidth="1"/>
    <col min="19" max="19" width="19.7109375" style="172" customWidth="1"/>
    <col min="20" max="20" width="9.140625" style="172"/>
    <col min="21" max="21" width="13.28515625" style="172" customWidth="1"/>
    <col min="22" max="22" width="25.140625" style="172" customWidth="1"/>
    <col min="23" max="260" width="9.140625" style="172"/>
    <col min="261" max="261" width="4.85546875" style="172" customWidth="1"/>
    <col min="262" max="262" width="2.140625" style="172" customWidth="1"/>
    <col min="263" max="263" width="34.7109375" style="172" customWidth="1"/>
    <col min="264" max="264" width="16.140625" style="172" customWidth="1"/>
    <col min="265" max="265" width="6.7109375" style="172" customWidth="1"/>
    <col min="266" max="266" width="44.7109375" style="172" customWidth="1"/>
    <col min="267" max="268" width="22.28515625" style="172" customWidth="1"/>
    <col min="269" max="270" width="9.140625" style="172" hidden="1" customWidth="1"/>
    <col min="271" max="271" width="9.140625" style="172" customWidth="1"/>
    <col min="272" max="272" width="11.7109375" style="172" customWidth="1"/>
    <col min="273" max="516" width="9.140625" style="172"/>
    <col min="517" max="517" width="4.85546875" style="172" customWidth="1"/>
    <col min="518" max="518" width="2.140625" style="172" customWidth="1"/>
    <col min="519" max="519" width="34.7109375" style="172" customWidth="1"/>
    <col min="520" max="520" width="16.140625" style="172" customWidth="1"/>
    <col min="521" max="521" width="6.7109375" style="172" customWidth="1"/>
    <col min="522" max="522" width="44.7109375" style="172" customWidth="1"/>
    <col min="523" max="524" width="22.28515625" style="172" customWidth="1"/>
    <col min="525" max="526" width="9.140625" style="172" hidden="1" customWidth="1"/>
    <col min="527" max="527" width="9.140625" style="172" customWidth="1"/>
    <col min="528" max="528" width="11.7109375" style="172" customWidth="1"/>
    <col min="529" max="772" width="9.140625" style="172"/>
    <col min="773" max="773" width="4.85546875" style="172" customWidth="1"/>
    <col min="774" max="774" width="2.140625" style="172" customWidth="1"/>
    <col min="775" max="775" width="34.7109375" style="172" customWidth="1"/>
    <col min="776" max="776" width="16.140625" style="172" customWidth="1"/>
    <col min="777" max="777" width="6.7109375" style="172" customWidth="1"/>
    <col min="778" max="778" width="44.7109375" style="172" customWidth="1"/>
    <col min="779" max="780" width="22.28515625" style="172" customWidth="1"/>
    <col min="781" max="782" width="9.140625" style="172" hidden="1" customWidth="1"/>
    <col min="783" max="783" width="9.140625" style="172" customWidth="1"/>
    <col min="784" max="784" width="11.7109375" style="172" customWidth="1"/>
    <col min="785" max="1028" width="9.140625" style="172"/>
    <col min="1029" max="1029" width="4.85546875" style="172" customWidth="1"/>
    <col min="1030" max="1030" width="2.140625" style="172" customWidth="1"/>
    <col min="1031" max="1031" width="34.7109375" style="172" customWidth="1"/>
    <col min="1032" max="1032" width="16.140625" style="172" customWidth="1"/>
    <col min="1033" max="1033" width="6.7109375" style="172" customWidth="1"/>
    <col min="1034" max="1034" width="44.7109375" style="172" customWidth="1"/>
    <col min="1035" max="1036" width="22.28515625" style="172" customWidth="1"/>
    <col min="1037" max="1038" width="9.140625" style="172" hidden="1" customWidth="1"/>
    <col min="1039" max="1039" width="9.140625" style="172" customWidth="1"/>
    <col min="1040" max="1040" width="11.7109375" style="172" customWidth="1"/>
    <col min="1041" max="1284" width="9.140625" style="172"/>
    <col min="1285" max="1285" width="4.85546875" style="172" customWidth="1"/>
    <col min="1286" max="1286" width="2.140625" style="172" customWidth="1"/>
    <col min="1287" max="1287" width="34.7109375" style="172" customWidth="1"/>
    <col min="1288" max="1288" width="16.140625" style="172" customWidth="1"/>
    <col min="1289" max="1289" width="6.7109375" style="172" customWidth="1"/>
    <col min="1290" max="1290" width="44.7109375" style="172" customWidth="1"/>
    <col min="1291" max="1292" width="22.28515625" style="172" customWidth="1"/>
    <col min="1293" max="1294" width="9.140625" style="172" hidden="1" customWidth="1"/>
    <col min="1295" max="1295" width="9.140625" style="172" customWidth="1"/>
    <col min="1296" max="1296" width="11.7109375" style="172" customWidth="1"/>
    <col min="1297" max="1540" width="9.140625" style="172"/>
    <col min="1541" max="1541" width="4.85546875" style="172" customWidth="1"/>
    <col min="1542" max="1542" width="2.140625" style="172" customWidth="1"/>
    <col min="1543" max="1543" width="34.7109375" style="172" customWidth="1"/>
    <col min="1544" max="1544" width="16.140625" style="172" customWidth="1"/>
    <col min="1545" max="1545" width="6.7109375" style="172" customWidth="1"/>
    <col min="1546" max="1546" width="44.7109375" style="172" customWidth="1"/>
    <col min="1547" max="1548" width="22.28515625" style="172" customWidth="1"/>
    <col min="1549" max="1550" width="9.140625" style="172" hidden="1" customWidth="1"/>
    <col min="1551" max="1551" width="9.140625" style="172" customWidth="1"/>
    <col min="1552" max="1552" width="11.7109375" style="172" customWidth="1"/>
    <col min="1553" max="1796" width="9.140625" style="172"/>
    <col min="1797" max="1797" width="4.85546875" style="172" customWidth="1"/>
    <col min="1798" max="1798" width="2.140625" style="172" customWidth="1"/>
    <col min="1799" max="1799" width="34.7109375" style="172" customWidth="1"/>
    <col min="1800" max="1800" width="16.140625" style="172" customWidth="1"/>
    <col min="1801" max="1801" width="6.7109375" style="172" customWidth="1"/>
    <col min="1802" max="1802" width="44.7109375" style="172" customWidth="1"/>
    <col min="1803" max="1804" width="22.28515625" style="172" customWidth="1"/>
    <col min="1805" max="1806" width="9.140625" style="172" hidden="1" customWidth="1"/>
    <col min="1807" max="1807" width="9.140625" style="172" customWidth="1"/>
    <col min="1808" max="1808" width="11.7109375" style="172" customWidth="1"/>
    <col min="1809" max="2052" width="9.140625" style="172"/>
    <col min="2053" max="2053" width="4.85546875" style="172" customWidth="1"/>
    <col min="2054" max="2054" width="2.140625" style="172" customWidth="1"/>
    <col min="2055" max="2055" width="34.7109375" style="172" customWidth="1"/>
    <col min="2056" max="2056" width="16.140625" style="172" customWidth="1"/>
    <col min="2057" max="2057" width="6.7109375" style="172" customWidth="1"/>
    <col min="2058" max="2058" width="44.7109375" style="172" customWidth="1"/>
    <col min="2059" max="2060" width="22.28515625" style="172" customWidth="1"/>
    <col min="2061" max="2062" width="9.140625" style="172" hidden="1" customWidth="1"/>
    <col min="2063" max="2063" width="9.140625" style="172" customWidth="1"/>
    <col min="2064" max="2064" width="11.7109375" style="172" customWidth="1"/>
    <col min="2065" max="2308" width="9.140625" style="172"/>
    <col min="2309" max="2309" width="4.85546875" style="172" customWidth="1"/>
    <col min="2310" max="2310" width="2.140625" style="172" customWidth="1"/>
    <col min="2311" max="2311" width="34.7109375" style="172" customWidth="1"/>
    <col min="2312" max="2312" width="16.140625" style="172" customWidth="1"/>
    <col min="2313" max="2313" width="6.7109375" style="172" customWidth="1"/>
    <col min="2314" max="2314" width="44.7109375" style="172" customWidth="1"/>
    <col min="2315" max="2316" width="22.28515625" style="172" customWidth="1"/>
    <col min="2317" max="2318" width="9.140625" style="172" hidden="1" customWidth="1"/>
    <col min="2319" max="2319" width="9.140625" style="172" customWidth="1"/>
    <col min="2320" max="2320" width="11.7109375" style="172" customWidth="1"/>
    <col min="2321" max="2564" width="9.140625" style="172"/>
    <col min="2565" max="2565" width="4.85546875" style="172" customWidth="1"/>
    <col min="2566" max="2566" width="2.140625" style="172" customWidth="1"/>
    <col min="2567" max="2567" width="34.7109375" style="172" customWidth="1"/>
    <col min="2568" max="2568" width="16.140625" style="172" customWidth="1"/>
    <col min="2569" max="2569" width="6.7109375" style="172" customWidth="1"/>
    <col min="2570" max="2570" width="44.7109375" style="172" customWidth="1"/>
    <col min="2571" max="2572" width="22.28515625" style="172" customWidth="1"/>
    <col min="2573" max="2574" width="9.140625" style="172" hidden="1" customWidth="1"/>
    <col min="2575" max="2575" width="9.140625" style="172" customWidth="1"/>
    <col min="2576" max="2576" width="11.7109375" style="172" customWidth="1"/>
    <col min="2577" max="2820" width="9.140625" style="172"/>
    <col min="2821" max="2821" width="4.85546875" style="172" customWidth="1"/>
    <col min="2822" max="2822" width="2.140625" style="172" customWidth="1"/>
    <col min="2823" max="2823" width="34.7109375" style="172" customWidth="1"/>
    <col min="2824" max="2824" width="16.140625" style="172" customWidth="1"/>
    <col min="2825" max="2825" width="6.7109375" style="172" customWidth="1"/>
    <col min="2826" max="2826" width="44.7109375" style="172" customWidth="1"/>
    <col min="2827" max="2828" width="22.28515625" style="172" customWidth="1"/>
    <col min="2829" max="2830" width="9.140625" style="172" hidden="1" customWidth="1"/>
    <col min="2831" max="2831" width="9.140625" style="172" customWidth="1"/>
    <col min="2832" max="2832" width="11.7109375" style="172" customWidth="1"/>
    <col min="2833" max="3076" width="9.140625" style="172"/>
    <col min="3077" max="3077" width="4.85546875" style="172" customWidth="1"/>
    <col min="3078" max="3078" width="2.140625" style="172" customWidth="1"/>
    <col min="3079" max="3079" width="34.7109375" style="172" customWidth="1"/>
    <col min="3080" max="3080" width="16.140625" style="172" customWidth="1"/>
    <col min="3081" max="3081" width="6.7109375" style="172" customWidth="1"/>
    <col min="3082" max="3082" width="44.7109375" style="172" customWidth="1"/>
    <col min="3083" max="3084" width="22.28515625" style="172" customWidth="1"/>
    <col min="3085" max="3086" width="9.140625" style="172" hidden="1" customWidth="1"/>
    <col min="3087" max="3087" width="9.140625" style="172" customWidth="1"/>
    <col min="3088" max="3088" width="11.7109375" style="172" customWidth="1"/>
    <col min="3089" max="3332" width="9.140625" style="172"/>
    <col min="3333" max="3333" width="4.85546875" style="172" customWidth="1"/>
    <col min="3334" max="3334" width="2.140625" style="172" customWidth="1"/>
    <col min="3335" max="3335" width="34.7109375" style="172" customWidth="1"/>
    <col min="3336" max="3336" width="16.140625" style="172" customWidth="1"/>
    <col min="3337" max="3337" width="6.7109375" style="172" customWidth="1"/>
    <col min="3338" max="3338" width="44.7109375" style="172" customWidth="1"/>
    <col min="3339" max="3340" width="22.28515625" style="172" customWidth="1"/>
    <col min="3341" max="3342" width="9.140625" style="172" hidden="1" customWidth="1"/>
    <col min="3343" max="3343" width="9.140625" style="172" customWidth="1"/>
    <col min="3344" max="3344" width="11.7109375" style="172" customWidth="1"/>
    <col min="3345" max="3588" width="9.140625" style="172"/>
    <col min="3589" max="3589" width="4.85546875" style="172" customWidth="1"/>
    <col min="3590" max="3590" width="2.140625" style="172" customWidth="1"/>
    <col min="3591" max="3591" width="34.7109375" style="172" customWidth="1"/>
    <col min="3592" max="3592" width="16.140625" style="172" customWidth="1"/>
    <col min="3593" max="3593" width="6.7109375" style="172" customWidth="1"/>
    <col min="3594" max="3594" width="44.7109375" style="172" customWidth="1"/>
    <col min="3595" max="3596" width="22.28515625" style="172" customWidth="1"/>
    <col min="3597" max="3598" width="9.140625" style="172" hidden="1" customWidth="1"/>
    <col min="3599" max="3599" width="9.140625" style="172" customWidth="1"/>
    <col min="3600" max="3600" width="11.7109375" style="172" customWidth="1"/>
    <col min="3601" max="3844" width="9.140625" style="172"/>
    <col min="3845" max="3845" width="4.85546875" style="172" customWidth="1"/>
    <col min="3846" max="3846" width="2.140625" style="172" customWidth="1"/>
    <col min="3847" max="3847" width="34.7109375" style="172" customWidth="1"/>
    <col min="3848" max="3848" width="16.140625" style="172" customWidth="1"/>
    <col min="3849" max="3849" width="6.7109375" style="172" customWidth="1"/>
    <col min="3850" max="3850" width="44.7109375" style="172" customWidth="1"/>
    <col min="3851" max="3852" width="22.28515625" style="172" customWidth="1"/>
    <col min="3853" max="3854" width="9.140625" style="172" hidden="1" customWidth="1"/>
    <col min="3855" max="3855" width="9.140625" style="172" customWidth="1"/>
    <col min="3856" max="3856" width="11.7109375" style="172" customWidth="1"/>
    <col min="3857" max="4100" width="9.140625" style="172"/>
    <col min="4101" max="4101" width="4.85546875" style="172" customWidth="1"/>
    <col min="4102" max="4102" width="2.140625" style="172" customWidth="1"/>
    <col min="4103" max="4103" width="34.7109375" style="172" customWidth="1"/>
    <col min="4104" max="4104" width="16.140625" style="172" customWidth="1"/>
    <col min="4105" max="4105" width="6.7109375" style="172" customWidth="1"/>
    <col min="4106" max="4106" width="44.7109375" style="172" customWidth="1"/>
    <col min="4107" max="4108" width="22.28515625" style="172" customWidth="1"/>
    <col min="4109" max="4110" width="9.140625" style="172" hidden="1" customWidth="1"/>
    <col min="4111" max="4111" width="9.140625" style="172" customWidth="1"/>
    <col min="4112" max="4112" width="11.7109375" style="172" customWidth="1"/>
    <col min="4113" max="4356" width="9.140625" style="172"/>
    <col min="4357" max="4357" width="4.85546875" style="172" customWidth="1"/>
    <col min="4358" max="4358" width="2.140625" style="172" customWidth="1"/>
    <col min="4359" max="4359" width="34.7109375" style="172" customWidth="1"/>
    <col min="4360" max="4360" width="16.140625" style="172" customWidth="1"/>
    <col min="4361" max="4361" width="6.7109375" style="172" customWidth="1"/>
    <col min="4362" max="4362" width="44.7109375" style="172" customWidth="1"/>
    <col min="4363" max="4364" width="22.28515625" style="172" customWidth="1"/>
    <col min="4365" max="4366" width="9.140625" style="172" hidden="1" customWidth="1"/>
    <col min="4367" max="4367" width="9.140625" style="172" customWidth="1"/>
    <col min="4368" max="4368" width="11.7109375" style="172" customWidth="1"/>
    <col min="4369" max="4612" width="9.140625" style="172"/>
    <col min="4613" max="4613" width="4.85546875" style="172" customWidth="1"/>
    <col min="4614" max="4614" width="2.140625" style="172" customWidth="1"/>
    <col min="4615" max="4615" width="34.7109375" style="172" customWidth="1"/>
    <col min="4616" max="4616" width="16.140625" style="172" customWidth="1"/>
    <col min="4617" max="4617" width="6.7109375" style="172" customWidth="1"/>
    <col min="4618" max="4618" width="44.7109375" style="172" customWidth="1"/>
    <col min="4619" max="4620" width="22.28515625" style="172" customWidth="1"/>
    <col min="4621" max="4622" width="9.140625" style="172" hidden="1" customWidth="1"/>
    <col min="4623" max="4623" width="9.140625" style="172" customWidth="1"/>
    <col min="4624" max="4624" width="11.7109375" style="172" customWidth="1"/>
    <col min="4625" max="4868" width="9.140625" style="172"/>
    <col min="4869" max="4869" width="4.85546875" style="172" customWidth="1"/>
    <col min="4870" max="4870" width="2.140625" style="172" customWidth="1"/>
    <col min="4871" max="4871" width="34.7109375" style="172" customWidth="1"/>
    <col min="4872" max="4872" width="16.140625" style="172" customWidth="1"/>
    <col min="4873" max="4873" width="6.7109375" style="172" customWidth="1"/>
    <col min="4874" max="4874" width="44.7109375" style="172" customWidth="1"/>
    <col min="4875" max="4876" width="22.28515625" style="172" customWidth="1"/>
    <col min="4877" max="4878" width="9.140625" style="172" hidden="1" customWidth="1"/>
    <col min="4879" max="4879" width="9.140625" style="172" customWidth="1"/>
    <col min="4880" max="4880" width="11.7109375" style="172" customWidth="1"/>
    <col min="4881" max="5124" width="9.140625" style="172"/>
    <col min="5125" max="5125" width="4.85546875" style="172" customWidth="1"/>
    <col min="5126" max="5126" width="2.140625" style="172" customWidth="1"/>
    <col min="5127" max="5127" width="34.7109375" style="172" customWidth="1"/>
    <col min="5128" max="5128" width="16.140625" style="172" customWidth="1"/>
    <col min="5129" max="5129" width="6.7109375" style="172" customWidth="1"/>
    <col min="5130" max="5130" width="44.7109375" style="172" customWidth="1"/>
    <col min="5131" max="5132" width="22.28515625" style="172" customWidth="1"/>
    <col min="5133" max="5134" width="9.140625" style="172" hidden="1" customWidth="1"/>
    <col min="5135" max="5135" width="9.140625" style="172" customWidth="1"/>
    <col min="5136" max="5136" width="11.7109375" style="172" customWidth="1"/>
    <col min="5137" max="5380" width="9.140625" style="172"/>
    <col min="5381" max="5381" width="4.85546875" style="172" customWidth="1"/>
    <col min="5382" max="5382" width="2.140625" style="172" customWidth="1"/>
    <col min="5383" max="5383" width="34.7109375" style="172" customWidth="1"/>
    <col min="5384" max="5384" width="16.140625" style="172" customWidth="1"/>
    <col min="5385" max="5385" width="6.7109375" style="172" customWidth="1"/>
    <col min="5386" max="5386" width="44.7109375" style="172" customWidth="1"/>
    <col min="5387" max="5388" width="22.28515625" style="172" customWidth="1"/>
    <col min="5389" max="5390" width="9.140625" style="172" hidden="1" customWidth="1"/>
    <col min="5391" max="5391" width="9.140625" style="172" customWidth="1"/>
    <col min="5392" max="5392" width="11.7109375" style="172" customWidth="1"/>
    <col min="5393" max="5636" width="9.140625" style="172"/>
    <col min="5637" max="5637" width="4.85546875" style="172" customWidth="1"/>
    <col min="5638" max="5638" width="2.140625" style="172" customWidth="1"/>
    <col min="5639" max="5639" width="34.7109375" style="172" customWidth="1"/>
    <col min="5640" max="5640" width="16.140625" style="172" customWidth="1"/>
    <col min="5641" max="5641" width="6.7109375" style="172" customWidth="1"/>
    <col min="5642" max="5642" width="44.7109375" style="172" customWidth="1"/>
    <col min="5643" max="5644" width="22.28515625" style="172" customWidth="1"/>
    <col min="5645" max="5646" width="9.140625" style="172" hidden="1" customWidth="1"/>
    <col min="5647" max="5647" width="9.140625" style="172" customWidth="1"/>
    <col min="5648" max="5648" width="11.7109375" style="172" customWidth="1"/>
    <col min="5649" max="5892" width="9.140625" style="172"/>
    <col min="5893" max="5893" width="4.85546875" style="172" customWidth="1"/>
    <col min="5894" max="5894" width="2.140625" style="172" customWidth="1"/>
    <col min="5895" max="5895" width="34.7109375" style="172" customWidth="1"/>
    <col min="5896" max="5896" width="16.140625" style="172" customWidth="1"/>
    <col min="5897" max="5897" width="6.7109375" style="172" customWidth="1"/>
    <col min="5898" max="5898" width="44.7109375" style="172" customWidth="1"/>
    <col min="5899" max="5900" width="22.28515625" style="172" customWidth="1"/>
    <col min="5901" max="5902" width="9.140625" style="172" hidden="1" customWidth="1"/>
    <col min="5903" max="5903" width="9.140625" style="172" customWidth="1"/>
    <col min="5904" max="5904" width="11.7109375" style="172" customWidth="1"/>
    <col min="5905" max="6148" width="9.140625" style="172"/>
    <col min="6149" max="6149" width="4.85546875" style="172" customWidth="1"/>
    <col min="6150" max="6150" width="2.140625" style="172" customWidth="1"/>
    <col min="6151" max="6151" width="34.7109375" style="172" customWidth="1"/>
    <col min="6152" max="6152" width="16.140625" style="172" customWidth="1"/>
    <col min="6153" max="6153" width="6.7109375" style="172" customWidth="1"/>
    <col min="6154" max="6154" width="44.7109375" style="172" customWidth="1"/>
    <col min="6155" max="6156" width="22.28515625" style="172" customWidth="1"/>
    <col min="6157" max="6158" width="9.140625" style="172" hidden="1" customWidth="1"/>
    <col min="6159" max="6159" width="9.140625" style="172" customWidth="1"/>
    <col min="6160" max="6160" width="11.7109375" style="172" customWidth="1"/>
    <col min="6161" max="6404" width="9.140625" style="172"/>
    <col min="6405" max="6405" width="4.85546875" style="172" customWidth="1"/>
    <col min="6406" max="6406" width="2.140625" style="172" customWidth="1"/>
    <col min="6407" max="6407" width="34.7109375" style="172" customWidth="1"/>
    <col min="6408" max="6408" width="16.140625" style="172" customWidth="1"/>
    <col min="6409" max="6409" width="6.7109375" style="172" customWidth="1"/>
    <col min="6410" max="6410" width="44.7109375" style="172" customWidth="1"/>
    <col min="6411" max="6412" width="22.28515625" style="172" customWidth="1"/>
    <col min="6413" max="6414" width="9.140625" style="172" hidden="1" customWidth="1"/>
    <col min="6415" max="6415" width="9.140625" style="172" customWidth="1"/>
    <col min="6416" max="6416" width="11.7109375" style="172" customWidth="1"/>
    <col min="6417" max="6660" width="9.140625" style="172"/>
    <col min="6661" max="6661" width="4.85546875" style="172" customWidth="1"/>
    <col min="6662" max="6662" width="2.140625" style="172" customWidth="1"/>
    <col min="6663" max="6663" width="34.7109375" style="172" customWidth="1"/>
    <col min="6664" max="6664" width="16.140625" style="172" customWidth="1"/>
    <col min="6665" max="6665" width="6.7109375" style="172" customWidth="1"/>
    <col min="6666" max="6666" width="44.7109375" style="172" customWidth="1"/>
    <col min="6667" max="6668" width="22.28515625" style="172" customWidth="1"/>
    <col min="6669" max="6670" width="9.140625" style="172" hidden="1" customWidth="1"/>
    <col min="6671" max="6671" width="9.140625" style="172" customWidth="1"/>
    <col min="6672" max="6672" width="11.7109375" style="172" customWidth="1"/>
    <col min="6673" max="6916" width="9.140625" style="172"/>
    <col min="6917" max="6917" width="4.85546875" style="172" customWidth="1"/>
    <col min="6918" max="6918" width="2.140625" style="172" customWidth="1"/>
    <col min="6919" max="6919" width="34.7109375" style="172" customWidth="1"/>
    <col min="6920" max="6920" width="16.140625" style="172" customWidth="1"/>
    <col min="6921" max="6921" width="6.7109375" style="172" customWidth="1"/>
    <col min="6922" max="6922" width="44.7109375" style="172" customWidth="1"/>
    <col min="6923" max="6924" width="22.28515625" style="172" customWidth="1"/>
    <col min="6925" max="6926" width="9.140625" style="172" hidden="1" customWidth="1"/>
    <col min="6927" max="6927" width="9.140625" style="172" customWidth="1"/>
    <col min="6928" max="6928" width="11.7109375" style="172" customWidth="1"/>
    <col min="6929" max="7172" width="9.140625" style="172"/>
    <col min="7173" max="7173" width="4.85546875" style="172" customWidth="1"/>
    <col min="7174" max="7174" width="2.140625" style="172" customWidth="1"/>
    <col min="7175" max="7175" width="34.7109375" style="172" customWidth="1"/>
    <col min="7176" max="7176" width="16.140625" style="172" customWidth="1"/>
    <col min="7177" max="7177" width="6.7109375" style="172" customWidth="1"/>
    <col min="7178" max="7178" width="44.7109375" style="172" customWidth="1"/>
    <col min="7179" max="7180" width="22.28515625" style="172" customWidth="1"/>
    <col min="7181" max="7182" width="9.140625" style="172" hidden="1" customWidth="1"/>
    <col min="7183" max="7183" width="9.140625" style="172" customWidth="1"/>
    <col min="7184" max="7184" width="11.7109375" style="172" customWidth="1"/>
    <col min="7185" max="7428" width="9.140625" style="172"/>
    <col min="7429" max="7429" width="4.85546875" style="172" customWidth="1"/>
    <col min="7430" max="7430" width="2.140625" style="172" customWidth="1"/>
    <col min="7431" max="7431" width="34.7109375" style="172" customWidth="1"/>
    <col min="7432" max="7432" width="16.140625" style="172" customWidth="1"/>
    <col min="7433" max="7433" width="6.7109375" style="172" customWidth="1"/>
    <col min="7434" max="7434" width="44.7109375" style="172" customWidth="1"/>
    <col min="7435" max="7436" width="22.28515625" style="172" customWidth="1"/>
    <col min="7437" max="7438" width="9.140625" style="172" hidden="1" customWidth="1"/>
    <col min="7439" max="7439" width="9.140625" style="172" customWidth="1"/>
    <col min="7440" max="7440" width="11.7109375" style="172" customWidth="1"/>
    <col min="7441" max="7684" width="9.140625" style="172"/>
    <col min="7685" max="7685" width="4.85546875" style="172" customWidth="1"/>
    <col min="7686" max="7686" width="2.140625" style="172" customWidth="1"/>
    <col min="7687" max="7687" width="34.7109375" style="172" customWidth="1"/>
    <col min="7688" max="7688" width="16.140625" style="172" customWidth="1"/>
    <col min="7689" max="7689" width="6.7109375" style="172" customWidth="1"/>
    <col min="7690" max="7690" width="44.7109375" style="172" customWidth="1"/>
    <col min="7691" max="7692" width="22.28515625" style="172" customWidth="1"/>
    <col min="7693" max="7694" width="9.140625" style="172" hidden="1" customWidth="1"/>
    <col min="7695" max="7695" width="9.140625" style="172" customWidth="1"/>
    <col min="7696" max="7696" width="11.7109375" style="172" customWidth="1"/>
    <col min="7697" max="7940" width="9.140625" style="172"/>
    <col min="7941" max="7941" width="4.85546875" style="172" customWidth="1"/>
    <col min="7942" max="7942" width="2.140625" style="172" customWidth="1"/>
    <col min="7943" max="7943" width="34.7109375" style="172" customWidth="1"/>
    <col min="7944" max="7944" width="16.140625" style="172" customWidth="1"/>
    <col min="7945" max="7945" width="6.7109375" style="172" customWidth="1"/>
    <col min="7946" max="7946" width="44.7109375" style="172" customWidth="1"/>
    <col min="7947" max="7948" width="22.28515625" style="172" customWidth="1"/>
    <col min="7949" max="7950" width="9.140625" style="172" hidden="1" customWidth="1"/>
    <col min="7951" max="7951" width="9.140625" style="172" customWidth="1"/>
    <col min="7952" max="7952" width="11.7109375" style="172" customWidth="1"/>
    <col min="7953" max="8196" width="9.140625" style="172"/>
    <col min="8197" max="8197" width="4.85546875" style="172" customWidth="1"/>
    <col min="8198" max="8198" width="2.140625" style="172" customWidth="1"/>
    <col min="8199" max="8199" width="34.7109375" style="172" customWidth="1"/>
    <col min="8200" max="8200" width="16.140625" style="172" customWidth="1"/>
    <col min="8201" max="8201" width="6.7109375" style="172" customWidth="1"/>
    <col min="8202" max="8202" width="44.7109375" style="172" customWidth="1"/>
    <col min="8203" max="8204" width="22.28515625" style="172" customWidth="1"/>
    <col min="8205" max="8206" width="9.140625" style="172" hidden="1" customWidth="1"/>
    <col min="8207" max="8207" width="9.140625" style="172" customWidth="1"/>
    <col min="8208" max="8208" width="11.7109375" style="172" customWidth="1"/>
    <col min="8209" max="8452" width="9.140625" style="172"/>
    <col min="8453" max="8453" width="4.85546875" style="172" customWidth="1"/>
    <col min="8454" max="8454" width="2.140625" style="172" customWidth="1"/>
    <col min="8455" max="8455" width="34.7109375" style="172" customWidth="1"/>
    <col min="8456" max="8456" width="16.140625" style="172" customWidth="1"/>
    <col min="8457" max="8457" width="6.7109375" style="172" customWidth="1"/>
    <col min="8458" max="8458" width="44.7109375" style="172" customWidth="1"/>
    <col min="8459" max="8460" width="22.28515625" style="172" customWidth="1"/>
    <col min="8461" max="8462" width="9.140625" style="172" hidden="1" customWidth="1"/>
    <col min="8463" max="8463" width="9.140625" style="172" customWidth="1"/>
    <col min="8464" max="8464" width="11.7109375" style="172" customWidth="1"/>
    <col min="8465" max="8708" width="9.140625" style="172"/>
    <col min="8709" max="8709" width="4.85546875" style="172" customWidth="1"/>
    <col min="8710" max="8710" width="2.140625" style="172" customWidth="1"/>
    <col min="8711" max="8711" width="34.7109375" style="172" customWidth="1"/>
    <col min="8712" max="8712" width="16.140625" style="172" customWidth="1"/>
    <col min="8713" max="8713" width="6.7109375" style="172" customWidth="1"/>
    <col min="8714" max="8714" width="44.7109375" style="172" customWidth="1"/>
    <col min="8715" max="8716" width="22.28515625" style="172" customWidth="1"/>
    <col min="8717" max="8718" width="9.140625" style="172" hidden="1" customWidth="1"/>
    <col min="8719" max="8719" width="9.140625" style="172" customWidth="1"/>
    <col min="8720" max="8720" width="11.7109375" style="172" customWidth="1"/>
    <col min="8721" max="8964" width="9.140625" style="172"/>
    <col min="8965" max="8965" width="4.85546875" style="172" customWidth="1"/>
    <col min="8966" max="8966" width="2.140625" style="172" customWidth="1"/>
    <col min="8967" max="8967" width="34.7109375" style="172" customWidth="1"/>
    <col min="8968" max="8968" width="16.140625" style="172" customWidth="1"/>
    <col min="8969" max="8969" width="6.7109375" style="172" customWidth="1"/>
    <col min="8970" max="8970" width="44.7109375" style="172" customWidth="1"/>
    <col min="8971" max="8972" width="22.28515625" style="172" customWidth="1"/>
    <col min="8973" max="8974" width="9.140625" style="172" hidden="1" customWidth="1"/>
    <col min="8975" max="8975" width="9.140625" style="172" customWidth="1"/>
    <col min="8976" max="8976" width="11.7109375" style="172" customWidth="1"/>
    <col min="8977" max="9220" width="9.140625" style="172"/>
    <col min="9221" max="9221" width="4.85546875" style="172" customWidth="1"/>
    <col min="9222" max="9222" width="2.140625" style="172" customWidth="1"/>
    <col min="9223" max="9223" width="34.7109375" style="172" customWidth="1"/>
    <col min="9224" max="9224" width="16.140625" style="172" customWidth="1"/>
    <col min="9225" max="9225" width="6.7109375" style="172" customWidth="1"/>
    <col min="9226" max="9226" width="44.7109375" style="172" customWidth="1"/>
    <col min="9227" max="9228" width="22.28515625" style="172" customWidth="1"/>
    <col min="9229" max="9230" width="9.140625" style="172" hidden="1" customWidth="1"/>
    <col min="9231" max="9231" width="9.140625" style="172" customWidth="1"/>
    <col min="9232" max="9232" width="11.7109375" style="172" customWidth="1"/>
    <col min="9233" max="9476" width="9.140625" style="172"/>
    <col min="9477" max="9477" width="4.85546875" style="172" customWidth="1"/>
    <col min="9478" max="9478" width="2.140625" style="172" customWidth="1"/>
    <col min="9479" max="9479" width="34.7109375" style="172" customWidth="1"/>
    <col min="9480" max="9480" width="16.140625" style="172" customWidth="1"/>
    <col min="9481" max="9481" width="6.7109375" style="172" customWidth="1"/>
    <col min="9482" max="9482" width="44.7109375" style="172" customWidth="1"/>
    <col min="9483" max="9484" width="22.28515625" style="172" customWidth="1"/>
    <col min="9485" max="9486" width="9.140625" style="172" hidden="1" customWidth="1"/>
    <col min="9487" max="9487" width="9.140625" style="172" customWidth="1"/>
    <col min="9488" max="9488" width="11.7109375" style="172" customWidth="1"/>
    <col min="9489" max="9732" width="9.140625" style="172"/>
    <col min="9733" max="9733" width="4.85546875" style="172" customWidth="1"/>
    <col min="9734" max="9734" width="2.140625" style="172" customWidth="1"/>
    <col min="9735" max="9735" width="34.7109375" style="172" customWidth="1"/>
    <col min="9736" max="9736" width="16.140625" style="172" customWidth="1"/>
    <col min="9737" max="9737" width="6.7109375" style="172" customWidth="1"/>
    <col min="9738" max="9738" width="44.7109375" style="172" customWidth="1"/>
    <col min="9739" max="9740" width="22.28515625" style="172" customWidth="1"/>
    <col min="9741" max="9742" width="9.140625" style="172" hidden="1" customWidth="1"/>
    <col min="9743" max="9743" width="9.140625" style="172" customWidth="1"/>
    <col min="9744" max="9744" width="11.7109375" style="172" customWidth="1"/>
    <col min="9745" max="9988" width="9.140625" style="172"/>
    <col min="9989" max="9989" width="4.85546875" style="172" customWidth="1"/>
    <col min="9990" max="9990" width="2.140625" style="172" customWidth="1"/>
    <col min="9991" max="9991" width="34.7109375" style="172" customWidth="1"/>
    <col min="9992" max="9992" width="16.140625" style="172" customWidth="1"/>
    <col min="9993" max="9993" width="6.7109375" style="172" customWidth="1"/>
    <col min="9994" max="9994" width="44.7109375" style="172" customWidth="1"/>
    <col min="9995" max="9996" width="22.28515625" style="172" customWidth="1"/>
    <col min="9997" max="9998" width="9.140625" style="172" hidden="1" customWidth="1"/>
    <col min="9999" max="9999" width="9.140625" style="172" customWidth="1"/>
    <col min="10000" max="10000" width="11.7109375" style="172" customWidth="1"/>
    <col min="10001" max="10244" width="9.140625" style="172"/>
    <col min="10245" max="10245" width="4.85546875" style="172" customWidth="1"/>
    <col min="10246" max="10246" width="2.140625" style="172" customWidth="1"/>
    <col min="10247" max="10247" width="34.7109375" style="172" customWidth="1"/>
    <col min="10248" max="10248" width="16.140625" style="172" customWidth="1"/>
    <col min="10249" max="10249" width="6.7109375" style="172" customWidth="1"/>
    <col min="10250" max="10250" width="44.7109375" style="172" customWidth="1"/>
    <col min="10251" max="10252" width="22.28515625" style="172" customWidth="1"/>
    <col min="10253" max="10254" width="9.140625" style="172" hidden="1" customWidth="1"/>
    <col min="10255" max="10255" width="9.140625" style="172" customWidth="1"/>
    <col min="10256" max="10256" width="11.7109375" style="172" customWidth="1"/>
    <col min="10257" max="10500" width="9.140625" style="172"/>
    <col min="10501" max="10501" width="4.85546875" style="172" customWidth="1"/>
    <col min="10502" max="10502" width="2.140625" style="172" customWidth="1"/>
    <col min="10503" max="10503" width="34.7109375" style="172" customWidth="1"/>
    <col min="10504" max="10504" width="16.140625" style="172" customWidth="1"/>
    <col min="10505" max="10505" width="6.7109375" style="172" customWidth="1"/>
    <col min="10506" max="10506" width="44.7109375" style="172" customWidth="1"/>
    <col min="10507" max="10508" width="22.28515625" style="172" customWidth="1"/>
    <col min="10509" max="10510" width="9.140625" style="172" hidden="1" customWidth="1"/>
    <col min="10511" max="10511" width="9.140625" style="172" customWidth="1"/>
    <col min="10512" max="10512" width="11.7109375" style="172" customWidth="1"/>
    <col min="10513" max="10756" width="9.140625" style="172"/>
    <col min="10757" max="10757" width="4.85546875" style="172" customWidth="1"/>
    <col min="10758" max="10758" width="2.140625" style="172" customWidth="1"/>
    <col min="10759" max="10759" width="34.7109375" style="172" customWidth="1"/>
    <col min="10760" max="10760" width="16.140625" style="172" customWidth="1"/>
    <col min="10761" max="10761" width="6.7109375" style="172" customWidth="1"/>
    <col min="10762" max="10762" width="44.7109375" style="172" customWidth="1"/>
    <col min="10763" max="10764" width="22.28515625" style="172" customWidth="1"/>
    <col min="10765" max="10766" width="9.140625" style="172" hidden="1" customWidth="1"/>
    <col min="10767" max="10767" width="9.140625" style="172" customWidth="1"/>
    <col min="10768" max="10768" width="11.7109375" style="172" customWidth="1"/>
    <col min="10769" max="11012" width="9.140625" style="172"/>
    <col min="11013" max="11013" width="4.85546875" style="172" customWidth="1"/>
    <col min="11014" max="11014" width="2.140625" style="172" customWidth="1"/>
    <col min="11015" max="11015" width="34.7109375" style="172" customWidth="1"/>
    <col min="11016" max="11016" width="16.140625" style="172" customWidth="1"/>
    <col min="11017" max="11017" width="6.7109375" style="172" customWidth="1"/>
    <col min="11018" max="11018" width="44.7109375" style="172" customWidth="1"/>
    <col min="11019" max="11020" width="22.28515625" style="172" customWidth="1"/>
    <col min="11021" max="11022" width="9.140625" style="172" hidden="1" customWidth="1"/>
    <col min="11023" max="11023" width="9.140625" style="172" customWidth="1"/>
    <col min="11024" max="11024" width="11.7109375" style="172" customWidth="1"/>
    <col min="11025" max="11268" width="9.140625" style="172"/>
    <col min="11269" max="11269" width="4.85546875" style="172" customWidth="1"/>
    <col min="11270" max="11270" width="2.140625" style="172" customWidth="1"/>
    <col min="11271" max="11271" width="34.7109375" style="172" customWidth="1"/>
    <col min="11272" max="11272" width="16.140625" style="172" customWidth="1"/>
    <col min="11273" max="11273" width="6.7109375" style="172" customWidth="1"/>
    <col min="11274" max="11274" width="44.7109375" style="172" customWidth="1"/>
    <col min="11275" max="11276" width="22.28515625" style="172" customWidth="1"/>
    <col min="11277" max="11278" width="9.140625" style="172" hidden="1" customWidth="1"/>
    <col min="11279" max="11279" width="9.140625" style="172" customWidth="1"/>
    <col min="11280" max="11280" width="11.7109375" style="172" customWidth="1"/>
    <col min="11281" max="11524" width="9.140625" style="172"/>
    <col min="11525" max="11525" width="4.85546875" style="172" customWidth="1"/>
    <col min="11526" max="11526" width="2.140625" style="172" customWidth="1"/>
    <col min="11527" max="11527" width="34.7109375" style="172" customWidth="1"/>
    <col min="11528" max="11528" width="16.140625" style="172" customWidth="1"/>
    <col min="11529" max="11529" width="6.7109375" style="172" customWidth="1"/>
    <col min="11530" max="11530" width="44.7109375" style="172" customWidth="1"/>
    <col min="11531" max="11532" width="22.28515625" style="172" customWidth="1"/>
    <col min="11533" max="11534" width="9.140625" style="172" hidden="1" customWidth="1"/>
    <col min="11535" max="11535" width="9.140625" style="172" customWidth="1"/>
    <col min="11536" max="11536" width="11.7109375" style="172" customWidth="1"/>
    <col min="11537" max="11780" width="9.140625" style="172"/>
    <col min="11781" max="11781" width="4.85546875" style="172" customWidth="1"/>
    <col min="11782" max="11782" width="2.140625" style="172" customWidth="1"/>
    <col min="11783" max="11783" width="34.7109375" style="172" customWidth="1"/>
    <col min="11784" max="11784" width="16.140625" style="172" customWidth="1"/>
    <col min="11785" max="11785" width="6.7109375" style="172" customWidth="1"/>
    <col min="11786" max="11786" width="44.7109375" style="172" customWidth="1"/>
    <col min="11787" max="11788" width="22.28515625" style="172" customWidth="1"/>
    <col min="11789" max="11790" width="9.140625" style="172" hidden="1" customWidth="1"/>
    <col min="11791" max="11791" width="9.140625" style="172" customWidth="1"/>
    <col min="11792" max="11792" width="11.7109375" style="172" customWidth="1"/>
    <col min="11793" max="12036" width="9.140625" style="172"/>
    <col min="12037" max="12037" width="4.85546875" style="172" customWidth="1"/>
    <col min="12038" max="12038" width="2.140625" style="172" customWidth="1"/>
    <col min="12039" max="12039" width="34.7109375" style="172" customWidth="1"/>
    <col min="12040" max="12040" width="16.140625" style="172" customWidth="1"/>
    <col min="12041" max="12041" width="6.7109375" style="172" customWidth="1"/>
    <col min="12042" max="12042" width="44.7109375" style="172" customWidth="1"/>
    <col min="12043" max="12044" width="22.28515625" style="172" customWidth="1"/>
    <col min="12045" max="12046" width="9.140625" style="172" hidden="1" customWidth="1"/>
    <col min="12047" max="12047" width="9.140625" style="172" customWidth="1"/>
    <col min="12048" max="12048" width="11.7109375" style="172" customWidth="1"/>
    <col min="12049" max="12292" width="9.140625" style="172"/>
    <col min="12293" max="12293" width="4.85546875" style="172" customWidth="1"/>
    <col min="12294" max="12294" width="2.140625" style="172" customWidth="1"/>
    <col min="12295" max="12295" width="34.7109375" style="172" customWidth="1"/>
    <col min="12296" max="12296" width="16.140625" style="172" customWidth="1"/>
    <col min="12297" max="12297" width="6.7109375" style="172" customWidth="1"/>
    <col min="12298" max="12298" width="44.7109375" style="172" customWidth="1"/>
    <col min="12299" max="12300" width="22.28515625" style="172" customWidth="1"/>
    <col min="12301" max="12302" width="9.140625" style="172" hidden="1" customWidth="1"/>
    <col min="12303" max="12303" width="9.140625" style="172" customWidth="1"/>
    <col min="12304" max="12304" width="11.7109375" style="172" customWidth="1"/>
    <col min="12305" max="12548" width="9.140625" style="172"/>
    <col min="12549" max="12549" width="4.85546875" style="172" customWidth="1"/>
    <col min="12550" max="12550" width="2.140625" style="172" customWidth="1"/>
    <col min="12551" max="12551" width="34.7109375" style="172" customWidth="1"/>
    <col min="12552" max="12552" width="16.140625" style="172" customWidth="1"/>
    <col min="12553" max="12553" width="6.7109375" style="172" customWidth="1"/>
    <col min="12554" max="12554" width="44.7109375" style="172" customWidth="1"/>
    <col min="12555" max="12556" width="22.28515625" style="172" customWidth="1"/>
    <col min="12557" max="12558" width="9.140625" style="172" hidden="1" customWidth="1"/>
    <col min="12559" max="12559" width="9.140625" style="172" customWidth="1"/>
    <col min="12560" max="12560" width="11.7109375" style="172" customWidth="1"/>
    <col min="12561" max="12804" width="9.140625" style="172"/>
    <col min="12805" max="12805" width="4.85546875" style="172" customWidth="1"/>
    <col min="12806" max="12806" width="2.140625" style="172" customWidth="1"/>
    <col min="12807" max="12807" width="34.7109375" style="172" customWidth="1"/>
    <col min="12808" max="12808" width="16.140625" style="172" customWidth="1"/>
    <col min="12809" max="12809" width="6.7109375" style="172" customWidth="1"/>
    <col min="12810" max="12810" width="44.7109375" style="172" customWidth="1"/>
    <col min="12811" max="12812" width="22.28515625" style="172" customWidth="1"/>
    <col min="12813" max="12814" width="9.140625" style="172" hidden="1" customWidth="1"/>
    <col min="12815" max="12815" width="9.140625" style="172" customWidth="1"/>
    <col min="12816" max="12816" width="11.7109375" style="172" customWidth="1"/>
    <col min="12817" max="13060" width="9.140625" style="172"/>
    <col min="13061" max="13061" width="4.85546875" style="172" customWidth="1"/>
    <col min="13062" max="13062" width="2.140625" style="172" customWidth="1"/>
    <col min="13063" max="13063" width="34.7109375" style="172" customWidth="1"/>
    <col min="13064" max="13064" width="16.140625" style="172" customWidth="1"/>
    <col min="13065" max="13065" width="6.7109375" style="172" customWidth="1"/>
    <col min="13066" max="13066" width="44.7109375" style="172" customWidth="1"/>
    <col min="13067" max="13068" width="22.28515625" style="172" customWidth="1"/>
    <col min="13069" max="13070" width="9.140625" style="172" hidden="1" customWidth="1"/>
    <col min="13071" max="13071" width="9.140625" style="172" customWidth="1"/>
    <col min="13072" max="13072" width="11.7109375" style="172" customWidth="1"/>
    <col min="13073" max="13316" width="9.140625" style="172"/>
    <col min="13317" max="13317" width="4.85546875" style="172" customWidth="1"/>
    <col min="13318" max="13318" width="2.140625" style="172" customWidth="1"/>
    <col min="13319" max="13319" width="34.7109375" style="172" customWidth="1"/>
    <col min="13320" max="13320" width="16.140625" style="172" customWidth="1"/>
    <col min="13321" max="13321" width="6.7109375" style="172" customWidth="1"/>
    <col min="13322" max="13322" width="44.7109375" style="172" customWidth="1"/>
    <col min="13323" max="13324" width="22.28515625" style="172" customWidth="1"/>
    <col min="13325" max="13326" width="9.140625" style="172" hidden="1" customWidth="1"/>
    <col min="13327" max="13327" width="9.140625" style="172" customWidth="1"/>
    <col min="13328" max="13328" width="11.7109375" style="172" customWidth="1"/>
    <col min="13329" max="13572" width="9.140625" style="172"/>
    <col min="13573" max="13573" width="4.85546875" style="172" customWidth="1"/>
    <col min="13574" max="13574" width="2.140625" style="172" customWidth="1"/>
    <col min="13575" max="13575" width="34.7109375" style="172" customWidth="1"/>
    <col min="13576" max="13576" width="16.140625" style="172" customWidth="1"/>
    <col min="13577" max="13577" width="6.7109375" style="172" customWidth="1"/>
    <col min="13578" max="13578" width="44.7109375" style="172" customWidth="1"/>
    <col min="13579" max="13580" width="22.28515625" style="172" customWidth="1"/>
    <col min="13581" max="13582" width="9.140625" style="172" hidden="1" customWidth="1"/>
    <col min="13583" max="13583" width="9.140625" style="172" customWidth="1"/>
    <col min="13584" max="13584" width="11.7109375" style="172" customWidth="1"/>
    <col min="13585" max="13828" width="9.140625" style="172"/>
    <col min="13829" max="13829" width="4.85546875" style="172" customWidth="1"/>
    <col min="13830" max="13830" width="2.140625" style="172" customWidth="1"/>
    <col min="13831" max="13831" width="34.7109375" style="172" customWidth="1"/>
    <col min="13832" max="13832" width="16.140625" style="172" customWidth="1"/>
    <col min="13833" max="13833" width="6.7109375" style="172" customWidth="1"/>
    <col min="13834" max="13834" width="44.7109375" style="172" customWidth="1"/>
    <col min="13835" max="13836" width="22.28515625" style="172" customWidth="1"/>
    <col min="13837" max="13838" width="9.140625" style="172" hidden="1" customWidth="1"/>
    <col min="13839" max="13839" width="9.140625" style="172" customWidth="1"/>
    <col min="13840" max="13840" width="11.7109375" style="172" customWidth="1"/>
    <col min="13841" max="14084" width="9.140625" style="172"/>
    <col min="14085" max="14085" width="4.85546875" style="172" customWidth="1"/>
    <col min="14086" max="14086" width="2.140625" style="172" customWidth="1"/>
    <col min="14087" max="14087" width="34.7109375" style="172" customWidth="1"/>
    <col min="14088" max="14088" width="16.140625" style="172" customWidth="1"/>
    <col min="14089" max="14089" width="6.7109375" style="172" customWidth="1"/>
    <col min="14090" max="14090" width="44.7109375" style="172" customWidth="1"/>
    <col min="14091" max="14092" width="22.28515625" style="172" customWidth="1"/>
    <col min="14093" max="14094" width="9.140625" style="172" hidden="1" customWidth="1"/>
    <col min="14095" max="14095" width="9.140625" style="172" customWidth="1"/>
    <col min="14096" max="14096" width="11.7109375" style="172" customWidth="1"/>
    <col min="14097" max="14340" width="9.140625" style="172"/>
    <col min="14341" max="14341" width="4.85546875" style="172" customWidth="1"/>
    <col min="14342" max="14342" width="2.140625" style="172" customWidth="1"/>
    <col min="14343" max="14343" width="34.7109375" style="172" customWidth="1"/>
    <col min="14344" max="14344" width="16.140625" style="172" customWidth="1"/>
    <col min="14345" max="14345" width="6.7109375" style="172" customWidth="1"/>
    <col min="14346" max="14346" width="44.7109375" style="172" customWidth="1"/>
    <col min="14347" max="14348" width="22.28515625" style="172" customWidth="1"/>
    <col min="14349" max="14350" width="9.140625" style="172" hidden="1" customWidth="1"/>
    <col min="14351" max="14351" width="9.140625" style="172" customWidth="1"/>
    <col min="14352" max="14352" width="11.7109375" style="172" customWidth="1"/>
    <col min="14353" max="14596" width="9.140625" style="172"/>
    <col min="14597" max="14597" width="4.85546875" style="172" customWidth="1"/>
    <col min="14598" max="14598" width="2.140625" style="172" customWidth="1"/>
    <col min="14599" max="14599" width="34.7109375" style="172" customWidth="1"/>
    <col min="14600" max="14600" width="16.140625" style="172" customWidth="1"/>
    <col min="14601" max="14601" width="6.7109375" style="172" customWidth="1"/>
    <col min="14602" max="14602" width="44.7109375" style="172" customWidth="1"/>
    <col min="14603" max="14604" width="22.28515625" style="172" customWidth="1"/>
    <col min="14605" max="14606" width="9.140625" style="172" hidden="1" customWidth="1"/>
    <col min="14607" max="14607" width="9.140625" style="172" customWidth="1"/>
    <col min="14608" max="14608" width="11.7109375" style="172" customWidth="1"/>
    <col min="14609" max="14852" width="9.140625" style="172"/>
    <col min="14853" max="14853" width="4.85546875" style="172" customWidth="1"/>
    <col min="14854" max="14854" width="2.140625" style="172" customWidth="1"/>
    <col min="14855" max="14855" width="34.7109375" style="172" customWidth="1"/>
    <col min="14856" max="14856" width="16.140625" style="172" customWidth="1"/>
    <col min="14857" max="14857" width="6.7109375" style="172" customWidth="1"/>
    <col min="14858" max="14858" width="44.7109375" style="172" customWidth="1"/>
    <col min="14859" max="14860" width="22.28515625" style="172" customWidth="1"/>
    <col min="14861" max="14862" width="9.140625" style="172" hidden="1" customWidth="1"/>
    <col min="14863" max="14863" width="9.140625" style="172" customWidth="1"/>
    <col min="14864" max="14864" width="11.7109375" style="172" customWidth="1"/>
    <col min="14865" max="15108" width="9.140625" style="172"/>
    <col min="15109" max="15109" width="4.85546875" style="172" customWidth="1"/>
    <col min="15110" max="15110" width="2.140625" style="172" customWidth="1"/>
    <col min="15111" max="15111" width="34.7109375" style="172" customWidth="1"/>
    <col min="15112" max="15112" width="16.140625" style="172" customWidth="1"/>
    <col min="15113" max="15113" width="6.7109375" style="172" customWidth="1"/>
    <col min="15114" max="15114" width="44.7109375" style="172" customWidth="1"/>
    <col min="15115" max="15116" width="22.28515625" style="172" customWidth="1"/>
    <col min="15117" max="15118" width="9.140625" style="172" hidden="1" customWidth="1"/>
    <col min="15119" max="15119" width="9.140625" style="172" customWidth="1"/>
    <col min="15120" max="15120" width="11.7109375" style="172" customWidth="1"/>
    <col min="15121" max="15364" width="9.140625" style="172"/>
    <col min="15365" max="15365" width="4.85546875" style="172" customWidth="1"/>
    <col min="15366" max="15366" width="2.140625" style="172" customWidth="1"/>
    <col min="15367" max="15367" width="34.7109375" style="172" customWidth="1"/>
    <col min="15368" max="15368" width="16.140625" style="172" customWidth="1"/>
    <col min="15369" max="15369" width="6.7109375" style="172" customWidth="1"/>
    <col min="15370" max="15370" width="44.7109375" style="172" customWidth="1"/>
    <col min="15371" max="15372" width="22.28515625" style="172" customWidth="1"/>
    <col min="15373" max="15374" width="9.140625" style="172" hidden="1" customWidth="1"/>
    <col min="15375" max="15375" width="9.140625" style="172" customWidth="1"/>
    <col min="15376" max="15376" width="11.7109375" style="172" customWidth="1"/>
    <col min="15377" max="15620" width="9.140625" style="172"/>
    <col min="15621" max="15621" width="4.85546875" style="172" customWidth="1"/>
    <col min="15622" max="15622" width="2.140625" style="172" customWidth="1"/>
    <col min="15623" max="15623" width="34.7109375" style="172" customWidth="1"/>
    <col min="15624" max="15624" width="16.140625" style="172" customWidth="1"/>
    <col min="15625" max="15625" width="6.7109375" style="172" customWidth="1"/>
    <col min="15626" max="15626" width="44.7109375" style="172" customWidth="1"/>
    <col min="15627" max="15628" width="22.28515625" style="172" customWidth="1"/>
    <col min="15629" max="15630" width="9.140625" style="172" hidden="1" customWidth="1"/>
    <col min="15631" max="15631" width="9.140625" style="172" customWidth="1"/>
    <col min="15632" max="15632" width="11.7109375" style="172" customWidth="1"/>
    <col min="15633" max="15876" width="9.140625" style="172"/>
    <col min="15877" max="15877" width="4.85546875" style="172" customWidth="1"/>
    <col min="15878" max="15878" width="2.140625" style="172" customWidth="1"/>
    <col min="15879" max="15879" width="34.7109375" style="172" customWidth="1"/>
    <col min="15880" max="15880" width="16.140625" style="172" customWidth="1"/>
    <col min="15881" max="15881" width="6.7109375" style="172" customWidth="1"/>
    <col min="15882" max="15882" width="44.7109375" style="172" customWidth="1"/>
    <col min="15883" max="15884" width="22.28515625" style="172" customWidth="1"/>
    <col min="15885" max="15886" width="9.140625" style="172" hidden="1" customWidth="1"/>
    <col min="15887" max="15887" width="9.140625" style="172" customWidth="1"/>
    <col min="15888" max="15888" width="11.7109375" style="172" customWidth="1"/>
    <col min="15889" max="16132" width="9.140625" style="172"/>
    <col min="16133" max="16133" width="4.85546875" style="172" customWidth="1"/>
    <col min="16134" max="16134" width="2.140625" style="172" customWidth="1"/>
    <col min="16135" max="16135" width="34.7109375" style="172" customWidth="1"/>
    <col min="16136" max="16136" width="16.140625" style="172" customWidth="1"/>
    <col min="16137" max="16137" width="6.7109375" style="172" customWidth="1"/>
    <col min="16138" max="16138" width="44.7109375" style="172" customWidth="1"/>
    <col min="16139" max="16140" width="22.28515625" style="172" customWidth="1"/>
    <col min="16141" max="16142" width="9.140625" style="172" hidden="1" customWidth="1"/>
    <col min="16143" max="16143" width="9.140625" style="172" customWidth="1"/>
    <col min="16144" max="16144" width="11.7109375" style="172" customWidth="1"/>
    <col min="16145" max="16384" width="9.140625" style="172"/>
  </cols>
  <sheetData>
    <row r="2" spans="2:22" ht="51" customHeight="1">
      <c r="C2" s="1852" t="s">
        <v>95</v>
      </c>
      <c r="D2" s="1852"/>
      <c r="E2" s="1852"/>
      <c r="F2" s="1852"/>
      <c r="G2" s="1852"/>
      <c r="H2" s="1852"/>
      <c r="I2" s="177"/>
      <c r="J2" s="177"/>
      <c r="K2" s="177"/>
      <c r="L2" s="177"/>
      <c r="M2" s="177"/>
      <c r="N2" s="1172"/>
      <c r="S2" s="232" t="s">
        <v>9</v>
      </c>
      <c r="U2" s="233">
        <v>4.657</v>
      </c>
      <c r="V2" s="176" t="s">
        <v>387</v>
      </c>
    </row>
    <row r="3" spans="2:22" ht="34.5" customHeight="1">
      <c r="C3" s="178" t="s">
        <v>388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35" t="s">
        <v>389</v>
      </c>
    </row>
    <row r="4" spans="2:22">
      <c r="B4" s="1853" t="s">
        <v>390</v>
      </c>
      <c r="C4" s="1853"/>
      <c r="D4" s="1853"/>
      <c r="E4" s="1853"/>
      <c r="F4" s="1853"/>
      <c r="G4" s="1853"/>
      <c r="H4" s="176"/>
      <c r="I4" s="176"/>
      <c r="J4" s="176"/>
      <c r="K4" s="176"/>
      <c r="L4" s="176"/>
      <c r="M4" s="176"/>
    </row>
    <row r="5" spans="2:22" ht="103.5" customHeight="1">
      <c r="C5" s="179" t="s">
        <v>391</v>
      </c>
      <c r="D5" s="1854" t="s">
        <v>392</v>
      </c>
      <c r="E5" s="1854"/>
      <c r="F5" s="180" t="s">
        <v>393</v>
      </c>
      <c r="G5" s="181" t="s">
        <v>394</v>
      </c>
      <c r="H5" s="181" t="s">
        <v>395</v>
      </c>
      <c r="I5" s="181" t="s">
        <v>396</v>
      </c>
      <c r="J5" s="181" t="s">
        <v>397</v>
      </c>
      <c r="K5" s="181" t="s">
        <v>398</v>
      </c>
      <c r="L5" s="181" t="s">
        <v>399</v>
      </c>
      <c r="M5" s="181" t="s">
        <v>400</v>
      </c>
      <c r="N5" s="181" t="s">
        <v>401</v>
      </c>
      <c r="P5" s="180" t="s">
        <v>402</v>
      </c>
      <c r="Q5" s="180" t="s">
        <v>403</v>
      </c>
    </row>
    <row r="6" spans="2:22" s="169" customFormat="1" ht="12.75" customHeight="1">
      <c r="C6" s="182">
        <v>1</v>
      </c>
      <c r="D6" s="1855">
        <v>2</v>
      </c>
      <c r="E6" s="1855"/>
      <c r="F6" s="183">
        <v>3</v>
      </c>
      <c r="G6" s="184">
        <v>4</v>
      </c>
      <c r="H6" s="184">
        <v>5</v>
      </c>
      <c r="I6" s="184"/>
      <c r="J6" s="184"/>
      <c r="K6" s="184"/>
      <c r="L6" s="184"/>
      <c r="M6" s="184"/>
      <c r="N6" s="184"/>
      <c r="P6" s="182"/>
      <c r="Q6" s="182"/>
    </row>
    <row r="7" spans="2:22" s="170" customFormat="1" ht="21" customHeight="1">
      <c r="C7" s="1865" t="s">
        <v>404</v>
      </c>
      <c r="D7" s="1856" t="s">
        <v>405</v>
      </c>
      <c r="E7" s="1856"/>
      <c r="F7" s="186" t="s">
        <v>406</v>
      </c>
      <c r="G7" s="187">
        <f>'DEVIZ GENERAL'!D33</f>
        <v>0</v>
      </c>
      <c r="H7" s="1173">
        <f>'DEVIZ GENERAL'!C33</f>
        <v>0</v>
      </c>
      <c r="I7" s="1173"/>
      <c r="J7" s="1173"/>
      <c r="K7" s="1173"/>
      <c r="L7" s="1173"/>
      <c r="M7" s="188">
        <f>'DEVIZ GENERAL'!H33</f>
        <v>0</v>
      </c>
      <c r="N7" s="223">
        <f>'DEVIZ GENERAL'!G33</f>
        <v>0</v>
      </c>
      <c r="P7" s="238">
        <v>14</v>
      </c>
      <c r="Q7" s="238">
        <v>42</v>
      </c>
      <c r="R7" s="239"/>
    </row>
    <row r="8" spans="2:22" s="170" customFormat="1" ht="21" customHeight="1">
      <c r="C8" s="1865"/>
      <c r="D8" s="1856"/>
      <c r="E8" s="1856"/>
      <c r="F8" s="186" t="s">
        <v>126</v>
      </c>
      <c r="G8" s="187">
        <f>'DEVIZ GENERAL'!D34</f>
        <v>0</v>
      </c>
      <c r="H8" s="1173">
        <f>'DEVIZ GENERAL'!C34</f>
        <v>0</v>
      </c>
      <c r="I8" s="1173"/>
      <c r="J8" s="1173"/>
      <c r="K8" s="1173"/>
      <c r="L8" s="1173"/>
      <c r="M8" s="188">
        <f>'DEVIZ GENERAL'!H34</f>
        <v>0</v>
      </c>
      <c r="N8" s="223">
        <f>'DEVIZ GENERAL'!G34</f>
        <v>0</v>
      </c>
      <c r="P8" s="238">
        <v>14</v>
      </c>
      <c r="Q8" s="238">
        <v>48</v>
      </c>
      <c r="R8" s="239"/>
    </row>
    <row r="9" spans="2:22" s="170" customFormat="1" ht="21" customHeight="1">
      <c r="C9" s="1865"/>
      <c r="D9" s="1856"/>
      <c r="E9" s="1856"/>
      <c r="F9" s="186" t="s">
        <v>127</v>
      </c>
      <c r="G9" s="187">
        <f>'DEVIZ GENERAL'!D35</f>
        <v>0</v>
      </c>
      <c r="H9" s="1173">
        <f>'DEVIZ GENERAL'!C35</f>
        <v>0</v>
      </c>
      <c r="I9" s="1173"/>
      <c r="J9" s="1173"/>
      <c r="K9" s="1173"/>
      <c r="L9" s="1173"/>
      <c r="M9" s="188">
        <f>'DEVIZ GENERAL'!H35</f>
        <v>0</v>
      </c>
      <c r="N9" s="223">
        <f>'DEVIZ GENERAL'!G35</f>
        <v>0</v>
      </c>
      <c r="P9" s="238">
        <v>14</v>
      </c>
      <c r="Q9" s="238">
        <v>48</v>
      </c>
      <c r="R9" s="239"/>
    </row>
    <row r="10" spans="2:22" s="170" customFormat="1" ht="21" customHeight="1">
      <c r="C10" s="1865"/>
      <c r="D10" s="1856"/>
      <c r="E10" s="1856"/>
      <c r="F10" s="186" t="s">
        <v>407</v>
      </c>
      <c r="G10" s="187">
        <f>'DEVIZ GENERAL'!D40</f>
        <v>0</v>
      </c>
      <c r="H10" s="1173">
        <f>'DEVIZ GENERAL'!C40</f>
        <v>0</v>
      </c>
      <c r="I10" s="1173"/>
      <c r="J10" s="1173"/>
      <c r="K10" s="1173"/>
      <c r="L10" s="1173"/>
      <c r="M10" s="188">
        <f>'DEVIZ GENERAL'!H40</f>
        <v>0</v>
      </c>
      <c r="N10" s="223">
        <f>'DEVIZ GENERAL'!G40</f>
        <v>0</v>
      </c>
      <c r="P10" s="238">
        <v>14</v>
      </c>
      <c r="Q10" s="238">
        <v>44</v>
      </c>
      <c r="R10" s="239"/>
    </row>
    <row r="11" spans="2:22" s="170" customFormat="1" ht="24.75" customHeight="1">
      <c r="C11" s="1865"/>
      <c r="D11" s="1856"/>
      <c r="E11" s="1856"/>
      <c r="F11" s="189" t="s">
        <v>408</v>
      </c>
      <c r="G11" s="187">
        <f>'DEVIZ GENERAL'!D41</f>
        <v>0</v>
      </c>
      <c r="H11" s="1173">
        <f>'DEVIZ GENERAL'!C41</f>
        <v>0</v>
      </c>
      <c r="I11" s="1173"/>
      <c r="J11" s="1173"/>
      <c r="K11" s="1173"/>
      <c r="L11" s="1173"/>
      <c r="M11" s="188">
        <f>'DEVIZ GENERAL'!H41</f>
        <v>0</v>
      </c>
      <c r="N11" s="223">
        <f>'DEVIZ GENERAL'!G41</f>
        <v>0</v>
      </c>
      <c r="P11" s="238">
        <v>14</v>
      </c>
      <c r="Q11" s="238">
        <v>44</v>
      </c>
    </row>
    <row r="12" spans="2:22" s="170" customFormat="1" ht="24.75" customHeight="1">
      <c r="C12" s="1865"/>
      <c r="D12" s="1856"/>
      <c r="E12" s="1856"/>
      <c r="F12" s="189" t="s">
        <v>409</v>
      </c>
      <c r="G12" s="187">
        <f>'DEVIZ GENERAL'!D42</f>
        <v>876527</v>
      </c>
      <c r="H12" s="188">
        <f>'DEVIZ GENERAL'!C42</f>
        <v>4361423</v>
      </c>
      <c r="I12" s="188">
        <f>G12</f>
        <v>876527</v>
      </c>
      <c r="J12" s="188">
        <f>H12</f>
        <v>4361423</v>
      </c>
      <c r="K12" s="188">
        <v>0</v>
      </c>
      <c r="L12" s="188">
        <v>0</v>
      </c>
      <c r="M12" s="188">
        <f>'DEVIZ GENERAL'!H42</f>
        <v>1043067.0599999999</v>
      </c>
      <c r="N12" s="223">
        <f>'DEVIZ GENERAL'!G42</f>
        <v>5190093</v>
      </c>
      <c r="P12" s="238">
        <v>14</v>
      </c>
      <c r="Q12" s="238">
        <v>44</v>
      </c>
    </row>
    <row r="13" spans="2:22" s="170" customFormat="1" ht="24.75" customHeight="1">
      <c r="C13" s="1865"/>
      <c r="D13" s="1856"/>
      <c r="E13" s="1856"/>
      <c r="F13" s="190" t="s">
        <v>410</v>
      </c>
      <c r="G13" s="187">
        <f>'DEVIZ GENERAL'!D56</f>
        <v>0</v>
      </c>
      <c r="H13" s="188">
        <f>'DEVIZ GENERAL'!C56</f>
        <v>0</v>
      </c>
      <c r="I13" s="188">
        <f>G13</f>
        <v>0</v>
      </c>
      <c r="J13" s="188">
        <f>H13</f>
        <v>0</v>
      </c>
      <c r="K13" s="188"/>
      <c r="L13" s="188"/>
      <c r="M13" s="188">
        <f>'DEVIZ GENERAL'!H56</f>
        <v>0</v>
      </c>
      <c r="N13" s="223">
        <f>'DEVIZ GENERAL'!G56</f>
        <v>0</v>
      </c>
      <c r="P13" s="238">
        <v>14</v>
      </c>
      <c r="Q13" s="238">
        <v>47</v>
      </c>
    </row>
    <row r="14" spans="2:22" s="170" customFormat="1" ht="47.25" customHeight="1">
      <c r="C14" s="1865"/>
      <c r="D14" s="1856"/>
      <c r="E14" s="1856"/>
      <c r="F14" s="191" t="s">
        <v>411</v>
      </c>
      <c r="G14" s="192">
        <f>SUM(G7:G13)</f>
        <v>876527</v>
      </c>
      <c r="H14" s="192">
        <f>SUM(H7:H13)</f>
        <v>4361423</v>
      </c>
      <c r="I14" s="192">
        <f t="shared" ref="I14:N14" si="0">SUM(I7:I13)</f>
        <v>876527</v>
      </c>
      <c r="J14" s="192">
        <f t="shared" si="0"/>
        <v>4361423</v>
      </c>
      <c r="K14" s="192">
        <f t="shared" si="0"/>
        <v>0</v>
      </c>
      <c r="L14" s="192">
        <f t="shared" si="0"/>
        <v>0</v>
      </c>
      <c r="M14" s="192">
        <f t="shared" si="0"/>
        <v>1043067.0599999999</v>
      </c>
      <c r="N14" s="192">
        <f t="shared" si="0"/>
        <v>5190093</v>
      </c>
      <c r="P14" s="242"/>
      <c r="Q14" s="242"/>
    </row>
    <row r="15" spans="2:22" s="170" customFormat="1" ht="39" customHeight="1">
      <c r="C15" s="185" t="s">
        <v>412</v>
      </c>
      <c r="D15" s="1856" t="s">
        <v>413</v>
      </c>
      <c r="E15" s="1856"/>
      <c r="F15" s="191" t="s">
        <v>414</v>
      </c>
      <c r="G15" s="192">
        <f>'DEVIZ GENERAL'!D13</f>
        <v>0</v>
      </c>
      <c r="H15" s="192">
        <f>'DEVIZ GENERAL'!C13</f>
        <v>0</v>
      </c>
      <c r="I15" s="192"/>
      <c r="J15" s="192"/>
      <c r="K15" s="192"/>
      <c r="L15" s="192"/>
      <c r="M15" s="192">
        <f>'DEVIZ GENERAL'!H13</f>
        <v>0</v>
      </c>
      <c r="N15" s="224">
        <f>'DEVIZ GENERAL'!G13</f>
        <v>0</v>
      </c>
      <c r="P15" s="238">
        <v>12</v>
      </c>
      <c r="Q15" s="243">
        <v>34</v>
      </c>
      <c r="R15" s="244"/>
    </row>
    <row r="16" spans="2:22" s="170" customFormat="1" ht="27" customHeight="1">
      <c r="C16" s="1866" t="s">
        <v>415</v>
      </c>
      <c r="D16" s="1856" t="s">
        <v>416</v>
      </c>
      <c r="E16" s="1856"/>
      <c r="F16" s="194" t="s">
        <v>417</v>
      </c>
      <c r="G16" s="188">
        <f>'DEVIZ GENERAL'!D16</f>
        <v>0</v>
      </c>
      <c r="H16" s="188">
        <f>'DEVIZ GENERAL'!C16</f>
        <v>0</v>
      </c>
      <c r="I16" s="188"/>
      <c r="J16" s="188"/>
      <c r="K16" s="188"/>
      <c r="L16" s="188"/>
      <c r="M16" s="188">
        <f>'DEVIZ GENERAL'!H16</f>
        <v>0</v>
      </c>
      <c r="N16" s="223">
        <f>'DEVIZ GENERAL'!G16</f>
        <v>0</v>
      </c>
      <c r="P16" s="238">
        <v>12</v>
      </c>
      <c r="Q16" s="238">
        <v>38</v>
      </c>
    </row>
    <row r="17" spans="3:17" s="170" customFormat="1" ht="32.25" customHeight="1">
      <c r="C17" s="1866"/>
      <c r="D17" s="1856"/>
      <c r="E17" s="1856"/>
      <c r="F17" s="194" t="s">
        <v>418</v>
      </c>
      <c r="G17" s="188">
        <f>'DEVIZ GENERAL'!D19</f>
        <v>1468614.49</v>
      </c>
      <c r="H17" s="188">
        <f>'DEVIZ GENERAL'!C19</f>
        <v>7307532</v>
      </c>
      <c r="I17" s="188">
        <f>G17</f>
        <v>1468614.49</v>
      </c>
      <c r="J17" s="188">
        <f>H17</f>
        <v>7307532</v>
      </c>
      <c r="K17" s="188">
        <v>0</v>
      </c>
      <c r="L17" s="188">
        <v>0</v>
      </c>
      <c r="M17" s="188">
        <f>'DEVIZ GENERAL'!H19</f>
        <v>1747651.23</v>
      </c>
      <c r="N17" s="223">
        <f>'DEVIZ GENERAL'!G19</f>
        <v>8695963</v>
      </c>
      <c r="P17" s="238">
        <v>12</v>
      </c>
      <c r="Q17" s="238">
        <v>39</v>
      </c>
    </row>
    <row r="18" spans="3:17" s="170" customFormat="1" ht="32.25" customHeight="1">
      <c r="C18" s="1866"/>
      <c r="D18" s="1856"/>
      <c r="E18" s="1856"/>
      <c r="F18" s="194" t="s">
        <v>419</v>
      </c>
      <c r="G18" s="188">
        <f>'DEVIZ GENERAL'!D22</f>
        <v>0</v>
      </c>
      <c r="H18" s="188">
        <f>'DEVIZ GENERAL'!C22</f>
        <v>0</v>
      </c>
      <c r="I18" s="188"/>
      <c r="J18" s="188"/>
      <c r="K18" s="188"/>
      <c r="L18" s="188"/>
      <c r="M18" s="188">
        <f>'DEVIZ GENERAL'!H22</f>
        <v>0</v>
      </c>
      <c r="N18" s="223">
        <f>'DEVIZ GENERAL'!G22</f>
        <v>0</v>
      </c>
      <c r="P18" s="238"/>
      <c r="Q18" s="238"/>
    </row>
    <row r="19" spans="3:17" s="170" customFormat="1" ht="27.75" customHeight="1">
      <c r="C19" s="1866"/>
      <c r="D19" s="1856"/>
      <c r="E19" s="1856"/>
      <c r="F19" s="195" t="s">
        <v>420</v>
      </c>
      <c r="G19" s="188">
        <f>'DEVIZ GENERAL'!D30</f>
        <v>772866.17</v>
      </c>
      <c r="H19" s="188">
        <f>'DEVIZ GENERAL'!C30</f>
        <v>3845627.5</v>
      </c>
      <c r="I19" s="188">
        <f t="shared" ref="I19:J24" si="1">G19</f>
        <v>772866.17</v>
      </c>
      <c r="J19" s="188">
        <f t="shared" si="1"/>
        <v>3845627.5</v>
      </c>
      <c r="K19" s="188">
        <v>0</v>
      </c>
      <c r="L19" s="188">
        <v>0</v>
      </c>
      <c r="M19" s="188">
        <f>'DEVIZ GENERAL'!H30</f>
        <v>919710.70000000007</v>
      </c>
      <c r="N19" s="223">
        <f>'DEVIZ GENERAL'!G30</f>
        <v>4576296.5</v>
      </c>
      <c r="P19" s="238">
        <v>13</v>
      </c>
      <c r="Q19" s="238">
        <v>40</v>
      </c>
    </row>
    <row r="20" spans="3:17" s="170" customFormat="1" ht="22.5" customHeight="1">
      <c r="C20" s="1866"/>
      <c r="D20" s="1856"/>
      <c r="E20" s="1856"/>
      <c r="F20" s="194" t="s">
        <v>421</v>
      </c>
      <c r="G20" s="188">
        <f>'DEVIZ GENERAL'!D82</f>
        <v>23540520.460000001</v>
      </c>
      <c r="H20" s="188">
        <f>'DEVIZ GENERAL'!C82</f>
        <v>117132921.765</v>
      </c>
      <c r="I20" s="188">
        <f t="shared" si="1"/>
        <v>23540520.460000001</v>
      </c>
      <c r="J20" s="188">
        <f t="shared" si="1"/>
        <v>117132921.765</v>
      </c>
      <c r="K20" s="188">
        <v>0</v>
      </c>
      <c r="L20" s="188">
        <v>0</v>
      </c>
      <c r="M20" s="188">
        <f>'DEVIZ GENERAL'!H82</f>
        <v>28013219.350000001</v>
      </c>
      <c r="N20" s="223">
        <f>'DEVIZ GENERAL'!G82</f>
        <v>139388176.92500001</v>
      </c>
      <c r="P20" s="238">
        <v>15</v>
      </c>
      <c r="Q20" s="238">
        <v>53</v>
      </c>
    </row>
    <row r="21" spans="3:17" s="170" customFormat="1" ht="33" customHeight="1">
      <c r="C21" s="1866"/>
      <c r="D21" s="1856"/>
      <c r="E21" s="1856"/>
      <c r="F21" s="194" t="s">
        <v>422</v>
      </c>
      <c r="G21" s="188">
        <f>'DEVIZ GENERAL'!D115</f>
        <v>592242.44999999995</v>
      </c>
      <c r="H21" s="188">
        <f>'DEVIZ GENERAL'!C115</f>
        <v>2946880</v>
      </c>
      <c r="I21" s="188">
        <f t="shared" si="1"/>
        <v>592242.44999999995</v>
      </c>
      <c r="J21" s="188">
        <f t="shared" si="1"/>
        <v>2946880</v>
      </c>
      <c r="K21" s="188">
        <v>0</v>
      </c>
      <c r="L21" s="188">
        <v>0</v>
      </c>
      <c r="M21" s="188">
        <f>'DEVIZ GENERAL'!H115</f>
        <v>704768.48</v>
      </c>
      <c r="N21" s="223">
        <f>'DEVIZ GENERAL'!G115</f>
        <v>3506787</v>
      </c>
      <c r="P21" s="238">
        <v>16</v>
      </c>
      <c r="Q21" s="238">
        <v>57</v>
      </c>
    </row>
    <row r="22" spans="3:17" s="170" customFormat="1" ht="36" customHeight="1">
      <c r="C22" s="1866"/>
      <c r="D22" s="1856"/>
      <c r="E22" s="1856"/>
      <c r="F22" s="194" t="s">
        <v>423</v>
      </c>
      <c r="G22" s="188">
        <f>'DEVIZ GENERAL'!D119</f>
        <v>148060.60999999999</v>
      </c>
      <c r="H22" s="188">
        <f>'DEVIZ GENERAL'!C119</f>
        <v>736720</v>
      </c>
      <c r="I22" s="188">
        <f t="shared" si="1"/>
        <v>148060.60999999999</v>
      </c>
      <c r="J22" s="188">
        <f t="shared" si="1"/>
        <v>736720</v>
      </c>
      <c r="K22" s="188">
        <v>0</v>
      </c>
      <c r="L22" s="188">
        <v>0</v>
      </c>
      <c r="M22" s="188">
        <f>'DEVIZ GENERAL'!H119</f>
        <v>176192.16999999998</v>
      </c>
      <c r="N22" s="223">
        <f>'DEVIZ GENERAL'!G119</f>
        <v>876697</v>
      </c>
      <c r="P22" s="238">
        <v>16</v>
      </c>
      <c r="Q22" s="238">
        <v>58</v>
      </c>
    </row>
    <row r="23" spans="3:17" s="170" customFormat="1" ht="32.25" customHeight="1">
      <c r="C23" s="1866"/>
      <c r="D23" s="1856"/>
      <c r="E23" s="1856"/>
      <c r="F23" s="194" t="s">
        <v>424</v>
      </c>
      <c r="G23" s="188">
        <f>'DEVIZ GENERAL'!D145</f>
        <v>1355073.36</v>
      </c>
      <c r="H23" s="188">
        <f>'DEVIZ GENERAL'!C145</f>
        <v>6742574</v>
      </c>
      <c r="I23" s="188">
        <f t="shared" si="1"/>
        <v>1355073.36</v>
      </c>
      <c r="J23" s="188">
        <f t="shared" si="1"/>
        <v>6742574</v>
      </c>
      <c r="K23" s="188">
        <v>0</v>
      </c>
      <c r="L23" s="188">
        <v>0</v>
      </c>
      <c r="M23" s="188">
        <f>'DEVIZ GENERAL'!H145</f>
        <v>1612537.29</v>
      </c>
      <c r="N23" s="223">
        <f>'DEVIZ GENERAL'!G145</f>
        <v>8023663</v>
      </c>
      <c r="P23" s="238">
        <v>19</v>
      </c>
      <c r="Q23" s="238">
        <v>61</v>
      </c>
    </row>
    <row r="24" spans="3:17" s="170" customFormat="1" ht="33.75" customHeight="1">
      <c r="C24" s="1866"/>
      <c r="D24" s="1856"/>
      <c r="E24" s="1856"/>
      <c r="F24" s="194" t="s">
        <v>425</v>
      </c>
      <c r="G24" s="188">
        <f>'DEVIZ GENERAL'!D148</f>
        <v>2710146.51</v>
      </c>
      <c r="H24" s="188">
        <f>'DEVIZ GENERAL'!C148</f>
        <v>13485147</v>
      </c>
      <c r="I24" s="188">
        <f t="shared" si="1"/>
        <v>2710146.51</v>
      </c>
      <c r="J24" s="188">
        <f t="shared" si="1"/>
        <v>13485147</v>
      </c>
      <c r="K24" s="188">
        <v>0</v>
      </c>
      <c r="L24" s="188">
        <v>0</v>
      </c>
      <c r="M24" s="188">
        <f>'DEVIZ GENERAL'!H148</f>
        <v>3225074.36</v>
      </c>
      <c r="N24" s="223">
        <f>'DEVIZ GENERAL'!G148</f>
        <v>16047325</v>
      </c>
      <c r="P24" s="238">
        <v>19</v>
      </c>
      <c r="Q24" s="238">
        <v>62</v>
      </c>
    </row>
    <row r="25" spans="3:17" s="170" customFormat="1" ht="31.5" customHeight="1">
      <c r="C25" s="1866"/>
      <c r="D25" s="1856"/>
      <c r="E25" s="1856"/>
      <c r="F25" s="191" t="s">
        <v>426</v>
      </c>
      <c r="G25" s="192">
        <f>SUM(G16:G24)</f>
        <v>30587524.049999997</v>
      </c>
      <c r="H25" s="192">
        <f>SUM(H16:H24)</f>
        <v>152197402.26499999</v>
      </c>
      <c r="I25" s="192">
        <f t="shared" ref="I25:N25" si="2">SUM(I16:I24)</f>
        <v>30587524.049999997</v>
      </c>
      <c r="J25" s="192">
        <f t="shared" si="2"/>
        <v>152197402.26499999</v>
      </c>
      <c r="K25" s="192">
        <f t="shared" si="2"/>
        <v>0</v>
      </c>
      <c r="L25" s="192">
        <f t="shared" si="2"/>
        <v>0</v>
      </c>
      <c r="M25" s="192">
        <f t="shared" si="2"/>
        <v>36399153.580000006</v>
      </c>
      <c r="N25" s="192">
        <f t="shared" si="2"/>
        <v>181114908.42500001</v>
      </c>
      <c r="P25" s="245"/>
      <c r="Q25" s="245"/>
    </row>
    <row r="26" spans="3:17" s="170" customFormat="1" ht="22.5" customHeight="1">
      <c r="C26" s="1866" t="s">
        <v>427</v>
      </c>
      <c r="D26" s="1856" t="s">
        <v>428</v>
      </c>
      <c r="E26" s="1856"/>
      <c r="F26" s="196" t="s">
        <v>429</v>
      </c>
      <c r="G26" s="188">
        <f>'DEVIZ GENERAL'!D87</f>
        <v>3830118.14</v>
      </c>
      <c r="H26" s="188">
        <f>'DEVIZ GENERAL'!C87</f>
        <v>19057901.760000002</v>
      </c>
      <c r="I26" s="188">
        <f>G26</f>
        <v>3830118.14</v>
      </c>
      <c r="J26" s="188">
        <f>H26</f>
        <v>19057901.760000002</v>
      </c>
      <c r="K26" s="188">
        <v>0</v>
      </c>
      <c r="L26" s="188">
        <v>0</v>
      </c>
      <c r="M26" s="188">
        <f>'DEVIZ GENERAL'!H87</f>
        <v>4557840.57</v>
      </c>
      <c r="N26" s="223">
        <f>'DEVIZ GENERAL'!G87</f>
        <v>22678903.100000001</v>
      </c>
      <c r="P26" s="238">
        <v>15</v>
      </c>
      <c r="Q26" s="238">
        <v>53</v>
      </c>
    </row>
    <row r="27" spans="3:17" s="170" customFormat="1" ht="30.75" customHeight="1">
      <c r="C27" s="1866"/>
      <c r="D27" s="1856"/>
      <c r="E27" s="1856"/>
      <c r="F27" s="197" t="s">
        <v>430</v>
      </c>
      <c r="G27" s="188">
        <f>'DEVIZ GENERAL'!D92</f>
        <v>33876832.329999998</v>
      </c>
      <c r="H27" s="188">
        <f>'DEVIZ GENERAL'!C92</f>
        <v>168564342.40000001</v>
      </c>
      <c r="I27" s="188">
        <f>G27</f>
        <v>33876832.329999998</v>
      </c>
      <c r="J27" s="188">
        <f>H27</f>
        <v>168564342.40000001</v>
      </c>
      <c r="K27" s="1176" t="s">
        <v>9</v>
      </c>
      <c r="L27" s="188">
        <v>0</v>
      </c>
      <c r="M27" s="188">
        <f>'DEVIZ GENERAL'!H92</f>
        <v>40313430.490000002</v>
      </c>
      <c r="N27" s="223">
        <f>'DEVIZ GENERAL'!G92</f>
        <v>200591567.47</v>
      </c>
      <c r="P27" s="238">
        <v>15</v>
      </c>
      <c r="Q27" s="238">
        <v>54</v>
      </c>
    </row>
    <row r="28" spans="3:17" s="170" customFormat="1" ht="18.75" customHeight="1">
      <c r="C28" s="1866"/>
      <c r="D28" s="1856"/>
      <c r="E28" s="1856"/>
      <c r="F28" s="196" t="s">
        <v>431</v>
      </c>
      <c r="G28" s="188">
        <f>'DEVIZ GENERAL'!D100</f>
        <v>2467551.1</v>
      </c>
      <c r="H28" s="188">
        <f>'DEVIZ GENERAL'!C100</f>
        <v>12278040.800000001</v>
      </c>
      <c r="I28" s="188">
        <f>G28-K28</f>
        <v>2467551.1</v>
      </c>
      <c r="J28" s="188">
        <f>H28-L28</f>
        <v>12278040.800000001</v>
      </c>
      <c r="K28" s="188">
        <f>'DEVIZ GENERAL'!D97</f>
        <v>0</v>
      </c>
      <c r="L28" s="188">
        <f>'DEVIZ GENERAL'!C97</f>
        <v>0</v>
      </c>
      <c r="M28" s="188">
        <f>'DEVIZ GENERAL'!H100</f>
        <v>2936385.81</v>
      </c>
      <c r="N28" s="223">
        <f>'DEVIZ GENERAL'!G100</f>
        <v>14610868.560000001</v>
      </c>
      <c r="P28" s="238">
        <v>15</v>
      </c>
      <c r="Q28" s="238">
        <v>54</v>
      </c>
    </row>
    <row r="29" spans="3:17" s="170" customFormat="1" ht="18.75" customHeight="1">
      <c r="C29" s="1866"/>
      <c r="D29" s="1856"/>
      <c r="E29" s="1856"/>
      <c r="F29" s="196" t="s">
        <v>432</v>
      </c>
      <c r="G29" s="188">
        <f>'DEVIZ GENERAL'!D106</f>
        <v>9119407.7899999991</v>
      </c>
      <c r="H29" s="188">
        <f>'DEVIZ GENERAL'!C106</f>
        <v>45376349.260000005</v>
      </c>
      <c r="I29" s="188">
        <f>G29-K29</f>
        <v>5539533.3699999992</v>
      </c>
      <c r="J29" s="188">
        <f>H29-L29</f>
        <v>27563610.100000005</v>
      </c>
      <c r="K29" s="188">
        <f>'DEVIZ GENERAL'!D105</f>
        <v>3579874.42</v>
      </c>
      <c r="L29" s="188">
        <f>'DEVIZ GENERAL'!C105</f>
        <v>17812739.16</v>
      </c>
      <c r="M29" s="188">
        <f>'DEVIZ GENERAL'!H106</f>
        <v>10852095.260520119</v>
      </c>
      <c r="N29" s="223">
        <f>'DEVIZ GENERAL'!G106</f>
        <v>53997855.620000005</v>
      </c>
      <c r="P29" s="238">
        <v>15</v>
      </c>
      <c r="Q29" s="238">
        <v>54</v>
      </c>
    </row>
    <row r="30" spans="3:17" s="170" customFormat="1" ht="18.75" customHeight="1">
      <c r="C30" s="1866"/>
      <c r="D30" s="1856"/>
      <c r="E30" s="1856"/>
      <c r="F30" s="196" t="s">
        <v>433</v>
      </c>
      <c r="G30" s="188">
        <f>'DEVIZ GENERAL'!D110</f>
        <v>0</v>
      </c>
      <c r="H30" s="188">
        <f>'DEVIZ GENERAL'!C110</f>
        <v>0</v>
      </c>
      <c r="I30" s="188">
        <v>0</v>
      </c>
      <c r="J30" s="188">
        <v>0</v>
      </c>
      <c r="K30" s="188">
        <f>G30</f>
        <v>0</v>
      </c>
      <c r="L30" s="188">
        <f>H30</f>
        <v>0</v>
      </c>
      <c r="M30" s="188">
        <f>'DEVIZ GENERAL'!H110</f>
        <v>0</v>
      </c>
      <c r="N30" s="223">
        <f>'DEVIZ GENERAL'!G110</f>
        <v>0</v>
      </c>
      <c r="P30" s="238">
        <v>15</v>
      </c>
      <c r="Q30" s="238">
        <v>55</v>
      </c>
    </row>
    <row r="31" spans="3:17" s="170" customFormat="1" ht="18.75" customHeight="1">
      <c r="C31" s="1866"/>
      <c r="D31" s="1856"/>
      <c r="E31" s="1856"/>
      <c r="F31" s="191" t="s">
        <v>434</v>
      </c>
      <c r="G31" s="192">
        <f>SUM(G26:G30)</f>
        <v>49293909.359999999</v>
      </c>
      <c r="H31" s="192">
        <f>SUM(H26:H30)</f>
        <v>245276634.22000003</v>
      </c>
      <c r="I31" s="192">
        <f t="shared" ref="I31:N31" si="3">SUM(I26:I30)</f>
        <v>45714034.939999998</v>
      </c>
      <c r="J31" s="192">
        <f t="shared" si="3"/>
        <v>227463895.06</v>
      </c>
      <c r="K31" s="192">
        <f t="shared" si="3"/>
        <v>3579874.42</v>
      </c>
      <c r="L31" s="192">
        <f t="shared" si="3"/>
        <v>17812739.16</v>
      </c>
      <c r="M31" s="192">
        <f t="shared" si="3"/>
        <v>58659752.13052012</v>
      </c>
      <c r="N31" s="192">
        <f t="shared" si="3"/>
        <v>291879194.75</v>
      </c>
      <c r="P31" s="245"/>
      <c r="Q31" s="245"/>
    </row>
    <row r="32" spans="3:17" s="170" customFormat="1" ht="36" customHeight="1">
      <c r="C32" s="185" t="s">
        <v>197</v>
      </c>
      <c r="D32" s="1857" t="s">
        <v>435</v>
      </c>
      <c r="E32" s="1857"/>
      <c r="F32" s="191" t="s">
        <v>436</v>
      </c>
      <c r="G32" s="188">
        <f>'DEVIZ GENERAL'!D137</f>
        <v>7796149.9699999997</v>
      </c>
      <c r="H32" s="188">
        <f>'DEVIZ GENERAL'!C137</f>
        <v>38792083</v>
      </c>
      <c r="I32" s="188">
        <f>G32</f>
        <v>7796149.9699999997</v>
      </c>
      <c r="J32" s="188">
        <f>H32</f>
        <v>38792083</v>
      </c>
      <c r="K32" s="188">
        <v>0</v>
      </c>
      <c r="L32" s="188">
        <v>0</v>
      </c>
      <c r="M32" s="188">
        <f>'DEVIZ GENERAL'!H137</f>
        <v>9277418.5099999998</v>
      </c>
      <c r="N32" s="223">
        <f>'DEVIZ GENERAL'!G137</f>
        <v>46162579</v>
      </c>
      <c r="P32" s="238">
        <v>18</v>
      </c>
      <c r="Q32" s="238">
        <v>60</v>
      </c>
    </row>
    <row r="33" spans="2:18" s="170" customFormat="1" ht="45" customHeight="1">
      <c r="C33" s="193" t="s">
        <v>437</v>
      </c>
      <c r="D33" s="1857" t="s">
        <v>438</v>
      </c>
      <c r="E33" s="1857"/>
      <c r="F33" s="201" t="s">
        <v>439</v>
      </c>
      <c r="G33" s="202"/>
      <c r="H33" s="202"/>
      <c r="I33" s="202"/>
      <c r="J33" s="202"/>
      <c r="K33" s="202"/>
      <c r="L33" s="202"/>
      <c r="M33" s="202"/>
      <c r="N33" s="202"/>
      <c r="P33" s="240"/>
      <c r="Q33" s="240"/>
    </row>
    <row r="34" spans="2:18" s="170" customFormat="1" ht="45" customHeight="1">
      <c r="C34" s="1867" t="s">
        <v>440</v>
      </c>
      <c r="D34" s="1874" t="s">
        <v>441</v>
      </c>
      <c r="E34" s="1875"/>
      <c r="F34" s="199" t="s">
        <v>87</v>
      </c>
      <c r="G34" s="188">
        <f>'DEVIZ GENERAL'!D141</f>
        <v>100000</v>
      </c>
      <c r="H34" s="188">
        <f>'DEVIZ GENERAL'!C141</f>
        <v>497580</v>
      </c>
      <c r="I34" s="188">
        <f>G34</f>
        <v>100000</v>
      </c>
      <c r="J34" s="188">
        <f>H34</f>
        <v>497580</v>
      </c>
      <c r="K34" s="188">
        <f>G34-I34</f>
        <v>0</v>
      </c>
      <c r="L34" s="188">
        <f>H34-J34</f>
        <v>0</v>
      </c>
      <c r="M34" s="188">
        <f>'DEVIZ GENERAL'!H141</f>
        <v>118999.95999999999</v>
      </c>
      <c r="N34" s="223">
        <f>'DEVIZ GENERAL'!G141</f>
        <v>592120</v>
      </c>
      <c r="P34" s="238">
        <v>8</v>
      </c>
      <c r="Q34" s="238">
        <v>17</v>
      </c>
    </row>
    <row r="35" spans="2:18" s="170" customFormat="1" ht="45" customHeight="1">
      <c r="C35" s="1868"/>
      <c r="D35" s="1876"/>
      <c r="E35" s="1877"/>
      <c r="F35" s="199" t="s">
        <v>89</v>
      </c>
      <c r="G35" s="188">
        <f>'DEVIZ GENERAL'!D142</f>
        <v>243558.02</v>
      </c>
      <c r="H35" s="188">
        <f>'DEVIZ GENERAL'!C142</f>
        <v>1211896</v>
      </c>
      <c r="I35" s="188">
        <f>G35</f>
        <v>243558.02</v>
      </c>
      <c r="J35" s="188">
        <f>H35</f>
        <v>1211896</v>
      </c>
      <c r="K35" s="188">
        <f>G35-I35</f>
        <v>0</v>
      </c>
      <c r="L35" s="188">
        <f>H35-J35</f>
        <v>0</v>
      </c>
      <c r="M35" s="188">
        <f>'DEVIZ GENERAL'!H142</f>
        <v>289834</v>
      </c>
      <c r="N35" s="223">
        <f>'DEVIZ GENERAL'!G142</f>
        <v>1442156</v>
      </c>
      <c r="P35" s="238">
        <v>8</v>
      </c>
      <c r="Q35" s="238">
        <v>18</v>
      </c>
    </row>
    <row r="36" spans="2:18" s="170" customFormat="1" ht="45" customHeight="1">
      <c r="C36" s="1869"/>
      <c r="D36" s="1878"/>
      <c r="E36" s="1879"/>
      <c r="F36" s="191" t="s">
        <v>442</v>
      </c>
      <c r="G36" s="192">
        <f>G34+G35</f>
        <v>343558.02</v>
      </c>
      <c r="H36" s="192">
        <f>H34+H35</f>
        <v>1709476</v>
      </c>
      <c r="I36" s="192">
        <f t="shared" ref="I36:N36" si="4">I34+I35</f>
        <v>343558.02</v>
      </c>
      <c r="J36" s="192">
        <f t="shared" si="4"/>
        <v>1709476</v>
      </c>
      <c r="K36" s="192">
        <f t="shared" si="4"/>
        <v>0</v>
      </c>
      <c r="L36" s="192">
        <f t="shared" si="4"/>
        <v>0</v>
      </c>
      <c r="M36" s="192">
        <f t="shared" si="4"/>
        <v>408833.95999999996</v>
      </c>
      <c r="N36" s="192">
        <f t="shared" si="4"/>
        <v>2034276</v>
      </c>
      <c r="P36" s="238" t="s">
        <v>9</v>
      </c>
      <c r="Q36" s="238" t="s">
        <v>9</v>
      </c>
    </row>
    <row r="37" spans="2:18" s="170" customFormat="1" ht="45" customHeight="1">
      <c r="C37" s="1870" t="s">
        <v>443</v>
      </c>
      <c r="D37" s="1857" t="s">
        <v>444</v>
      </c>
      <c r="E37" s="1857"/>
      <c r="F37" s="200" t="s">
        <v>445</v>
      </c>
      <c r="G37" s="188">
        <f>'DEVIZ GENERAL'!D63</f>
        <v>12600.18</v>
      </c>
      <c r="H37" s="188">
        <f>'DEVIZ GENERAL'!C63</f>
        <v>62696</v>
      </c>
      <c r="I37" s="188">
        <f>G37</f>
        <v>12600.18</v>
      </c>
      <c r="J37" s="188">
        <f>H37</f>
        <v>62696</v>
      </c>
      <c r="K37" s="188">
        <f>G37-I37</f>
        <v>0</v>
      </c>
      <c r="L37" s="188">
        <f>H37-J37</f>
        <v>0</v>
      </c>
      <c r="M37" s="188">
        <f>'DEVIZ GENERAL'!H63</f>
        <v>14994.16</v>
      </c>
      <c r="N37" s="223">
        <f>'DEVIZ GENERAL'!G63</f>
        <v>74608</v>
      </c>
      <c r="P37" s="238">
        <v>14</v>
      </c>
      <c r="Q37" s="238">
        <v>50</v>
      </c>
    </row>
    <row r="38" spans="2:18" s="170" customFormat="1" ht="45" customHeight="1">
      <c r="C38" s="1870"/>
      <c r="D38" s="1857"/>
      <c r="E38" s="1857"/>
      <c r="F38" s="198" t="s">
        <v>446</v>
      </c>
      <c r="G38" s="188">
        <f>'DEVIZ GENERAL'!D70</f>
        <v>1996462.28</v>
      </c>
      <c r="H38" s="188">
        <f>'DEVIZ GENERAL'!C70</f>
        <v>9933997</v>
      </c>
      <c r="I38" s="188">
        <f>G38</f>
        <v>1996462.28</v>
      </c>
      <c r="J38" s="188">
        <f>H38</f>
        <v>9933997</v>
      </c>
      <c r="K38" s="188">
        <v>0</v>
      </c>
      <c r="L38" s="188">
        <v>0</v>
      </c>
      <c r="M38" s="188">
        <f>'DEVIZ GENERAL'!H70</f>
        <v>2375790.0300000003</v>
      </c>
      <c r="N38" s="223">
        <f>'DEVIZ GENERAL'!G70</f>
        <v>11821456</v>
      </c>
      <c r="P38" s="238">
        <v>14</v>
      </c>
      <c r="Q38" s="238">
        <v>51</v>
      </c>
    </row>
    <row r="39" spans="2:18" s="170" customFormat="1" ht="45" customHeight="1">
      <c r="C39" s="1870"/>
      <c r="D39" s="1857"/>
      <c r="E39" s="1857"/>
      <c r="F39" s="191" t="s">
        <v>447</v>
      </c>
      <c r="G39" s="192">
        <f>+G38+G37</f>
        <v>2009062.46</v>
      </c>
      <c r="H39" s="192">
        <f>+H38+H37</f>
        <v>9996693</v>
      </c>
      <c r="I39" s="192">
        <f t="shared" ref="I39:N39" si="5">+I38+I37</f>
        <v>2009062.46</v>
      </c>
      <c r="J39" s="192">
        <f t="shared" si="5"/>
        <v>9996693</v>
      </c>
      <c r="K39" s="192">
        <f t="shared" si="5"/>
        <v>0</v>
      </c>
      <c r="L39" s="192">
        <f t="shared" si="5"/>
        <v>0</v>
      </c>
      <c r="M39" s="192">
        <f t="shared" si="5"/>
        <v>2390784.1900000004</v>
      </c>
      <c r="N39" s="192">
        <f t="shared" si="5"/>
        <v>11896064</v>
      </c>
      <c r="P39" s="240"/>
      <c r="Q39" s="240"/>
    </row>
    <row r="40" spans="2:18" s="170" customFormat="1" ht="45" customHeight="1">
      <c r="C40" s="1871" t="s">
        <v>448</v>
      </c>
      <c r="D40" s="1874" t="s">
        <v>449</v>
      </c>
      <c r="E40" s="1875"/>
      <c r="F40" s="201" t="s">
        <v>450</v>
      </c>
      <c r="G40" s="188">
        <f>'DEVIZ GENERAL'!D39</f>
        <v>361991.44</v>
      </c>
      <c r="H40" s="188">
        <f>'DEVIZ GENERAL'!C39</f>
        <v>1801197</v>
      </c>
      <c r="I40" s="188">
        <f t="shared" ref="I40:J45" si="6">G40</f>
        <v>361991.44</v>
      </c>
      <c r="J40" s="188">
        <f t="shared" si="6"/>
        <v>1801197</v>
      </c>
      <c r="K40" s="188">
        <f t="shared" ref="K40" si="7">G40-I40</f>
        <v>0</v>
      </c>
      <c r="L40" s="188">
        <f t="shared" ref="L40" si="8">H40-J40</f>
        <v>0</v>
      </c>
      <c r="M40" s="188">
        <f>'DEVIZ GENERAL'!H39</f>
        <v>430769.73</v>
      </c>
      <c r="N40" s="223">
        <f>'DEVIZ GENERAL'!G39</f>
        <v>2143424</v>
      </c>
      <c r="P40" s="246">
        <v>14</v>
      </c>
      <c r="Q40" s="246">
        <v>43</v>
      </c>
    </row>
    <row r="41" spans="2:18" s="170" customFormat="1" ht="57" customHeight="1">
      <c r="B41" s="1864"/>
      <c r="C41" s="1872"/>
      <c r="D41" s="1876"/>
      <c r="E41" s="1877"/>
      <c r="F41" s="198" t="s">
        <v>451</v>
      </c>
      <c r="G41" s="188">
        <f>'DEVIZ GENERAL'!D60</f>
        <v>700000</v>
      </c>
      <c r="H41" s="188">
        <f>'DEVIZ GENERAL'!C60</f>
        <v>3483060</v>
      </c>
      <c r="I41" s="188">
        <f t="shared" si="6"/>
        <v>700000</v>
      </c>
      <c r="J41" s="188">
        <f t="shared" si="6"/>
        <v>3483060</v>
      </c>
      <c r="K41" s="188">
        <f t="shared" ref="K41:L45" si="9">G41-I41</f>
        <v>0</v>
      </c>
      <c r="L41" s="188">
        <f t="shared" si="9"/>
        <v>0</v>
      </c>
      <c r="M41" s="188">
        <f>'DEVIZ GENERAL'!H60</f>
        <v>832999.92</v>
      </c>
      <c r="N41" s="223">
        <f>'DEVIZ GENERAL'!G60</f>
        <v>4144841</v>
      </c>
      <c r="P41" s="238">
        <v>14</v>
      </c>
      <c r="Q41" s="238">
        <v>49</v>
      </c>
    </row>
    <row r="42" spans="2:18" s="170" customFormat="1" ht="45.75" customHeight="1">
      <c r="B42" s="1864"/>
      <c r="C42" s="1872"/>
      <c r="D42" s="1876"/>
      <c r="E42" s="1877"/>
      <c r="F42" s="200" t="s">
        <v>215</v>
      </c>
      <c r="G42" s="188">
        <f>'DEVIZ GENERAL'!D160</f>
        <v>176078.22</v>
      </c>
      <c r="H42" s="188">
        <f>'DEVIZ GENERAL'!C160</f>
        <v>876130</v>
      </c>
      <c r="I42" s="188">
        <f t="shared" si="6"/>
        <v>176078.22</v>
      </c>
      <c r="J42" s="188">
        <f t="shared" si="6"/>
        <v>876130</v>
      </c>
      <c r="K42" s="188">
        <f t="shared" si="9"/>
        <v>0</v>
      </c>
      <c r="L42" s="188">
        <f t="shared" si="9"/>
        <v>0</v>
      </c>
      <c r="M42" s="188">
        <f>'DEVIZ GENERAL'!H160</f>
        <v>176078.22</v>
      </c>
      <c r="N42" s="223">
        <f>'DEVIZ GENERAL'!G160</f>
        <v>876130</v>
      </c>
      <c r="P42" s="238">
        <v>9</v>
      </c>
      <c r="Q42" s="238">
        <v>21</v>
      </c>
    </row>
    <row r="43" spans="2:18" s="170" customFormat="1" ht="45.75" customHeight="1">
      <c r="B43" s="1864"/>
      <c r="C43" s="1872"/>
      <c r="D43" s="1876"/>
      <c r="E43" s="1877"/>
      <c r="F43" s="200" t="s">
        <v>78</v>
      </c>
      <c r="G43" s="188">
        <f>'DEVIZ GENERAL'!D161</f>
        <v>7636.96</v>
      </c>
      <c r="H43" s="188">
        <f>'DEVIZ GENERAL'!C161</f>
        <v>37999.9784</v>
      </c>
      <c r="I43" s="188">
        <f t="shared" si="6"/>
        <v>7636.96</v>
      </c>
      <c r="J43" s="188">
        <f t="shared" si="6"/>
        <v>37999.9784</v>
      </c>
      <c r="K43" s="188">
        <f t="shared" si="9"/>
        <v>0</v>
      </c>
      <c r="L43" s="188">
        <f t="shared" si="9"/>
        <v>0</v>
      </c>
      <c r="M43" s="188">
        <f>'DEVIZ GENERAL'!H161</f>
        <v>9088.25</v>
      </c>
      <c r="N43" s="223">
        <f>'DEVIZ GENERAL'!G161</f>
        <v>45221.684295999999</v>
      </c>
      <c r="P43" s="238">
        <v>9</v>
      </c>
      <c r="Q43" s="238">
        <v>25</v>
      </c>
    </row>
    <row r="44" spans="2:18" s="170" customFormat="1" ht="44.25" customHeight="1">
      <c r="B44" s="1864"/>
      <c r="C44" s="1872"/>
      <c r="D44" s="1876"/>
      <c r="E44" s="1877"/>
      <c r="F44" s="200" t="s">
        <v>452</v>
      </c>
      <c r="G44" s="188">
        <f>'DEVIZ GENERAL'!D61</f>
        <v>90000</v>
      </c>
      <c r="H44" s="188">
        <f>'DEVIZ GENERAL'!C61</f>
        <v>447822</v>
      </c>
      <c r="I44" s="188">
        <f t="shared" si="6"/>
        <v>90000</v>
      </c>
      <c r="J44" s="188">
        <f t="shared" si="6"/>
        <v>447822</v>
      </c>
      <c r="K44" s="188">
        <f t="shared" si="9"/>
        <v>0</v>
      </c>
      <c r="L44" s="188">
        <f t="shared" si="9"/>
        <v>0</v>
      </c>
      <c r="M44" s="188">
        <f>'DEVIZ GENERAL'!H61</f>
        <v>107099.95999999999</v>
      </c>
      <c r="N44" s="223">
        <f>'DEVIZ GENERAL'!G61</f>
        <v>532908</v>
      </c>
      <c r="P44" s="238">
        <v>7</v>
      </c>
      <c r="Q44" s="238">
        <v>15</v>
      </c>
    </row>
    <row r="45" spans="2:18" s="170" customFormat="1" ht="44.25" customHeight="1">
      <c r="B45" s="1864"/>
      <c r="C45" s="1872"/>
      <c r="D45" s="1876"/>
      <c r="E45" s="1877"/>
      <c r="F45" s="200" t="s">
        <v>453</v>
      </c>
      <c r="G45" s="188">
        <f>'DEVIZ GENERAL'!D123</f>
        <v>664495.77</v>
      </c>
      <c r="H45" s="188">
        <f>'DEVIZ GENERAL'!C123</f>
        <v>3306398</v>
      </c>
      <c r="I45" s="188">
        <f t="shared" si="6"/>
        <v>664495.77</v>
      </c>
      <c r="J45" s="188">
        <f t="shared" si="6"/>
        <v>3306398</v>
      </c>
      <c r="K45" s="188">
        <f t="shared" si="9"/>
        <v>0</v>
      </c>
      <c r="L45" s="188">
        <f t="shared" si="9"/>
        <v>0</v>
      </c>
      <c r="M45" s="188">
        <f>'DEVIZ GENERAL'!H123</f>
        <v>664495.77</v>
      </c>
      <c r="N45" s="223">
        <f>'DEVIZ GENERAL'!G123</f>
        <v>3306398</v>
      </c>
      <c r="P45" s="247">
        <v>17</v>
      </c>
      <c r="Q45" s="247">
        <v>59</v>
      </c>
    </row>
    <row r="46" spans="2:18" s="170" customFormat="1" ht="60" customHeight="1">
      <c r="B46" s="1864"/>
      <c r="C46" s="1873"/>
      <c r="D46" s="1878"/>
      <c r="E46" s="1879"/>
      <c r="F46" s="191" t="s">
        <v>454</v>
      </c>
      <c r="G46" s="192">
        <f t="shared" ref="G46:N46" si="10">SUM(G40:G45)</f>
        <v>2000202.39</v>
      </c>
      <c r="H46" s="192">
        <f t="shared" si="10"/>
        <v>9952606.9783999994</v>
      </c>
      <c r="I46" s="192">
        <f t="shared" si="10"/>
        <v>2000202.39</v>
      </c>
      <c r="J46" s="192">
        <f t="shared" si="10"/>
        <v>9952606.9783999994</v>
      </c>
      <c r="K46" s="192">
        <f t="shared" si="10"/>
        <v>0</v>
      </c>
      <c r="L46" s="192">
        <f t="shared" si="10"/>
        <v>0</v>
      </c>
      <c r="M46" s="192">
        <f t="shared" si="10"/>
        <v>2220531.8499999996</v>
      </c>
      <c r="N46" s="192">
        <f t="shared" si="10"/>
        <v>11048922.684296001</v>
      </c>
      <c r="O46" s="239"/>
      <c r="P46" s="245"/>
      <c r="Q46" s="245"/>
    </row>
    <row r="47" spans="2:18" s="170" customFormat="1" ht="33" customHeight="1">
      <c r="C47" s="1858" t="s">
        <v>455</v>
      </c>
      <c r="D47" s="1858"/>
      <c r="E47" s="1858"/>
      <c r="F47" s="1858"/>
      <c r="G47" s="202">
        <f>G14+G15+G25+G31+G32+G46+G36+G39</f>
        <v>92906933.249999985</v>
      </c>
      <c r="H47" s="202">
        <f>H14+H15+H25+H31+H32+H46+H36+H39</f>
        <v>462286318.46340001</v>
      </c>
      <c r="I47" s="202">
        <f>I14+I15+I25+I31+I32+I46+I36+I39</f>
        <v>89327058.829999983</v>
      </c>
      <c r="J47" s="202">
        <f>J14+J15+J25+J31+J32+J46+J36+J39</f>
        <v>444473579.30339998</v>
      </c>
      <c r="K47" s="202">
        <f>G47-I47</f>
        <v>3579874.4200000018</v>
      </c>
      <c r="L47" s="202">
        <f>H47-J47</f>
        <v>17812739.160000026</v>
      </c>
      <c r="M47" s="202">
        <f>M14+M15+M25+M31+M32+M46+M36+M39</f>
        <v>110399541.28052011</v>
      </c>
      <c r="N47" s="202">
        <f>ROUND(N14+N15+N25+N31+N32+N46+N36+N39,2)</f>
        <v>549326037.86000001</v>
      </c>
      <c r="P47" s="240"/>
      <c r="Q47" s="240"/>
      <c r="R47" s="248"/>
    </row>
    <row r="48" spans="2:18" s="170" customFormat="1" ht="33" customHeight="1">
      <c r="C48" s="1859" t="s">
        <v>456</v>
      </c>
      <c r="D48" s="1860"/>
      <c r="E48" s="1860"/>
      <c r="F48" s="1861"/>
      <c r="G48" s="202">
        <f>'DEVIZ GENERAL'!F164</f>
        <v>17492608.030520115</v>
      </c>
      <c r="H48" s="202">
        <f>'DEVIZ GENERAL'!E164</f>
        <v>87039719.395896003</v>
      </c>
      <c r="I48" s="202">
        <f>G48-K48</f>
        <v>16812431.900520116</v>
      </c>
      <c r="J48" s="202">
        <f>H48-L48</f>
        <v>83655298.955495998</v>
      </c>
      <c r="K48" s="202">
        <f>'esalonare investitie'!N49</f>
        <v>680176.13</v>
      </c>
      <c r="L48" s="202">
        <f>L47*TVA</f>
        <v>3384420.4404000049</v>
      </c>
      <c r="M48" s="202"/>
      <c r="N48" s="202"/>
      <c r="P48" s="240"/>
      <c r="Q48" s="240"/>
      <c r="R48" s="248"/>
    </row>
    <row r="49" spans="2:18" s="170" customFormat="1" ht="33" customHeight="1">
      <c r="C49" s="1859" t="s">
        <v>457</v>
      </c>
      <c r="D49" s="1860"/>
      <c r="E49" s="1860"/>
      <c r="F49" s="1861"/>
      <c r="G49" s="202">
        <f>G47+G48</f>
        <v>110399541.2805201</v>
      </c>
      <c r="H49" s="202">
        <f>H47+H48</f>
        <v>549326037.85929596</v>
      </c>
      <c r="I49" s="202">
        <f t="shared" ref="I49:L49" si="11">I47+I48</f>
        <v>106139490.7305201</v>
      </c>
      <c r="J49" s="202">
        <f t="shared" si="11"/>
        <v>528128878.25889599</v>
      </c>
      <c r="K49" s="202">
        <f t="shared" si="11"/>
        <v>4260050.5500000017</v>
      </c>
      <c r="L49" s="202">
        <f t="shared" si="11"/>
        <v>21197159.600400031</v>
      </c>
      <c r="M49" s="202">
        <f>I49+K49</f>
        <v>110399541.2805201</v>
      </c>
      <c r="N49" s="202">
        <f>J49+L49</f>
        <v>549326037.85929608</v>
      </c>
      <c r="P49" s="240"/>
      <c r="Q49" s="240"/>
      <c r="R49" s="248"/>
    </row>
    <row r="50" spans="2:18" ht="30" customHeight="1">
      <c r="C50" s="1862"/>
      <c r="D50" s="1862"/>
      <c r="E50" s="1862"/>
      <c r="F50" s="1862"/>
      <c r="G50" s="1862"/>
      <c r="H50" s="1174" t="s">
        <v>9</v>
      </c>
      <c r="I50" s="1174" t="s">
        <v>9</v>
      </c>
      <c r="J50" s="204"/>
      <c r="K50" s="1174" t="s">
        <v>9</v>
      </c>
      <c r="L50" s="204"/>
      <c r="M50" s="204"/>
      <c r="N50" s="172"/>
    </row>
    <row r="51" spans="2:18" s="171" customFormat="1" ht="15" hidden="1" customHeight="1">
      <c r="B51" s="205"/>
      <c r="C51" s="205"/>
      <c r="D51" s="206"/>
      <c r="E51" s="205"/>
      <c r="F51" s="205"/>
      <c r="G51" s="207"/>
      <c r="H51" s="208"/>
      <c r="I51" s="208"/>
      <c r="J51" s="208"/>
      <c r="K51" s="208"/>
      <c r="L51" s="208"/>
      <c r="M51" s="208"/>
      <c r="N51" s="228"/>
    </row>
    <row r="52" spans="2:18" s="171" customFormat="1" hidden="1">
      <c r="B52" s="205"/>
      <c r="C52" s="205"/>
      <c r="D52" s="206"/>
      <c r="E52" s="205"/>
      <c r="F52" s="205"/>
      <c r="G52" s="209"/>
      <c r="H52" s="210">
        <f>H47/G47</f>
        <v>4.9757999999790119</v>
      </c>
      <c r="I52" s="210"/>
      <c r="J52" s="210"/>
      <c r="K52" s="210"/>
      <c r="L52" s="210"/>
      <c r="M52" s="210"/>
      <c r="N52" s="229"/>
    </row>
    <row r="53" spans="2:18" ht="15">
      <c r="B53" s="1863" t="s">
        <v>458</v>
      </c>
      <c r="C53" s="1863"/>
      <c r="D53" s="1863"/>
      <c r="E53" s="1863"/>
      <c r="F53" s="1863"/>
      <c r="G53" s="1863"/>
      <c r="H53" s="211"/>
      <c r="I53" s="218" t="s">
        <v>9</v>
      </c>
      <c r="J53" s="211"/>
      <c r="K53" s="211"/>
      <c r="L53" s="211"/>
      <c r="M53" s="211"/>
      <c r="N53" s="230" t="s">
        <v>9</v>
      </c>
    </row>
    <row r="54" spans="2:18" ht="15">
      <c r="B54" s="1863" t="s">
        <v>459</v>
      </c>
      <c r="C54" s="1863"/>
      <c r="D54" s="1863"/>
      <c r="E54" s="1863"/>
      <c r="F54" s="1863"/>
      <c r="G54" s="1863"/>
      <c r="H54" s="212"/>
      <c r="I54" s="212"/>
      <c r="J54" s="212"/>
      <c r="K54" s="212"/>
      <c r="L54" s="212"/>
      <c r="M54" s="212"/>
      <c r="N54" s="172"/>
    </row>
    <row r="55" spans="2:18">
      <c r="C55" s="213"/>
      <c r="G55" s="175" t="s">
        <v>9</v>
      </c>
      <c r="H55" s="176" t="s">
        <v>9</v>
      </c>
      <c r="I55" s="176"/>
      <c r="J55" s="176"/>
      <c r="K55" s="176"/>
      <c r="L55" s="176"/>
      <c r="M55" s="176"/>
      <c r="N55" s="172"/>
    </row>
    <row r="56" spans="2:18">
      <c r="B56" s="215"/>
      <c r="C56" s="216"/>
      <c r="D56" s="217"/>
      <c r="E56" s="215"/>
      <c r="F56" s="215"/>
      <c r="G56" s="1175">
        <f>H47/G47</f>
        <v>4.9757999999790119</v>
      </c>
      <c r="H56" s="176" t="s">
        <v>9</v>
      </c>
      <c r="I56" s="176"/>
      <c r="J56" s="176"/>
      <c r="K56" s="176"/>
      <c r="L56" s="176"/>
      <c r="M56" s="176"/>
      <c r="N56" s="172"/>
    </row>
    <row r="57" spans="2:18" hidden="1">
      <c r="B57" s="215"/>
      <c r="C57" s="216"/>
      <c r="D57" s="217"/>
      <c r="E57" s="215"/>
      <c r="F57" s="215"/>
      <c r="G57" s="219"/>
      <c r="H57" s="212"/>
      <c r="I57" s="212"/>
      <c r="J57" s="212"/>
      <c r="K57" s="212"/>
      <c r="L57" s="212"/>
      <c r="M57" s="212"/>
      <c r="N57" s="172"/>
    </row>
    <row r="58" spans="2:18" hidden="1">
      <c r="B58" s="215"/>
      <c r="C58" s="216"/>
      <c r="D58" s="217"/>
      <c r="E58" s="215"/>
      <c r="F58" s="215"/>
      <c r="G58" s="219"/>
      <c r="H58" s="212"/>
      <c r="I58" s="212"/>
      <c r="J58" s="212"/>
      <c r="K58" s="212"/>
      <c r="L58" s="212"/>
      <c r="M58" s="212"/>
      <c r="N58" s="172"/>
    </row>
    <row r="59" spans="2:18" hidden="1">
      <c r="B59" s="215"/>
      <c r="C59" s="216"/>
      <c r="D59" s="217"/>
      <c r="E59" s="215"/>
      <c r="F59" s="215"/>
      <c r="G59" s="219"/>
      <c r="H59" s="212"/>
      <c r="I59" s="212"/>
      <c r="J59" s="212"/>
      <c r="K59" s="212"/>
      <c r="L59" s="212"/>
      <c r="M59" s="212"/>
      <c r="N59" s="172"/>
    </row>
    <row r="60" spans="2:18" hidden="1">
      <c r="B60" s="215"/>
      <c r="C60" s="216"/>
      <c r="D60" s="217"/>
      <c r="E60" s="215"/>
      <c r="F60" s="215"/>
      <c r="G60" s="219"/>
      <c r="H60" s="212"/>
      <c r="I60" s="212"/>
      <c r="J60" s="212"/>
      <c r="K60" s="212"/>
      <c r="L60" s="212"/>
      <c r="M60" s="212"/>
      <c r="N60" s="172"/>
    </row>
    <row r="61" spans="2:18" hidden="1">
      <c r="B61" s="215"/>
      <c r="C61" s="216"/>
      <c r="D61" s="217"/>
      <c r="E61" s="215"/>
      <c r="F61" s="215"/>
      <c r="G61" s="219"/>
      <c r="H61" s="212"/>
      <c r="I61" s="212"/>
      <c r="J61" s="212"/>
      <c r="K61" s="212"/>
      <c r="L61" s="212"/>
      <c r="M61" s="212"/>
      <c r="N61" s="172"/>
    </row>
    <row r="62" spans="2:18" hidden="1">
      <c r="B62" s="215"/>
      <c r="C62" s="216"/>
      <c r="D62" s="217"/>
      <c r="E62" s="215"/>
      <c r="F62" s="215"/>
      <c r="G62" s="219"/>
      <c r="H62" s="212"/>
      <c r="I62" s="212"/>
      <c r="J62" s="212"/>
      <c r="K62" s="212"/>
      <c r="L62" s="212"/>
      <c r="M62" s="212"/>
      <c r="N62" s="172"/>
    </row>
    <row r="63" spans="2:18" hidden="1">
      <c r="B63" s="215"/>
      <c r="C63" s="216"/>
      <c r="D63" s="217"/>
      <c r="E63" s="215"/>
      <c r="F63" s="215"/>
      <c r="G63" s="219"/>
      <c r="H63" s="212"/>
      <c r="I63" s="212"/>
      <c r="J63" s="212"/>
      <c r="K63" s="212"/>
      <c r="L63" s="212"/>
      <c r="M63" s="212"/>
      <c r="N63" s="172"/>
    </row>
    <row r="64" spans="2:18" hidden="1">
      <c r="B64" s="215"/>
      <c r="C64" s="220" t="s">
        <v>460</v>
      </c>
      <c r="D64" s="215"/>
      <c r="E64" s="215"/>
      <c r="F64" s="215"/>
      <c r="G64" s="221"/>
      <c r="H64" s="222"/>
      <c r="I64" s="222"/>
      <c r="J64" s="222"/>
      <c r="K64" s="222"/>
      <c r="L64" s="222"/>
      <c r="M64" s="222"/>
      <c r="N64" s="172"/>
    </row>
    <row r="65" spans="2:17" hidden="1">
      <c r="B65" s="215"/>
      <c r="C65" s="220" t="s">
        <v>461</v>
      </c>
      <c r="D65" s="215"/>
      <c r="E65" s="215"/>
      <c r="F65" s="215"/>
      <c r="G65" s="221"/>
      <c r="H65" s="222"/>
      <c r="I65" s="222"/>
      <c r="J65" s="222"/>
      <c r="K65" s="222"/>
      <c r="L65" s="222"/>
      <c r="M65" s="222"/>
      <c r="N65" s="172"/>
      <c r="Q65" s="172" t="s">
        <v>462</v>
      </c>
    </row>
    <row r="66" spans="2:17" hidden="1">
      <c r="B66" s="215"/>
      <c r="C66" s="253" t="s">
        <v>463</v>
      </c>
      <c r="D66" s="254">
        <v>1.1000000000000001</v>
      </c>
      <c r="E66" s="215"/>
      <c r="F66" s="215"/>
      <c r="G66" s="219"/>
      <c r="H66" s="222"/>
      <c r="I66" s="222"/>
      <c r="J66" s="222"/>
      <c r="K66" s="222"/>
      <c r="L66" s="222"/>
      <c r="M66" s="222"/>
      <c r="N66" s="172"/>
    </row>
    <row r="67" spans="2:17" hidden="1">
      <c r="B67" s="215"/>
      <c r="C67" s="253" t="s">
        <v>464</v>
      </c>
      <c r="D67" s="255" t="s">
        <v>465</v>
      </c>
      <c r="E67" s="215"/>
      <c r="F67" s="215"/>
      <c r="G67" s="219"/>
      <c r="H67" s="256"/>
      <c r="I67" s="256"/>
      <c r="J67" s="256"/>
      <c r="K67" s="256"/>
      <c r="L67" s="256"/>
      <c r="M67" s="256"/>
      <c r="N67" s="172"/>
      <c r="Q67" s="172" t="s">
        <v>466</v>
      </c>
    </row>
    <row r="68" spans="2:17" hidden="1">
      <c r="B68" s="215"/>
      <c r="C68" s="253" t="s">
        <v>467</v>
      </c>
      <c r="D68" s="254"/>
      <c r="E68" s="215"/>
      <c r="F68" s="215"/>
      <c r="G68" s="219"/>
      <c r="H68" s="222"/>
      <c r="I68" s="222"/>
      <c r="J68" s="222"/>
      <c r="K68" s="222"/>
      <c r="L68" s="222"/>
      <c r="M68" s="222"/>
      <c r="N68" s="172"/>
      <c r="Q68" s="172" t="s">
        <v>468</v>
      </c>
    </row>
    <row r="69" spans="2:17" hidden="1">
      <c r="B69" s="215"/>
      <c r="C69" s="253" t="s">
        <v>467</v>
      </c>
      <c r="D69" s="254">
        <v>1.2</v>
      </c>
      <c r="E69" s="215"/>
      <c r="F69" s="215"/>
      <c r="G69" s="219"/>
      <c r="H69" s="256"/>
      <c r="I69" s="256"/>
      <c r="J69" s="256"/>
      <c r="K69" s="256"/>
      <c r="L69" s="256"/>
      <c r="M69" s="256"/>
      <c r="N69" s="172"/>
    </row>
    <row r="70" spans="2:17" hidden="1">
      <c r="B70" s="215"/>
      <c r="C70" s="253" t="s">
        <v>469</v>
      </c>
      <c r="D70" s="255" t="s">
        <v>470</v>
      </c>
      <c r="E70" s="215"/>
      <c r="F70" s="215"/>
      <c r="G70" s="219"/>
      <c r="H70" s="256"/>
      <c r="I70" s="256"/>
      <c r="J70" s="256"/>
      <c r="K70" s="256"/>
      <c r="L70" s="256"/>
      <c r="M70" s="256"/>
      <c r="N70" s="172"/>
      <c r="Q70" s="270" t="s">
        <v>471</v>
      </c>
    </row>
    <row r="71" spans="2:17" hidden="1">
      <c r="B71" s="215"/>
      <c r="C71" s="253" t="s">
        <v>472</v>
      </c>
      <c r="D71" s="255" t="s">
        <v>473</v>
      </c>
      <c r="E71" s="215"/>
      <c r="F71" s="215"/>
      <c r="G71" s="219"/>
      <c r="H71" s="222"/>
      <c r="I71" s="222"/>
      <c r="J71" s="222"/>
      <c r="K71" s="222"/>
      <c r="L71" s="222"/>
      <c r="M71" s="222"/>
      <c r="N71" s="172"/>
      <c r="Q71" s="271" t="s">
        <v>471</v>
      </c>
    </row>
    <row r="72" spans="2:17" hidden="1">
      <c r="B72" s="215"/>
      <c r="C72" s="253" t="s">
        <v>474</v>
      </c>
      <c r="D72" s="255" t="s">
        <v>475</v>
      </c>
      <c r="E72" s="215"/>
      <c r="F72" s="215"/>
      <c r="G72" s="219"/>
      <c r="H72" s="256"/>
      <c r="I72" s="256"/>
      <c r="J72" s="256"/>
      <c r="K72" s="256"/>
      <c r="L72" s="256"/>
      <c r="M72" s="256"/>
      <c r="N72" s="172"/>
      <c r="Q72" s="272" t="s">
        <v>471</v>
      </c>
    </row>
    <row r="73" spans="2:17" hidden="1">
      <c r="B73" s="215"/>
      <c r="C73" s="253" t="s">
        <v>476</v>
      </c>
      <c r="D73" s="255"/>
      <c r="E73" s="215"/>
      <c r="F73" s="215"/>
      <c r="G73" s="219"/>
      <c r="H73" s="222"/>
      <c r="I73" s="222"/>
      <c r="J73" s="222"/>
      <c r="K73" s="222"/>
      <c r="L73" s="222"/>
      <c r="M73" s="222"/>
      <c r="N73" s="172"/>
      <c r="Q73" s="172" t="s">
        <v>477</v>
      </c>
    </row>
    <row r="74" spans="2:17" hidden="1">
      <c r="B74" s="215"/>
      <c r="C74" s="253" t="s">
        <v>476</v>
      </c>
      <c r="D74" s="255" t="s">
        <v>478</v>
      </c>
      <c r="E74" s="215"/>
      <c r="F74" s="215"/>
      <c r="G74" s="219"/>
      <c r="H74" s="256"/>
      <c r="I74" s="256"/>
      <c r="J74" s="256"/>
      <c r="K74" s="256"/>
      <c r="L74" s="256"/>
      <c r="M74" s="256"/>
      <c r="N74" s="172"/>
      <c r="Q74" s="270" t="s">
        <v>479</v>
      </c>
    </row>
    <row r="75" spans="2:17" hidden="1">
      <c r="B75" s="215"/>
      <c r="C75" s="253" t="s">
        <v>480</v>
      </c>
      <c r="D75" s="255">
        <v>7.1</v>
      </c>
      <c r="E75" s="215"/>
      <c r="F75" s="215"/>
      <c r="G75" s="219"/>
      <c r="H75" s="222"/>
      <c r="I75" s="222"/>
      <c r="J75" s="222"/>
      <c r="K75" s="222"/>
      <c r="L75" s="222"/>
      <c r="M75" s="222"/>
      <c r="N75" s="172"/>
      <c r="Q75" s="271"/>
    </row>
    <row r="76" spans="2:17" hidden="1">
      <c r="B76" s="215"/>
      <c r="C76" s="253" t="s">
        <v>481</v>
      </c>
      <c r="D76" s="255">
        <v>7.2</v>
      </c>
      <c r="E76" s="215"/>
      <c r="F76" s="215"/>
      <c r="G76" s="219"/>
      <c r="H76" s="222"/>
      <c r="I76" s="222"/>
      <c r="J76" s="222"/>
      <c r="K76" s="222"/>
      <c r="L76" s="222"/>
      <c r="M76" s="222"/>
      <c r="N76" s="172"/>
      <c r="Q76" s="271"/>
    </row>
    <row r="77" spans="2:17" hidden="1">
      <c r="B77" s="215"/>
      <c r="C77" s="253" t="s">
        <v>482</v>
      </c>
      <c r="D77" s="255" t="s">
        <v>483</v>
      </c>
      <c r="E77" s="215"/>
      <c r="F77" s="215"/>
      <c r="G77" s="219"/>
      <c r="H77" s="222"/>
      <c r="I77" s="222"/>
      <c r="J77" s="222"/>
      <c r="K77" s="222"/>
      <c r="L77" s="222"/>
      <c r="M77" s="222"/>
      <c r="N77" s="172"/>
      <c r="Q77" s="272"/>
    </row>
    <row r="78" spans="2:17" hidden="1">
      <c r="B78" s="215"/>
      <c r="C78" s="253" t="s">
        <v>484</v>
      </c>
      <c r="D78" s="255" t="s">
        <v>485</v>
      </c>
      <c r="E78" s="215"/>
      <c r="F78" s="215"/>
      <c r="G78" s="219"/>
      <c r="H78" s="222"/>
      <c r="I78" s="222"/>
      <c r="J78" s="222"/>
      <c r="K78" s="222"/>
      <c r="L78" s="222"/>
      <c r="M78" s="222"/>
      <c r="N78" s="172"/>
      <c r="Q78" s="172" t="s">
        <v>486</v>
      </c>
    </row>
    <row r="79" spans="2:17" hidden="1">
      <c r="B79" s="215"/>
      <c r="C79" s="253" t="s">
        <v>267</v>
      </c>
      <c r="D79" s="255">
        <v>5.3</v>
      </c>
      <c r="E79" s="215"/>
      <c r="F79" s="215"/>
      <c r="G79" s="219"/>
      <c r="H79" s="222"/>
      <c r="I79" s="222"/>
      <c r="J79" s="222"/>
      <c r="K79" s="222"/>
      <c r="L79" s="222"/>
      <c r="M79" s="222"/>
      <c r="N79" s="172"/>
      <c r="Q79" s="172" t="s">
        <v>487</v>
      </c>
    </row>
    <row r="80" spans="2:17" hidden="1">
      <c r="B80" s="215"/>
      <c r="C80" s="253" t="s">
        <v>488</v>
      </c>
      <c r="D80" s="255" t="s">
        <v>489</v>
      </c>
      <c r="E80" s="215"/>
      <c r="F80" s="215"/>
      <c r="G80" s="219"/>
      <c r="H80" s="222"/>
      <c r="I80" s="222"/>
      <c r="J80" s="222"/>
      <c r="K80" s="222"/>
      <c r="L80" s="222"/>
      <c r="M80" s="222"/>
      <c r="N80" s="172"/>
      <c r="Q80" s="172" t="s">
        <v>490</v>
      </c>
    </row>
    <row r="81" spans="2:17" hidden="1">
      <c r="B81" s="215"/>
      <c r="C81" s="220" t="s">
        <v>491</v>
      </c>
      <c r="D81" s="257" t="e">
        <f>SUM(#REF!)</f>
        <v>#REF!</v>
      </c>
      <c r="E81" s="215"/>
      <c r="F81" s="215"/>
      <c r="G81" s="221"/>
      <c r="H81" s="222"/>
      <c r="I81" s="222"/>
      <c r="J81" s="222"/>
      <c r="K81" s="222"/>
      <c r="L81" s="222"/>
      <c r="M81" s="222"/>
      <c r="N81" s="172"/>
      <c r="Q81" s="172" t="s">
        <v>492</v>
      </c>
    </row>
    <row r="82" spans="2:17" hidden="1">
      <c r="B82" s="215"/>
      <c r="C82" s="216"/>
      <c r="D82" s="217"/>
      <c r="E82" s="215"/>
      <c r="F82" s="215"/>
      <c r="G82" s="219"/>
      <c r="H82" s="212"/>
      <c r="I82" s="212"/>
      <c r="J82" s="212"/>
      <c r="K82" s="212"/>
      <c r="L82" s="212"/>
      <c r="M82" s="212"/>
      <c r="N82" s="172"/>
    </row>
    <row r="83" spans="2:17" hidden="1">
      <c r="B83" s="215"/>
      <c r="C83" s="216"/>
      <c r="D83" s="217"/>
      <c r="E83" s="215"/>
      <c r="F83" s="215"/>
      <c r="G83" s="219"/>
      <c r="H83" s="212"/>
      <c r="I83" s="212"/>
      <c r="J83" s="212"/>
      <c r="K83" s="212"/>
      <c r="L83" s="212"/>
      <c r="M83" s="212"/>
      <c r="N83" s="172"/>
    </row>
    <row r="84" spans="2:17">
      <c r="B84" s="215"/>
      <c r="C84" s="216"/>
      <c r="D84" s="217"/>
      <c r="E84" s="215"/>
      <c r="F84" s="215"/>
      <c r="G84" s="258">
        <f>'DEVIZ GENERAL'!D164</f>
        <v>92906933.249999985</v>
      </c>
      <c r="H84" s="258">
        <f>'DEVIZ GENERAL'!C164</f>
        <v>462286318.46340001</v>
      </c>
      <c r="I84" s="258"/>
      <c r="J84" s="258"/>
      <c r="K84" s="258"/>
      <c r="L84" s="258"/>
      <c r="M84" s="258">
        <f>'DEVIZ GENERAL'!H164</f>
        <v>110399541.28052013</v>
      </c>
      <c r="N84" s="269">
        <f>'DEVIZ GENERAL'!G164</f>
        <v>549326037.85929596</v>
      </c>
    </row>
    <row r="85" spans="2:17">
      <c r="B85" s="215"/>
      <c r="C85" s="216"/>
      <c r="D85" s="217"/>
      <c r="E85" s="215"/>
      <c r="F85" s="215"/>
      <c r="G85" s="258"/>
      <c r="H85" s="1177"/>
      <c r="I85" s="1177"/>
      <c r="J85" s="1177"/>
      <c r="K85" s="1177"/>
      <c r="L85" s="1177"/>
      <c r="M85" s="1177"/>
      <c r="N85" s="269"/>
    </row>
    <row r="86" spans="2:17">
      <c r="F86" s="251">
        <f>'DEVIZ GENERAL'!F164</f>
        <v>17492608.030520115</v>
      </c>
      <c r="G86" s="258">
        <f>'DEVIZ GENERAL'!E164</f>
        <v>87039719.395896003</v>
      </c>
      <c r="H86" s="1177"/>
      <c r="I86" s="1177"/>
      <c r="J86" s="1177"/>
      <c r="K86" s="1177"/>
      <c r="L86" s="1177"/>
      <c r="M86" s="1177"/>
      <c r="N86" s="269"/>
    </row>
    <row r="87" spans="2:17">
      <c r="C87" s="172"/>
      <c r="D87" s="172"/>
      <c r="H87" s="212"/>
      <c r="I87" s="212"/>
      <c r="J87" s="212"/>
      <c r="K87" s="212"/>
      <c r="L87" s="212"/>
      <c r="M87" s="212"/>
      <c r="N87" s="172"/>
    </row>
    <row r="88" spans="2:17">
      <c r="C88" s="172"/>
      <c r="D88" s="172"/>
      <c r="G88" s="1178">
        <f>'DEVIZ GENERAL'!H164</f>
        <v>110399541.28052013</v>
      </c>
      <c r="H88" s="212"/>
      <c r="I88" s="212"/>
      <c r="J88" s="212"/>
      <c r="K88" s="212"/>
      <c r="L88" s="212"/>
      <c r="M88" s="212"/>
      <c r="N88" s="172"/>
    </row>
    <row r="89" spans="2:17">
      <c r="C89" s="172"/>
      <c r="D89" s="172"/>
      <c r="H89" s="212"/>
      <c r="I89" s="212"/>
      <c r="J89" s="212"/>
      <c r="K89" s="212"/>
      <c r="L89" s="212"/>
      <c r="M89" s="212"/>
      <c r="N89" s="172"/>
    </row>
    <row r="90" spans="2:17">
      <c r="C90" s="172"/>
      <c r="D90" s="172"/>
      <c r="H90" s="212"/>
      <c r="I90" s="212"/>
      <c r="J90" s="212"/>
      <c r="K90" s="212"/>
      <c r="L90" s="212"/>
      <c r="M90" s="212"/>
      <c r="N90" s="172"/>
    </row>
    <row r="91" spans="2:17">
      <c r="C91" s="172"/>
      <c r="D91" s="172"/>
      <c r="G91" s="212"/>
      <c r="H91" s="212"/>
      <c r="I91" s="212"/>
      <c r="J91" s="212"/>
      <c r="K91" s="212"/>
      <c r="L91" s="212"/>
      <c r="M91" s="212"/>
      <c r="N91" s="172"/>
    </row>
    <row r="92" spans="2:17">
      <c r="C92" s="172"/>
      <c r="D92" s="172"/>
      <c r="G92" s="212"/>
      <c r="N92" s="172"/>
    </row>
  </sheetData>
  <mergeCells count="26">
    <mergeCell ref="C50:G50"/>
    <mergeCell ref="B53:G53"/>
    <mergeCell ref="B54:G54"/>
    <mergeCell ref="B41:B46"/>
    <mergeCell ref="C7:C14"/>
    <mergeCell ref="C16:C25"/>
    <mergeCell ref="C26:C31"/>
    <mergeCell ref="C34:C36"/>
    <mergeCell ref="C37:C39"/>
    <mergeCell ref="C40:C46"/>
    <mergeCell ref="D40:E46"/>
    <mergeCell ref="D34:E36"/>
    <mergeCell ref="D37:E39"/>
    <mergeCell ref="D7:E14"/>
    <mergeCell ref="D16:E25"/>
    <mergeCell ref="D26:E31"/>
    <mergeCell ref="D32:E32"/>
    <mergeCell ref="D33:E33"/>
    <mergeCell ref="C47:F47"/>
    <mergeCell ref="C48:F48"/>
    <mergeCell ref="C49:F49"/>
    <mergeCell ref="C2:H2"/>
    <mergeCell ref="B4:G4"/>
    <mergeCell ref="D5:E5"/>
    <mergeCell ref="D6:E6"/>
    <mergeCell ref="D15:E15"/>
  </mergeCells>
  <printOptions horizontalCentered="1" verticalCentered="1"/>
  <pageMargins left="0.35433070866141703" right="0.35433070866141703" top="0.59055118110236204" bottom="0.59055118110236204" header="0.511811023622047" footer="0.511811023622047"/>
  <pageSetup paperSize="9" scale="33" orientation="landscape" r:id="rId1"/>
  <headerFooter alignWithMargins="0"/>
  <rowBreaks count="1" manualBreakCount="1">
    <brk id="39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2:WVV92"/>
  <sheetViews>
    <sheetView view="pageBreakPreview" topLeftCell="D19" zoomScale="89" zoomScaleNormal="74" workbookViewId="0">
      <selection activeCell="H12" sqref="H12"/>
    </sheetView>
  </sheetViews>
  <sheetFormatPr defaultColWidth="9.140625" defaultRowHeight="12.75"/>
  <cols>
    <col min="1" max="1" width="4.85546875" style="172" customWidth="1"/>
    <col min="2" max="2" width="2.140625" style="172" customWidth="1"/>
    <col min="3" max="3" width="34.7109375" style="173" customWidth="1"/>
    <col min="4" max="4" width="16.140625" style="174" customWidth="1"/>
    <col min="5" max="5" width="6.7109375" style="172" customWidth="1"/>
    <col min="6" max="6" width="44.7109375" style="172" customWidth="1"/>
    <col min="7" max="7" width="25.28515625" style="175" customWidth="1"/>
    <col min="8" max="13" width="31" style="175" customWidth="1"/>
    <col min="14" max="14" width="27.7109375" style="176" customWidth="1"/>
    <col min="15" max="15" width="9.140625" style="172" customWidth="1"/>
    <col min="16" max="16" width="18.7109375" style="172" customWidth="1"/>
    <col min="17" max="17" width="20" style="172" customWidth="1"/>
    <col min="18" max="18" width="15.28515625" style="172" customWidth="1"/>
    <col min="19" max="19" width="19.7109375" style="172" customWidth="1"/>
    <col min="20" max="20" width="9.140625" style="172"/>
    <col min="21" max="21" width="13.28515625" style="172" customWidth="1"/>
    <col min="22" max="22" width="25.140625" style="172" customWidth="1"/>
    <col min="23" max="260" width="9.140625" style="172"/>
    <col min="261" max="261" width="4.85546875" style="172" customWidth="1"/>
    <col min="262" max="262" width="2.140625" style="172" customWidth="1"/>
    <col min="263" max="263" width="34.7109375" style="172" customWidth="1"/>
    <col min="264" max="264" width="16.140625" style="172" customWidth="1"/>
    <col min="265" max="265" width="6.7109375" style="172" customWidth="1"/>
    <col min="266" max="266" width="44.7109375" style="172" customWidth="1"/>
    <col min="267" max="268" width="22.28515625" style="172" customWidth="1"/>
    <col min="269" max="270" width="9.140625" style="172" hidden="1" customWidth="1"/>
    <col min="271" max="271" width="9.140625" style="172" customWidth="1"/>
    <col min="272" max="272" width="11.7109375" style="172" customWidth="1"/>
    <col min="273" max="516" width="9.140625" style="172"/>
    <col min="517" max="517" width="4.85546875" style="172" customWidth="1"/>
    <col min="518" max="518" width="2.140625" style="172" customWidth="1"/>
    <col min="519" max="519" width="34.7109375" style="172" customWidth="1"/>
    <col min="520" max="520" width="16.140625" style="172" customWidth="1"/>
    <col min="521" max="521" width="6.7109375" style="172" customWidth="1"/>
    <col min="522" max="522" width="44.7109375" style="172" customWidth="1"/>
    <col min="523" max="524" width="22.28515625" style="172" customWidth="1"/>
    <col min="525" max="526" width="9.140625" style="172" hidden="1" customWidth="1"/>
    <col min="527" max="527" width="9.140625" style="172" customWidth="1"/>
    <col min="528" max="528" width="11.7109375" style="172" customWidth="1"/>
    <col min="529" max="772" width="9.140625" style="172"/>
    <col min="773" max="773" width="4.85546875" style="172" customWidth="1"/>
    <col min="774" max="774" width="2.140625" style="172" customWidth="1"/>
    <col min="775" max="775" width="34.7109375" style="172" customWidth="1"/>
    <col min="776" max="776" width="16.140625" style="172" customWidth="1"/>
    <col min="777" max="777" width="6.7109375" style="172" customWidth="1"/>
    <col min="778" max="778" width="44.7109375" style="172" customWidth="1"/>
    <col min="779" max="780" width="22.28515625" style="172" customWidth="1"/>
    <col min="781" max="782" width="9.140625" style="172" hidden="1" customWidth="1"/>
    <col min="783" max="783" width="9.140625" style="172" customWidth="1"/>
    <col min="784" max="784" width="11.7109375" style="172" customWidth="1"/>
    <col min="785" max="1028" width="9.140625" style="172"/>
    <col min="1029" max="1029" width="4.85546875" style="172" customWidth="1"/>
    <col min="1030" max="1030" width="2.140625" style="172" customWidth="1"/>
    <col min="1031" max="1031" width="34.7109375" style="172" customWidth="1"/>
    <col min="1032" max="1032" width="16.140625" style="172" customWidth="1"/>
    <col min="1033" max="1033" width="6.7109375" style="172" customWidth="1"/>
    <col min="1034" max="1034" width="44.7109375" style="172" customWidth="1"/>
    <col min="1035" max="1036" width="22.28515625" style="172" customWidth="1"/>
    <col min="1037" max="1038" width="9.140625" style="172" hidden="1" customWidth="1"/>
    <col min="1039" max="1039" width="9.140625" style="172" customWidth="1"/>
    <col min="1040" max="1040" width="11.7109375" style="172" customWidth="1"/>
    <col min="1041" max="1284" width="9.140625" style="172"/>
    <col min="1285" max="1285" width="4.85546875" style="172" customWidth="1"/>
    <col min="1286" max="1286" width="2.140625" style="172" customWidth="1"/>
    <col min="1287" max="1287" width="34.7109375" style="172" customWidth="1"/>
    <col min="1288" max="1288" width="16.140625" style="172" customWidth="1"/>
    <col min="1289" max="1289" width="6.7109375" style="172" customWidth="1"/>
    <col min="1290" max="1290" width="44.7109375" style="172" customWidth="1"/>
    <col min="1291" max="1292" width="22.28515625" style="172" customWidth="1"/>
    <col min="1293" max="1294" width="9.140625" style="172" hidden="1" customWidth="1"/>
    <col min="1295" max="1295" width="9.140625" style="172" customWidth="1"/>
    <col min="1296" max="1296" width="11.7109375" style="172" customWidth="1"/>
    <col min="1297" max="1540" width="9.140625" style="172"/>
    <col min="1541" max="1541" width="4.85546875" style="172" customWidth="1"/>
    <col min="1542" max="1542" width="2.140625" style="172" customWidth="1"/>
    <col min="1543" max="1543" width="34.7109375" style="172" customWidth="1"/>
    <col min="1544" max="1544" width="16.140625" style="172" customWidth="1"/>
    <col min="1545" max="1545" width="6.7109375" style="172" customWidth="1"/>
    <col min="1546" max="1546" width="44.7109375" style="172" customWidth="1"/>
    <col min="1547" max="1548" width="22.28515625" style="172" customWidth="1"/>
    <col min="1549" max="1550" width="9.140625" style="172" hidden="1" customWidth="1"/>
    <col min="1551" max="1551" width="9.140625" style="172" customWidth="1"/>
    <col min="1552" max="1552" width="11.7109375" style="172" customWidth="1"/>
    <col min="1553" max="1796" width="9.140625" style="172"/>
    <col min="1797" max="1797" width="4.85546875" style="172" customWidth="1"/>
    <col min="1798" max="1798" width="2.140625" style="172" customWidth="1"/>
    <col min="1799" max="1799" width="34.7109375" style="172" customWidth="1"/>
    <col min="1800" max="1800" width="16.140625" style="172" customWidth="1"/>
    <col min="1801" max="1801" width="6.7109375" style="172" customWidth="1"/>
    <col min="1802" max="1802" width="44.7109375" style="172" customWidth="1"/>
    <col min="1803" max="1804" width="22.28515625" style="172" customWidth="1"/>
    <col min="1805" max="1806" width="9.140625" style="172" hidden="1" customWidth="1"/>
    <col min="1807" max="1807" width="9.140625" style="172" customWidth="1"/>
    <col min="1808" max="1808" width="11.7109375" style="172" customWidth="1"/>
    <col min="1809" max="2052" width="9.140625" style="172"/>
    <col min="2053" max="2053" width="4.85546875" style="172" customWidth="1"/>
    <col min="2054" max="2054" width="2.140625" style="172" customWidth="1"/>
    <col min="2055" max="2055" width="34.7109375" style="172" customWidth="1"/>
    <col min="2056" max="2056" width="16.140625" style="172" customWidth="1"/>
    <col min="2057" max="2057" width="6.7109375" style="172" customWidth="1"/>
    <col min="2058" max="2058" width="44.7109375" style="172" customWidth="1"/>
    <col min="2059" max="2060" width="22.28515625" style="172" customWidth="1"/>
    <col min="2061" max="2062" width="9.140625" style="172" hidden="1" customWidth="1"/>
    <col min="2063" max="2063" width="9.140625" style="172" customWidth="1"/>
    <col min="2064" max="2064" width="11.7109375" style="172" customWidth="1"/>
    <col min="2065" max="2308" width="9.140625" style="172"/>
    <col min="2309" max="2309" width="4.85546875" style="172" customWidth="1"/>
    <col min="2310" max="2310" width="2.140625" style="172" customWidth="1"/>
    <col min="2311" max="2311" width="34.7109375" style="172" customWidth="1"/>
    <col min="2312" max="2312" width="16.140625" style="172" customWidth="1"/>
    <col min="2313" max="2313" width="6.7109375" style="172" customWidth="1"/>
    <col min="2314" max="2314" width="44.7109375" style="172" customWidth="1"/>
    <col min="2315" max="2316" width="22.28515625" style="172" customWidth="1"/>
    <col min="2317" max="2318" width="9.140625" style="172" hidden="1" customWidth="1"/>
    <col min="2319" max="2319" width="9.140625" style="172" customWidth="1"/>
    <col min="2320" max="2320" width="11.7109375" style="172" customWidth="1"/>
    <col min="2321" max="2564" width="9.140625" style="172"/>
    <col min="2565" max="2565" width="4.85546875" style="172" customWidth="1"/>
    <col min="2566" max="2566" width="2.140625" style="172" customWidth="1"/>
    <col min="2567" max="2567" width="34.7109375" style="172" customWidth="1"/>
    <col min="2568" max="2568" width="16.140625" style="172" customWidth="1"/>
    <col min="2569" max="2569" width="6.7109375" style="172" customWidth="1"/>
    <col min="2570" max="2570" width="44.7109375" style="172" customWidth="1"/>
    <col min="2571" max="2572" width="22.28515625" style="172" customWidth="1"/>
    <col min="2573" max="2574" width="9.140625" style="172" hidden="1" customWidth="1"/>
    <col min="2575" max="2575" width="9.140625" style="172" customWidth="1"/>
    <col min="2576" max="2576" width="11.7109375" style="172" customWidth="1"/>
    <col min="2577" max="2820" width="9.140625" style="172"/>
    <col min="2821" max="2821" width="4.85546875" style="172" customWidth="1"/>
    <col min="2822" max="2822" width="2.140625" style="172" customWidth="1"/>
    <col min="2823" max="2823" width="34.7109375" style="172" customWidth="1"/>
    <col min="2824" max="2824" width="16.140625" style="172" customWidth="1"/>
    <col min="2825" max="2825" width="6.7109375" style="172" customWidth="1"/>
    <col min="2826" max="2826" width="44.7109375" style="172" customWidth="1"/>
    <col min="2827" max="2828" width="22.28515625" style="172" customWidth="1"/>
    <col min="2829" max="2830" width="9.140625" style="172" hidden="1" customWidth="1"/>
    <col min="2831" max="2831" width="9.140625" style="172" customWidth="1"/>
    <col min="2832" max="2832" width="11.7109375" style="172" customWidth="1"/>
    <col min="2833" max="3076" width="9.140625" style="172"/>
    <col min="3077" max="3077" width="4.85546875" style="172" customWidth="1"/>
    <col min="3078" max="3078" width="2.140625" style="172" customWidth="1"/>
    <col min="3079" max="3079" width="34.7109375" style="172" customWidth="1"/>
    <col min="3080" max="3080" width="16.140625" style="172" customWidth="1"/>
    <col min="3081" max="3081" width="6.7109375" style="172" customWidth="1"/>
    <col min="3082" max="3082" width="44.7109375" style="172" customWidth="1"/>
    <col min="3083" max="3084" width="22.28515625" style="172" customWidth="1"/>
    <col min="3085" max="3086" width="9.140625" style="172" hidden="1" customWidth="1"/>
    <col min="3087" max="3087" width="9.140625" style="172" customWidth="1"/>
    <col min="3088" max="3088" width="11.7109375" style="172" customWidth="1"/>
    <col min="3089" max="3332" width="9.140625" style="172"/>
    <col min="3333" max="3333" width="4.85546875" style="172" customWidth="1"/>
    <col min="3334" max="3334" width="2.140625" style="172" customWidth="1"/>
    <col min="3335" max="3335" width="34.7109375" style="172" customWidth="1"/>
    <col min="3336" max="3336" width="16.140625" style="172" customWidth="1"/>
    <col min="3337" max="3337" width="6.7109375" style="172" customWidth="1"/>
    <col min="3338" max="3338" width="44.7109375" style="172" customWidth="1"/>
    <col min="3339" max="3340" width="22.28515625" style="172" customWidth="1"/>
    <col min="3341" max="3342" width="9.140625" style="172" hidden="1" customWidth="1"/>
    <col min="3343" max="3343" width="9.140625" style="172" customWidth="1"/>
    <col min="3344" max="3344" width="11.7109375" style="172" customWidth="1"/>
    <col min="3345" max="3588" width="9.140625" style="172"/>
    <col min="3589" max="3589" width="4.85546875" style="172" customWidth="1"/>
    <col min="3590" max="3590" width="2.140625" style="172" customWidth="1"/>
    <col min="3591" max="3591" width="34.7109375" style="172" customWidth="1"/>
    <col min="3592" max="3592" width="16.140625" style="172" customWidth="1"/>
    <col min="3593" max="3593" width="6.7109375" style="172" customWidth="1"/>
    <col min="3594" max="3594" width="44.7109375" style="172" customWidth="1"/>
    <col min="3595" max="3596" width="22.28515625" style="172" customWidth="1"/>
    <col min="3597" max="3598" width="9.140625" style="172" hidden="1" customWidth="1"/>
    <col min="3599" max="3599" width="9.140625" style="172" customWidth="1"/>
    <col min="3600" max="3600" width="11.7109375" style="172" customWidth="1"/>
    <col min="3601" max="3844" width="9.140625" style="172"/>
    <col min="3845" max="3845" width="4.85546875" style="172" customWidth="1"/>
    <col min="3846" max="3846" width="2.140625" style="172" customWidth="1"/>
    <col min="3847" max="3847" width="34.7109375" style="172" customWidth="1"/>
    <col min="3848" max="3848" width="16.140625" style="172" customWidth="1"/>
    <col min="3849" max="3849" width="6.7109375" style="172" customWidth="1"/>
    <col min="3850" max="3850" width="44.7109375" style="172" customWidth="1"/>
    <col min="3851" max="3852" width="22.28515625" style="172" customWidth="1"/>
    <col min="3853" max="3854" width="9.140625" style="172" hidden="1" customWidth="1"/>
    <col min="3855" max="3855" width="9.140625" style="172" customWidth="1"/>
    <col min="3856" max="3856" width="11.7109375" style="172" customWidth="1"/>
    <col min="3857" max="4100" width="9.140625" style="172"/>
    <col min="4101" max="4101" width="4.85546875" style="172" customWidth="1"/>
    <col min="4102" max="4102" width="2.140625" style="172" customWidth="1"/>
    <col min="4103" max="4103" width="34.7109375" style="172" customWidth="1"/>
    <col min="4104" max="4104" width="16.140625" style="172" customWidth="1"/>
    <col min="4105" max="4105" width="6.7109375" style="172" customWidth="1"/>
    <col min="4106" max="4106" width="44.7109375" style="172" customWidth="1"/>
    <col min="4107" max="4108" width="22.28515625" style="172" customWidth="1"/>
    <col min="4109" max="4110" width="9.140625" style="172" hidden="1" customWidth="1"/>
    <col min="4111" max="4111" width="9.140625" style="172" customWidth="1"/>
    <col min="4112" max="4112" width="11.7109375" style="172" customWidth="1"/>
    <col min="4113" max="4356" width="9.140625" style="172"/>
    <col min="4357" max="4357" width="4.85546875" style="172" customWidth="1"/>
    <col min="4358" max="4358" width="2.140625" style="172" customWidth="1"/>
    <col min="4359" max="4359" width="34.7109375" style="172" customWidth="1"/>
    <col min="4360" max="4360" width="16.140625" style="172" customWidth="1"/>
    <col min="4361" max="4361" width="6.7109375" style="172" customWidth="1"/>
    <col min="4362" max="4362" width="44.7109375" style="172" customWidth="1"/>
    <col min="4363" max="4364" width="22.28515625" style="172" customWidth="1"/>
    <col min="4365" max="4366" width="9.140625" style="172" hidden="1" customWidth="1"/>
    <col min="4367" max="4367" width="9.140625" style="172" customWidth="1"/>
    <col min="4368" max="4368" width="11.7109375" style="172" customWidth="1"/>
    <col min="4369" max="4612" width="9.140625" style="172"/>
    <col min="4613" max="4613" width="4.85546875" style="172" customWidth="1"/>
    <col min="4614" max="4614" width="2.140625" style="172" customWidth="1"/>
    <col min="4615" max="4615" width="34.7109375" style="172" customWidth="1"/>
    <col min="4616" max="4616" width="16.140625" style="172" customWidth="1"/>
    <col min="4617" max="4617" width="6.7109375" style="172" customWidth="1"/>
    <col min="4618" max="4618" width="44.7109375" style="172" customWidth="1"/>
    <col min="4619" max="4620" width="22.28515625" style="172" customWidth="1"/>
    <col min="4621" max="4622" width="9.140625" style="172" hidden="1" customWidth="1"/>
    <col min="4623" max="4623" width="9.140625" style="172" customWidth="1"/>
    <col min="4624" max="4624" width="11.7109375" style="172" customWidth="1"/>
    <col min="4625" max="4868" width="9.140625" style="172"/>
    <col min="4869" max="4869" width="4.85546875" style="172" customWidth="1"/>
    <col min="4870" max="4870" width="2.140625" style="172" customWidth="1"/>
    <col min="4871" max="4871" width="34.7109375" style="172" customWidth="1"/>
    <col min="4872" max="4872" width="16.140625" style="172" customWidth="1"/>
    <col min="4873" max="4873" width="6.7109375" style="172" customWidth="1"/>
    <col min="4874" max="4874" width="44.7109375" style="172" customWidth="1"/>
    <col min="4875" max="4876" width="22.28515625" style="172" customWidth="1"/>
    <col min="4877" max="4878" width="9.140625" style="172" hidden="1" customWidth="1"/>
    <col min="4879" max="4879" width="9.140625" style="172" customWidth="1"/>
    <col min="4880" max="4880" width="11.7109375" style="172" customWidth="1"/>
    <col min="4881" max="5124" width="9.140625" style="172"/>
    <col min="5125" max="5125" width="4.85546875" style="172" customWidth="1"/>
    <col min="5126" max="5126" width="2.140625" style="172" customWidth="1"/>
    <col min="5127" max="5127" width="34.7109375" style="172" customWidth="1"/>
    <col min="5128" max="5128" width="16.140625" style="172" customWidth="1"/>
    <col min="5129" max="5129" width="6.7109375" style="172" customWidth="1"/>
    <col min="5130" max="5130" width="44.7109375" style="172" customWidth="1"/>
    <col min="5131" max="5132" width="22.28515625" style="172" customWidth="1"/>
    <col min="5133" max="5134" width="9.140625" style="172" hidden="1" customWidth="1"/>
    <col min="5135" max="5135" width="9.140625" style="172" customWidth="1"/>
    <col min="5136" max="5136" width="11.7109375" style="172" customWidth="1"/>
    <col min="5137" max="5380" width="9.140625" style="172"/>
    <col min="5381" max="5381" width="4.85546875" style="172" customWidth="1"/>
    <col min="5382" max="5382" width="2.140625" style="172" customWidth="1"/>
    <col min="5383" max="5383" width="34.7109375" style="172" customWidth="1"/>
    <col min="5384" max="5384" width="16.140625" style="172" customWidth="1"/>
    <col min="5385" max="5385" width="6.7109375" style="172" customWidth="1"/>
    <col min="5386" max="5386" width="44.7109375" style="172" customWidth="1"/>
    <col min="5387" max="5388" width="22.28515625" style="172" customWidth="1"/>
    <col min="5389" max="5390" width="9.140625" style="172" hidden="1" customWidth="1"/>
    <col min="5391" max="5391" width="9.140625" style="172" customWidth="1"/>
    <col min="5392" max="5392" width="11.7109375" style="172" customWidth="1"/>
    <col min="5393" max="5636" width="9.140625" style="172"/>
    <col min="5637" max="5637" width="4.85546875" style="172" customWidth="1"/>
    <col min="5638" max="5638" width="2.140625" style="172" customWidth="1"/>
    <col min="5639" max="5639" width="34.7109375" style="172" customWidth="1"/>
    <col min="5640" max="5640" width="16.140625" style="172" customWidth="1"/>
    <col min="5641" max="5641" width="6.7109375" style="172" customWidth="1"/>
    <col min="5642" max="5642" width="44.7109375" style="172" customWidth="1"/>
    <col min="5643" max="5644" width="22.28515625" style="172" customWidth="1"/>
    <col min="5645" max="5646" width="9.140625" style="172" hidden="1" customWidth="1"/>
    <col min="5647" max="5647" width="9.140625" style="172" customWidth="1"/>
    <col min="5648" max="5648" width="11.7109375" style="172" customWidth="1"/>
    <col min="5649" max="5892" width="9.140625" style="172"/>
    <col min="5893" max="5893" width="4.85546875" style="172" customWidth="1"/>
    <col min="5894" max="5894" width="2.140625" style="172" customWidth="1"/>
    <col min="5895" max="5895" width="34.7109375" style="172" customWidth="1"/>
    <col min="5896" max="5896" width="16.140625" style="172" customWidth="1"/>
    <col min="5897" max="5897" width="6.7109375" style="172" customWidth="1"/>
    <col min="5898" max="5898" width="44.7109375" style="172" customWidth="1"/>
    <col min="5899" max="5900" width="22.28515625" style="172" customWidth="1"/>
    <col min="5901" max="5902" width="9.140625" style="172" hidden="1" customWidth="1"/>
    <col min="5903" max="5903" width="9.140625" style="172" customWidth="1"/>
    <col min="5904" max="5904" width="11.7109375" style="172" customWidth="1"/>
    <col min="5905" max="6148" width="9.140625" style="172"/>
    <col min="6149" max="6149" width="4.85546875" style="172" customWidth="1"/>
    <col min="6150" max="6150" width="2.140625" style="172" customWidth="1"/>
    <col min="6151" max="6151" width="34.7109375" style="172" customWidth="1"/>
    <col min="6152" max="6152" width="16.140625" style="172" customWidth="1"/>
    <col min="6153" max="6153" width="6.7109375" style="172" customWidth="1"/>
    <col min="6154" max="6154" width="44.7109375" style="172" customWidth="1"/>
    <col min="6155" max="6156" width="22.28515625" style="172" customWidth="1"/>
    <col min="6157" max="6158" width="9.140625" style="172" hidden="1" customWidth="1"/>
    <col min="6159" max="6159" width="9.140625" style="172" customWidth="1"/>
    <col min="6160" max="6160" width="11.7109375" style="172" customWidth="1"/>
    <col min="6161" max="6404" width="9.140625" style="172"/>
    <col min="6405" max="6405" width="4.85546875" style="172" customWidth="1"/>
    <col min="6406" max="6406" width="2.140625" style="172" customWidth="1"/>
    <col min="6407" max="6407" width="34.7109375" style="172" customWidth="1"/>
    <col min="6408" max="6408" width="16.140625" style="172" customWidth="1"/>
    <col min="6409" max="6409" width="6.7109375" style="172" customWidth="1"/>
    <col min="6410" max="6410" width="44.7109375" style="172" customWidth="1"/>
    <col min="6411" max="6412" width="22.28515625" style="172" customWidth="1"/>
    <col min="6413" max="6414" width="9.140625" style="172" hidden="1" customWidth="1"/>
    <col min="6415" max="6415" width="9.140625" style="172" customWidth="1"/>
    <col min="6416" max="6416" width="11.7109375" style="172" customWidth="1"/>
    <col min="6417" max="6660" width="9.140625" style="172"/>
    <col min="6661" max="6661" width="4.85546875" style="172" customWidth="1"/>
    <col min="6662" max="6662" width="2.140625" style="172" customWidth="1"/>
    <col min="6663" max="6663" width="34.7109375" style="172" customWidth="1"/>
    <col min="6664" max="6664" width="16.140625" style="172" customWidth="1"/>
    <col min="6665" max="6665" width="6.7109375" style="172" customWidth="1"/>
    <col min="6666" max="6666" width="44.7109375" style="172" customWidth="1"/>
    <col min="6667" max="6668" width="22.28515625" style="172" customWidth="1"/>
    <col min="6669" max="6670" width="9.140625" style="172" hidden="1" customWidth="1"/>
    <col min="6671" max="6671" width="9.140625" style="172" customWidth="1"/>
    <col min="6672" max="6672" width="11.7109375" style="172" customWidth="1"/>
    <col min="6673" max="6916" width="9.140625" style="172"/>
    <col min="6917" max="6917" width="4.85546875" style="172" customWidth="1"/>
    <col min="6918" max="6918" width="2.140625" style="172" customWidth="1"/>
    <col min="6919" max="6919" width="34.7109375" style="172" customWidth="1"/>
    <col min="6920" max="6920" width="16.140625" style="172" customWidth="1"/>
    <col min="6921" max="6921" width="6.7109375" style="172" customWidth="1"/>
    <col min="6922" max="6922" width="44.7109375" style="172" customWidth="1"/>
    <col min="6923" max="6924" width="22.28515625" style="172" customWidth="1"/>
    <col min="6925" max="6926" width="9.140625" style="172" hidden="1" customWidth="1"/>
    <col min="6927" max="6927" width="9.140625" style="172" customWidth="1"/>
    <col min="6928" max="6928" width="11.7109375" style="172" customWidth="1"/>
    <col min="6929" max="7172" width="9.140625" style="172"/>
    <col min="7173" max="7173" width="4.85546875" style="172" customWidth="1"/>
    <col min="7174" max="7174" width="2.140625" style="172" customWidth="1"/>
    <col min="7175" max="7175" width="34.7109375" style="172" customWidth="1"/>
    <col min="7176" max="7176" width="16.140625" style="172" customWidth="1"/>
    <col min="7177" max="7177" width="6.7109375" style="172" customWidth="1"/>
    <col min="7178" max="7178" width="44.7109375" style="172" customWidth="1"/>
    <col min="7179" max="7180" width="22.28515625" style="172" customWidth="1"/>
    <col min="7181" max="7182" width="9.140625" style="172" hidden="1" customWidth="1"/>
    <col min="7183" max="7183" width="9.140625" style="172" customWidth="1"/>
    <col min="7184" max="7184" width="11.7109375" style="172" customWidth="1"/>
    <col min="7185" max="7428" width="9.140625" style="172"/>
    <col min="7429" max="7429" width="4.85546875" style="172" customWidth="1"/>
    <col min="7430" max="7430" width="2.140625" style="172" customWidth="1"/>
    <col min="7431" max="7431" width="34.7109375" style="172" customWidth="1"/>
    <col min="7432" max="7432" width="16.140625" style="172" customWidth="1"/>
    <col min="7433" max="7433" width="6.7109375" style="172" customWidth="1"/>
    <col min="7434" max="7434" width="44.7109375" style="172" customWidth="1"/>
    <col min="7435" max="7436" width="22.28515625" style="172" customWidth="1"/>
    <col min="7437" max="7438" width="9.140625" style="172" hidden="1" customWidth="1"/>
    <col min="7439" max="7439" width="9.140625" style="172" customWidth="1"/>
    <col min="7440" max="7440" width="11.7109375" style="172" customWidth="1"/>
    <col min="7441" max="7684" width="9.140625" style="172"/>
    <col min="7685" max="7685" width="4.85546875" style="172" customWidth="1"/>
    <col min="7686" max="7686" width="2.140625" style="172" customWidth="1"/>
    <col min="7687" max="7687" width="34.7109375" style="172" customWidth="1"/>
    <col min="7688" max="7688" width="16.140625" style="172" customWidth="1"/>
    <col min="7689" max="7689" width="6.7109375" style="172" customWidth="1"/>
    <col min="7690" max="7690" width="44.7109375" style="172" customWidth="1"/>
    <col min="7691" max="7692" width="22.28515625" style="172" customWidth="1"/>
    <col min="7693" max="7694" width="9.140625" style="172" hidden="1" customWidth="1"/>
    <col min="7695" max="7695" width="9.140625" style="172" customWidth="1"/>
    <col min="7696" max="7696" width="11.7109375" style="172" customWidth="1"/>
    <col min="7697" max="7940" width="9.140625" style="172"/>
    <col min="7941" max="7941" width="4.85546875" style="172" customWidth="1"/>
    <col min="7942" max="7942" width="2.140625" style="172" customWidth="1"/>
    <col min="7943" max="7943" width="34.7109375" style="172" customWidth="1"/>
    <col min="7944" max="7944" width="16.140625" style="172" customWidth="1"/>
    <col min="7945" max="7945" width="6.7109375" style="172" customWidth="1"/>
    <col min="7946" max="7946" width="44.7109375" style="172" customWidth="1"/>
    <col min="7947" max="7948" width="22.28515625" style="172" customWidth="1"/>
    <col min="7949" max="7950" width="9.140625" style="172" hidden="1" customWidth="1"/>
    <col min="7951" max="7951" width="9.140625" style="172" customWidth="1"/>
    <col min="7952" max="7952" width="11.7109375" style="172" customWidth="1"/>
    <col min="7953" max="8196" width="9.140625" style="172"/>
    <col min="8197" max="8197" width="4.85546875" style="172" customWidth="1"/>
    <col min="8198" max="8198" width="2.140625" style="172" customWidth="1"/>
    <col min="8199" max="8199" width="34.7109375" style="172" customWidth="1"/>
    <col min="8200" max="8200" width="16.140625" style="172" customWidth="1"/>
    <col min="8201" max="8201" width="6.7109375" style="172" customWidth="1"/>
    <col min="8202" max="8202" width="44.7109375" style="172" customWidth="1"/>
    <col min="8203" max="8204" width="22.28515625" style="172" customWidth="1"/>
    <col min="8205" max="8206" width="9.140625" style="172" hidden="1" customWidth="1"/>
    <col min="8207" max="8207" width="9.140625" style="172" customWidth="1"/>
    <col min="8208" max="8208" width="11.7109375" style="172" customWidth="1"/>
    <col min="8209" max="8452" width="9.140625" style="172"/>
    <col min="8453" max="8453" width="4.85546875" style="172" customWidth="1"/>
    <col min="8454" max="8454" width="2.140625" style="172" customWidth="1"/>
    <col min="8455" max="8455" width="34.7109375" style="172" customWidth="1"/>
    <col min="8456" max="8456" width="16.140625" style="172" customWidth="1"/>
    <col min="8457" max="8457" width="6.7109375" style="172" customWidth="1"/>
    <col min="8458" max="8458" width="44.7109375" style="172" customWidth="1"/>
    <col min="8459" max="8460" width="22.28515625" style="172" customWidth="1"/>
    <col min="8461" max="8462" width="9.140625" style="172" hidden="1" customWidth="1"/>
    <col min="8463" max="8463" width="9.140625" style="172" customWidth="1"/>
    <col min="8464" max="8464" width="11.7109375" style="172" customWidth="1"/>
    <col min="8465" max="8708" width="9.140625" style="172"/>
    <col min="8709" max="8709" width="4.85546875" style="172" customWidth="1"/>
    <col min="8710" max="8710" width="2.140625" style="172" customWidth="1"/>
    <col min="8711" max="8711" width="34.7109375" style="172" customWidth="1"/>
    <col min="8712" max="8712" width="16.140625" style="172" customWidth="1"/>
    <col min="8713" max="8713" width="6.7109375" style="172" customWidth="1"/>
    <col min="8714" max="8714" width="44.7109375" style="172" customWidth="1"/>
    <col min="8715" max="8716" width="22.28515625" style="172" customWidth="1"/>
    <col min="8717" max="8718" width="9.140625" style="172" hidden="1" customWidth="1"/>
    <col min="8719" max="8719" width="9.140625" style="172" customWidth="1"/>
    <col min="8720" max="8720" width="11.7109375" style="172" customWidth="1"/>
    <col min="8721" max="8964" width="9.140625" style="172"/>
    <col min="8965" max="8965" width="4.85546875" style="172" customWidth="1"/>
    <col min="8966" max="8966" width="2.140625" style="172" customWidth="1"/>
    <col min="8967" max="8967" width="34.7109375" style="172" customWidth="1"/>
    <col min="8968" max="8968" width="16.140625" style="172" customWidth="1"/>
    <col min="8969" max="8969" width="6.7109375" style="172" customWidth="1"/>
    <col min="8970" max="8970" width="44.7109375" style="172" customWidth="1"/>
    <col min="8971" max="8972" width="22.28515625" style="172" customWidth="1"/>
    <col min="8973" max="8974" width="9.140625" style="172" hidden="1" customWidth="1"/>
    <col min="8975" max="8975" width="9.140625" style="172" customWidth="1"/>
    <col min="8976" max="8976" width="11.7109375" style="172" customWidth="1"/>
    <col min="8977" max="9220" width="9.140625" style="172"/>
    <col min="9221" max="9221" width="4.85546875" style="172" customWidth="1"/>
    <col min="9222" max="9222" width="2.140625" style="172" customWidth="1"/>
    <col min="9223" max="9223" width="34.7109375" style="172" customWidth="1"/>
    <col min="9224" max="9224" width="16.140625" style="172" customWidth="1"/>
    <col min="9225" max="9225" width="6.7109375" style="172" customWidth="1"/>
    <col min="9226" max="9226" width="44.7109375" style="172" customWidth="1"/>
    <col min="9227" max="9228" width="22.28515625" style="172" customWidth="1"/>
    <col min="9229" max="9230" width="9.140625" style="172" hidden="1" customWidth="1"/>
    <col min="9231" max="9231" width="9.140625" style="172" customWidth="1"/>
    <col min="9232" max="9232" width="11.7109375" style="172" customWidth="1"/>
    <col min="9233" max="9476" width="9.140625" style="172"/>
    <col min="9477" max="9477" width="4.85546875" style="172" customWidth="1"/>
    <col min="9478" max="9478" width="2.140625" style="172" customWidth="1"/>
    <col min="9479" max="9479" width="34.7109375" style="172" customWidth="1"/>
    <col min="9480" max="9480" width="16.140625" style="172" customWidth="1"/>
    <col min="9481" max="9481" width="6.7109375" style="172" customWidth="1"/>
    <col min="9482" max="9482" width="44.7109375" style="172" customWidth="1"/>
    <col min="9483" max="9484" width="22.28515625" style="172" customWidth="1"/>
    <col min="9485" max="9486" width="9.140625" style="172" hidden="1" customWidth="1"/>
    <col min="9487" max="9487" width="9.140625" style="172" customWidth="1"/>
    <col min="9488" max="9488" width="11.7109375" style="172" customWidth="1"/>
    <col min="9489" max="9732" width="9.140625" style="172"/>
    <col min="9733" max="9733" width="4.85546875" style="172" customWidth="1"/>
    <col min="9734" max="9734" width="2.140625" style="172" customWidth="1"/>
    <col min="9735" max="9735" width="34.7109375" style="172" customWidth="1"/>
    <col min="9736" max="9736" width="16.140625" style="172" customWidth="1"/>
    <col min="9737" max="9737" width="6.7109375" style="172" customWidth="1"/>
    <col min="9738" max="9738" width="44.7109375" style="172" customWidth="1"/>
    <col min="9739" max="9740" width="22.28515625" style="172" customWidth="1"/>
    <col min="9741" max="9742" width="9.140625" style="172" hidden="1" customWidth="1"/>
    <col min="9743" max="9743" width="9.140625" style="172" customWidth="1"/>
    <col min="9744" max="9744" width="11.7109375" style="172" customWidth="1"/>
    <col min="9745" max="9988" width="9.140625" style="172"/>
    <col min="9989" max="9989" width="4.85546875" style="172" customWidth="1"/>
    <col min="9990" max="9990" width="2.140625" style="172" customWidth="1"/>
    <col min="9991" max="9991" width="34.7109375" style="172" customWidth="1"/>
    <col min="9992" max="9992" width="16.140625" style="172" customWidth="1"/>
    <col min="9993" max="9993" width="6.7109375" style="172" customWidth="1"/>
    <col min="9994" max="9994" width="44.7109375" style="172" customWidth="1"/>
    <col min="9995" max="9996" width="22.28515625" style="172" customWidth="1"/>
    <col min="9997" max="9998" width="9.140625" style="172" hidden="1" customWidth="1"/>
    <col min="9999" max="9999" width="9.140625" style="172" customWidth="1"/>
    <col min="10000" max="10000" width="11.7109375" style="172" customWidth="1"/>
    <col min="10001" max="10244" width="9.140625" style="172"/>
    <col min="10245" max="10245" width="4.85546875" style="172" customWidth="1"/>
    <col min="10246" max="10246" width="2.140625" style="172" customWidth="1"/>
    <col min="10247" max="10247" width="34.7109375" style="172" customWidth="1"/>
    <col min="10248" max="10248" width="16.140625" style="172" customWidth="1"/>
    <col min="10249" max="10249" width="6.7109375" style="172" customWidth="1"/>
    <col min="10250" max="10250" width="44.7109375" style="172" customWidth="1"/>
    <col min="10251" max="10252" width="22.28515625" style="172" customWidth="1"/>
    <col min="10253" max="10254" width="9.140625" style="172" hidden="1" customWidth="1"/>
    <col min="10255" max="10255" width="9.140625" style="172" customWidth="1"/>
    <col min="10256" max="10256" width="11.7109375" style="172" customWidth="1"/>
    <col min="10257" max="10500" width="9.140625" style="172"/>
    <col min="10501" max="10501" width="4.85546875" style="172" customWidth="1"/>
    <col min="10502" max="10502" width="2.140625" style="172" customWidth="1"/>
    <col min="10503" max="10503" width="34.7109375" style="172" customWidth="1"/>
    <col min="10504" max="10504" width="16.140625" style="172" customWidth="1"/>
    <col min="10505" max="10505" width="6.7109375" style="172" customWidth="1"/>
    <col min="10506" max="10506" width="44.7109375" style="172" customWidth="1"/>
    <col min="10507" max="10508" width="22.28515625" style="172" customWidth="1"/>
    <col min="10509" max="10510" width="9.140625" style="172" hidden="1" customWidth="1"/>
    <col min="10511" max="10511" width="9.140625" style="172" customWidth="1"/>
    <col min="10512" max="10512" width="11.7109375" style="172" customWidth="1"/>
    <col min="10513" max="10756" width="9.140625" style="172"/>
    <col min="10757" max="10757" width="4.85546875" style="172" customWidth="1"/>
    <col min="10758" max="10758" width="2.140625" style="172" customWidth="1"/>
    <col min="10759" max="10759" width="34.7109375" style="172" customWidth="1"/>
    <col min="10760" max="10760" width="16.140625" style="172" customWidth="1"/>
    <col min="10761" max="10761" width="6.7109375" style="172" customWidth="1"/>
    <col min="10762" max="10762" width="44.7109375" style="172" customWidth="1"/>
    <col min="10763" max="10764" width="22.28515625" style="172" customWidth="1"/>
    <col min="10765" max="10766" width="9.140625" style="172" hidden="1" customWidth="1"/>
    <col min="10767" max="10767" width="9.140625" style="172" customWidth="1"/>
    <col min="10768" max="10768" width="11.7109375" style="172" customWidth="1"/>
    <col min="10769" max="11012" width="9.140625" style="172"/>
    <col min="11013" max="11013" width="4.85546875" style="172" customWidth="1"/>
    <col min="11014" max="11014" width="2.140625" style="172" customWidth="1"/>
    <col min="11015" max="11015" width="34.7109375" style="172" customWidth="1"/>
    <col min="11016" max="11016" width="16.140625" style="172" customWidth="1"/>
    <col min="11017" max="11017" width="6.7109375" style="172" customWidth="1"/>
    <col min="11018" max="11018" width="44.7109375" style="172" customWidth="1"/>
    <col min="11019" max="11020" width="22.28515625" style="172" customWidth="1"/>
    <col min="11021" max="11022" width="9.140625" style="172" hidden="1" customWidth="1"/>
    <col min="11023" max="11023" width="9.140625" style="172" customWidth="1"/>
    <col min="11024" max="11024" width="11.7109375" style="172" customWidth="1"/>
    <col min="11025" max="11268" width="9.140625" style="172"/>
    <col min="11269" max="11269" width="4.85546875" style="172" customWidth="1"/>
    <col min="11270" max="11270" width="2.140625" style="172" customWidth="1"/>
    <col min="11271" max="11271" width="34.7109375" style="172" customWidth="1"/>
    <col min="11272" max="11272" width="16.140625" style="172" customWidth="1"/>
    <col min="11273" max="11273" width="6.7109375" style="172" customWidth="1"/>
    <col min="11274" max="11274" width="44.7109375" style="172" customWidth="1"/>
    <col min="11275" max="11276" width="22.28515625" style="172" customWidth="1"/>
    <col min="11277" max="11278" width="9.140625" style="172" hidden="1" customWidth="1"/>
    <col min="11279" max="11279" width="9.140625" style="172" customWidth="1"/>
    <col min="11280" max="11280" width="11.7109375" style="172" customWidth="1"/>
    <col min="11281" max="11524" width="9.140625" style="172"/>
    <col min="11525" max="11525" width="4.85546875" style="172" customWidth="1"/>
    <col min="11526" max="11526" width="2.140625" style="172" customWidth="1"/>
    <col min="11527" max="11527" width="34.7109375" style="172" customWidth="1"/>
    <col min="11528" max="11528" width="16.140625" style="172" customWidth="1"/>
    <col min="11529" max="11529" width="6.7109375" style="172" customWidth="1"/>
    <col min="11530" max="11530" width="44.7109375" style="172" customWidth="1"/>
    <col min="11531" max="11532" width="22.28515625" style="172" customWidth="1"/>
    <col min="11533" max="11534" width="9.140625" style="172" hidden="1" customWidth="1"/>
    <col min="11535" max="11535" width="9.140625" style="172" customWidth="1"/>
    <col min="11536" max="11536" width="11.7109375" style="172" customWidth="1"/>
    <col min="11537" max="11780" width="9.140625" style="172"/>
    <col min="11781" max="11781" width="4.85546875" style="172" customWidth="1"/>
    <col min="11782" max="11782" width="2.140625" style="172" customWidth="1"/>
    <col min="11783" max="11783" width="34.7109375" style="172" customWidth="1"/>
    <col min="11784" max="11784" width="16.140625" style="172" customWidth="1"/>
    <col min="11785" max="11785" width="6.7109375" style="172" customWidth="1"/>
    <col min="11786" max="11786" width="44.7109375" style="172" customWidth="1"/>
    <col min="11787" max="11788" width="22.28515625" style="172" customWidth="1"/>
    <col min="11789" max="11790" width="9.140625" style="172" hidden="1" customWidth="1"/>
    <col min="11791" max="11791" width="9.140625" style="172" customWidth="1"/>
    <col min="11792" max="11792" width="11.7109375" style="172" customWidth="1"/>
    <col min="11793" max="12036" width="9.140625" style="172"/>
    <col min="12037" max="12037" width="4.85546875" style="172" customWidth="1"/>
    <col min="12038" max="12038" width="2.140625" style="172" customWidth="1"/>
    <col min="12039" max="12039" width="34.7109375" style="172" customWidth="1"/>
    <col min="12040" max="12040" width="16.140625" style="172" customWidth="1"/>
    <col min="12041" max="12041" width="6.7109375" style="172" customWidth="1"/>
    <col min="12042" max="12042" width="44.7109375" style="172" customWidth="1"/>
    <col min="12043" max="12044" width="22.28515625" style="172" customWidth="1"/>
    <col min="12045" max="12046" width="9.140625" style="172" hidden="1" customWidth="1"/>
    <col min="12047" max="12047" width="9.140625" style="172" customWidth="1"/>
    <col min="12048" max="12048" width="11.7109375" style="172" customWidth="1"/>
    <col min="12049" max="12292" width="9.140625" style="172"/>
    <col min="12293" max="12293" width="4.85546875" style="172" customWidth="1"/>
    <col min="12294" max="12294" width="2.140625" style="172" customWidth="1"/>
    <col min="12295" max="12295" width="34.7109375" style="172" customWidth="1"/>
    <col min="12296" max="12296" width="16.140625" style="172" customWidth="1"/>
    <col min="12297" max="12297" width="6.7109375" style="172" customWidth="1"/>
    <col min="12298" max="12298" width="44.7109375" style="172" customWidth="1"/>
    <col min="12299" max="12300" width="22.28515625" style="172" customWidth="1"/>
    <col min="12301" max="12302" width="9.140625" style="172" hidden="1" customWidth="1"/>
    <col min="12303" max="12303" width="9.140625" style="172" customWidth="1"/>
    <col min="12304" max="12304" width="11.7109375" style="172" customWidth="1"/>
    <col min="12305" max="12548" width="9.140625" style="172"/>
    <col min="12549" max="12549" width="4.85546875" style="172" customWidth="1"/>
    <col min="12550" max="12550" width="2.140625" style="172" customWidth="1"/>
    <col min="12551" max="12551" width="34.7109375" style="172" customWidth="1"/>
    <col min="12552" max="12552" width="16.140625" style="172" customWidth="1"/>
    <col min="12553" max="12553" width="6.7109375" style="172" customWidth="1"/>
    <col min="12554" max="12554" width="44.7109375" style="172" customWidth="1"/>
    <col min="12555" max="12556" width="22.28515625" style="172" customWidth="1"/>
    <col min="12557" max="12558" width="9.140625" style="172" hidden="1" customWidth="1"/>
    <col min="12559" max="12559" width="9.140625" style="172" customWidth="1"/>
    <col min="12560" max="12560" width="11.7109375" style="172" customWidth="1"/>
    <col min="12561" max="12804" width="9.140625" style="172"/>
    <col min="12805" max="12805" width="4.85546875" style="172" customWidth="1"/>
    <col min="12806" max="12806" width="2.140625" style="172" customWidth="1"/>
    <col min="12807" max="12807" width="34.7109375" style="172" customWidth="1"/>
    <col min="12808" max="12808" width="16.140625" style="172" customWidth="1"/>
    <col min="12809" max="12809" width="6.7109375" style="172" customWidth="1"/>
    <col min="12810" max="12810" width="44.7109375" style="172" customWidth="1"/>
    <col min="12811" max="12812" width="22.28515625" style="172" customWidth="1"/>
    <col min="12813" max="12814" width="9.140625" style="172" hidden="1" customWidth="1"/>
    <col min="12815" max="12815" width="9.140625" style="172" customWidth="1"/>
    <col min="12816" max="12816" width="11.7109375" style="172" customWidth="1"/>
    <col min="12817" max="13060" width="9.140625" style="172"/>
    <col min="13061" max="13061" width="4.85546875" style="172" customWidth="1"/>
    <col min="13062" max="13062" width="2.140625" style="172" customWidth="1"/>
    <col min="13063" max="13063" width="34.7109375" style="172" customWidth="1"/>
    <col min="13064" max="13064" width="16.140625" style="172" customWidth="1"/>
    <col min="13065" max="13065" width="6.7109375" style="172" customWidth="1"/>
    <col min="13066" max="13066" width="44.7109375" style="172" customWidth="1"/>
    <col min="13067" max="13068" width="22.28515625" style="172" customWidth="1"/>
    <col min="13069" max="13070" width="9.140625" style="172" hidden="1" customWidth="1"/>
    <col min="13071" max="13071" width="9.140625" style="172" customWidth="1"/>
    <col min="13072" max="13072" width="11.7109375" style="172" customWidth="1"/>
    <col min="13073" max="13316" width="9.140625" style="172"/>
    <col min="13317" max="13317" width="4.85546875" style="172" customWidth="1"/>
    <col min="13318" max="13318" width="2.140625" style="172" customWidth="1"/>
    <col min="13319" max="13319" width="34.7109375" style="172" customWidth="1"/>
    <col min="13320" max="13320" width="16.140625" style="172" customWidth="1"/>
    <col min="13321" max="13321" width="6.7109375" style="172" customWidth="1"/>
    <col min="13322" max="13322" width="44.7109375" style="172" customWidth="1"/>
    <col min="13323" max="13324" width="22.28515625" style="172" customWidth="1"/>
    <col min="13325" max="13326" width="9.140625" style="172" hidden="1" customWidth="1"/>
    <col min="13327" max="13327" width="9.140625" style="172" customWidth="1"/>
    <col min="13328" max="13328" width="11.7109375" style="172" customWidth="1"/>
    <col min="13329" max="13572" width="9.140625" style="172"/>
    <col min="13573" max="13573" width="4.85546875" style="172" customWidth="1"/>
    <col min="13574" max="13574" width="2.140625" style="172" customWidth="1"/>
    <col min="13575" max="13575" width="34.7109375" style="172" customWidth="1"/>
    <col min="13576" max="13576" width="16.140625" style="172" customWidth="1"/>
    <col min="13577" max="13577" width="6.7109375" style="172" customWidth="1"/>
    <col min="13578" max="13578" width="44.7109375" style="172" customWidth="1"/>
    <col min="13579" max="13580" width="22.28515625" style="172" customWidth="1"/>
    <col min="13581" max="13582" width="9.140625" style="172" hidden="1" customWidth="1"/>
    <col min="13583" max="13583" width="9.140625" style="172" customWidth="1"/>
    <col min="13584" max="13584" width="11.7109375" style="172" customWidth="1"/>
    <col min="13585" max="13828" width="9.140625" style="172"/>
    <col min="13829" max="13829" width="4.85546875" style="172" customWidth="1"/>
    <col min="13830" max="13830" width="2.140625" style="172" customWidth="1"/>
    <col min="13831" max="13831" width="34.7109375" style="172" customWidth="1"/>
    <col min="13832" max="13832" width="16.140625" style="172" customWidth="1"/>
    <col min="13833" max="13833" width="6.7109375" style="172" customWidth="1"/>
    <col min="13834" max="13834" width="44.7109375" style="172" customWidth="1"/>
    <col min="13835" max="13836" width="22.28515625" style="172" customWidth="1"/>
    <col min="13837" max="13838" width="9.140625" style="172" hidden="1" customWidth="1"/>
    <col min="13839" max="13839" width="9.140625" style="172" customWidth="1"/>
    <col min="13840" max="13840" width="11.7109375" style="172" customWidth="1"/>
    <col min="13841" max="14084" width="9.140625" style="172"/>
    <col min="14085" max="14085" width="4.85546875" style="172" customWidth="1"/>
    <col min="14086" max="14086" width="2.140625" style="172" customWidth="1"/>
    <col min="14087" max="14087" width="34.7109375" style="172" customWidth="1"/>
    <col min="14088" max="14088" width="16.140625" style="172" customWidth="1"/>
    <col min="14089" max="14089" width="6.7109375" style="172" customWidth="1"/>
    <col min="14090" max="14090" width="44.7109375" style="172" customWidth="1"/>
    <col min="14091" max="14092" width="22.28515625" style="172" customWidth="1"/>
    <col min="14093" max="14094" width="9.140625" style="172" hidden="1" customWidth="1"/>
    <col min="14095" max="14095" width="9.140625" style="172" customWidth="1"/>
    <col min="14096" max="14096" width="11.7109375" style="172" customWidth="1"/>
    <col min="14097" max="14340" width="9.140625" style="172"/>
    <col min="14341" max="14341" width="4.85546875" style="172" customWidth="1"/>
    <col min="14342" max="14342" width="2.140625" style="172" customWidth="1"/>
    <col min="14343" max="14343" width="34.7109375" style="172" customWidth="1"/>
    <col min="14344" max="14344" width="16.140625" style="172" customWidth="1"/>
    <col min="14345" max="14345" width="6.7109375" style="172" customWidth="1"/>
    <col min="14346" max="14346" width="44.7109375" style="172" customWidth="1"/>
    <col min="14347" max="14348" width="22.28515625" style="172" customWidth="1"/>
    <col min="14349" max="14350" width="9.140625" style="172" hidden="1" customWidth="1"/>
    <col min="14351" max="14351" width="9.140625" style="172" customWidth="1"/>
    <col min="14352" max="14352" width="11.7109375" style="172" customWidth="1"/>
    <col min="14353" max="14596" width="9.140625" style="172"/>
    <col min="14597" max="14597" width="4.85546875" style="172" customWidth="1"/>
    <col min="14598" max="14598" width="2.140625" style="172" customWidth="1"/>
    <col min="14599" max="14599" width="34.7109375" style="172" customWidth="1"/>
    <col min="14600" max="14600" width="16.140625" style="172" customWidth="1"/>
    <col min="14601" max="14601" width="6.7109375" style="172" customWidth="1"/>
    <col min="14602" max="14602" width="44.7109375" style="172" customWidth="1"/>
    <col min="14603" max="14604" width="22.28515625" style="172" customWidth="1"/>
    <col min="14605" max="14606" width="9.140625" style="172" hidden="1" customWidth="1"/>
    <col min="14607" max="14607" width="9.140625" style="172" customWidth="1"/>
    <col min="14608" max="14608" width="11.7109375" style="172" customWidth="1"/>
    <col min="14609" max="14852" width="9.140625" style="172"/>
    <col min="14853" max="14853" width="4.85546875" style="172" customWidth="1"/>
    <col min="14854" max="14854" width="2.140625" style="172" customWidth="1"/>
    <col min="14855" max="14855" width="34.7109375" style="172" customWidth="1"/>
    <col min="14856" max="14856" width="16.140625" style="172" customWidth="1"/>
    <col min="14857" max="14857" width="6.7109375" style="172" customWidth="1"/>
    <col min="14858" max="14858" width="44.7109375" style="172" customWidth="1"/>
    <col min="14859" max="14860" width="22.28515625" style="172" customWidth="1"/>
    <col min="14861" max="14862" width="9.140625" style="172" hidden="1" customWidth="1"/>
    <col min="14863" max="14863" width="9.140625" style="172" customWidth="1"/>
    <col min="14864" max="14864" width="11.7109375" style="172" customWidth="1"/>
    <col min="14865" max="15108" width="9.140625" style="172"/>
    <col min="15109" max="15109" width="4.85546875" style="172" customWidth="1"/>
    <col min="15110" max="15110" width="2.140625" style="172" customWidth="1"/>
    <col min="15111" max="15111" width="34.7109375" style="172" customWidth="1"/>
    <col min="15112" max="15112" width="16.140625" style="172" customWidth="1"/>
    <col min="15113" max="15113" width="6.7109375" style="172" customWidth="1"/>
    <col min="15114" max="15114" width="44.7109375" style="172" customWidth="1"/>
    <col min="15115" max="15116" width="22.28515625" style="172" customWidth="1"/>
    <col min="15117" max="15118" width="9.140625" style="172" hidden="1" customWidth="1"/>
    <col min="15119" max="15119" width="9.140625" style="172" customWidth="1"/>
    <col min="15120" max="15120" width="11.7109375" style="172" customWidth="1"/>
    <col min="15121" max="15364" width="9.140625" style="172"/>
    <col min="15365" max="15365" width="4.85546875" style="172" customWidth="1"/>
    <col min="15366" max="15366" width="2.140625" style="172" customWidth="1"/>
    <col min="15367" max="15367" width="34.7109375" style="172" customWidth="1"/>
    <col min="15368" max="15368" width="16.140625" style="172" customWidth="1"/>
    <col min="15369" max="15369" width="6.7109375" style="172" customWidth="1"/>
    <col min="15370" max="15370" width="44.7109375" style="172" customWidth="1"/>
    <col min="15371" max="15372" width="22.28515625" style="172" customWidth="1"/>
    <col min="15373" max="15374" width="9.140625" style="172" hidden="1" customWidth="1"/>
    <col min="15375" max="15375" width="9.140625" style="172" customWidth="1"/>
    <col min="15376" max="15376" width="11.7109375" style="172" customWidth="1"/>
    <col min="15377" max="15620" width="9.140625" style="172"/>
    <col min="15621" max="15621" width="4.85546875" style="172" customWidth="1"/>
    <col min="15622" max="15622" width="2.140625" style="172" customWidth="1"/>
    <col min="15623" max="15623" width="34.7109375" style="172" customWidth="1"/>
    <col min="15624" max="15624" width="16.140625" style="172" customWidth="1"/>
    <col min="15625" max="15625" width="6.7109375" style="172" customWidth="1"/>
    <col min="15626" max="15626" width="44.7109375" style="172" customWidth="1"/>
    <col min="15627" max="15628" width="22.28515625" style="172" customWidth="1"/>
    <col min="15629" max="15630" width="9.140625" style="172" hidden="1" customWidth="1"/>
    <col min="15631" max="15631" width="9.140625" style="172" customWidth="1"/>
    <col min="15632" max="15632" width="11.7109375" style="172" customWidth="1"/>
    <col min="15633" max="15876" width="9.140625" style="172"/>
    <col min="15877" max="15877" width="4.85546875" style="172" customWidth="1"/>
    <col min="15878" max="15878" width="2.140625" style="172" customWidth="1"/>
    <col min="15879" max="15879" width="34.7109375" style="172" customWidth="1"/>
    <col min="15880" max="15880" width="16.140625" style="172" customWidth="1"/>
    <col min="15881" max="15881" width="6.7109375" style="172" customWidth="1"/>
    <col min="15882" max="15882" width="44.7109375" style="172" customWidth="1"/>
    <col min="15883" max="15884" width="22.28515625" style="172" customWidth="1"/>
    <col min="15885" max="15886" width="9.140625" style="172" hidden="1" customWidth="1"/>
    <col min="15887" max="15887" width="9.140625" style="172" customWidth="1"/>
    <col min="15888" max="15888" width="11.7109375" style="172" customWidth="1"/>
    <col min="15889" max="16132" width="9.140625" style="172"/>
    <col min="16133" max="16133" width="4.85546875" style="172" customWidth="1"/>
    <col min="16134" max="16134" width="2.140625" style="172" customWidth="1"/>
    <col min="16135" max="16135" width="34.7109375" style="172" customWidth="1"/>
    <col min="16136" max="16136" width="16.140625" style="172" customWidth="1"/>
    <col min="16137" max="16137" width="6.7109375" style="172" customWidth="1"/>
    <col min="16138" max="16138" width="44.7109375" style="172" customWidth="1"/>
    <col min="16139" max="16140" width="22.28515625" style="172" customWidth="1"/>
    <col min="16141" max="16142" width="9.140625" style="172" hidden="1" customWidth="1"/>
    <col min="16143" max="16143" width="9.140625" style="172" customWidth="1"/>
    <col min="16144" max="16144" width="11.7109375" style="172" customWidth="1"/>
    <col min="16145" max="16384" width="9.140625" style="172"/>
  </cols>
  <sheetData>
    <row r="2" spans="2:22" ht="51" customHeight="1">
      <c r="C2" s="1852" t="s">
        <v>493</v>
      </c>
      <c r="D2" s="1852"/>
      <c r="E2" s="1852"/>
      <c r="F2" s="1852"/>
      <c r="G2" s="1852"/>
      <c r="H2" s="1852"/>
      <c r="I2" s="177"/>
      <c r="J2" s="177"/>
      <c r="K2" s="177"/>
      <c r="L2" s="177"/>
      <c r="M2" s="177"/>
      <c r="N2" s="1172"/>
      <c r="S2" s="232" t="s">
        <v>9</v>
      </c>
      <c r="U2" s="233">
        <v>4.657</v>
      </c>
      <c r="V2" s="176" t="s">
        <v>387</v>
      </c>
    </row>
    <row r="3" spans="2:22" ht="34.5" customHeight="1">
      <c r="C3" s="178" t="s">
        <v>494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35" t="s">
        <v>389</v>
      </c>
      <c r="S3" s="174" t="s">
        <v>37</v>
      </c>
      <c r="T3" s="174" t="s">
        <v>37</v>
      </c>
    </row>
    <row r="4" spans="2:22">
      <c r="B4" s="1853" t="s">
        <v>495</v>
      </c>
      <c r="C4" s="1853"/>
      <c r="D4" s="1853"/>
      <c r="E4" s="1853"/>
      <c r="F4" s="1853"/>
      <c r="G4" s="1853"/>
      <c r="H4" s="176"/>
      <c r="I4" s="176"/>
      <c r="J4" s="176"/>
      <c r="K4" s="176"/>
      <c r="L4" s="176"/>
      <c r="M4" s="176"/>
    </row>
    <row r="5" spans="2:22" ht="103.5" customHeight="1">
      <c r="C5" s="179" t="s">
        <v>391</v>
      </c>
      <c r="D5" s="1854" t="s">
        <v>392</v>
      </c>
      <c r="E5" s="1854"/>
      <c r="F5" s="180" t="s">
        <v>393</v>
      </c>
      <c r="G5" s="181" t="s">
        <v>394</v>
      </c>
      <c r="H5" s="181" t="s">
        <v>395</v>
      </c>
      <c r="I5" s="181" t="s">
        <v>396</v>
      </c>
      <c r="J5" s="181" t="s">
        <v>397</v>
      </c>
      <c r="K5" s="181" t="s">
        <v>398</v>
      </c>
      <c r="L5" s="181" t="s">
        <v>399</v>
      </c>
      <c r="M5" s="181" t="s">
        <v>400</v>
      </c>
      <c r="N5" s="181" t="s">
        <v>401</v>
      </c>
      <c r="P5" s="180" t="s">
        <v>402</v>
      </c>
      <c r="Q5" s="180" t="s">
        <v>403</v>
      </c>
    </row>
    <row r="6" spans="2:22" s="169" customFormat="1" ht="12.75" customHeight="1">
      <c r="C6" s="182">
        <v>1</v>
      </c>
      <c r="D6" s="1855">
        <v>2</v>
      </c>
      <c r="E6" s="1855"/>
      <c r="F6" s="183">
        <v>3</v>
      </c>
      <c r="G6" s="184">
        <v>4</v>
      </c>
      <c r="H6" s="184">
        <v>5</v>
      </c>
      <c r="I6" s="184"/>
      <c r="J6" s="184"/>
      <c r="K6" s="184"/>
      <c r="L6" s="184"/>
      <c r="M6" s="184"/>
      <c r="N6" s="184"/>
      <c r="P6" s="182"/>
      <c r="Q6" s="182"/>
    </row>
    <row r="7" spans="2:22" s="170" customFormat="1" ht="21" customHeight="1">
      <c r="C7" s="1865" t="s">
        <v>404</v>
      </c>
      <c r="D7" s="1856" t="s">
        <v>405</v>
      </c>
      <c r="E7" s="1856"/>
      <c r="F7" s="186" t="s">
        <v>406</v>
      </c>
      <c r="G7" s="187">
        <f>'Schema Echiv_DB cst'!G7</f>
        <v>0</v>
      </c>
      <c r="H7" s="187">
        <f>'Schema Echiv_DB cst'!H7</f>
        <v>0</v>
      </c>
      <c r="I7" s="187"/>
      <c r="J7" s="187"/>
      <c r="K7" s="187"/>
      <c r="L7" s="187"/>
      <c r="M7" s="187">
        <f>'Schema Echiv_DB cst'!M7</f>
        <v>0</v>
      </c>
      <c r="N7" s="187">
        <f>'Schema Echiv_DB cst'!N7</f>
        <v>0</v>
      </c>
      <c r="P7" s="238">
        <v>14</v>
      </c>
      <c r="Q7" s="238">
        <v>42</v>
      </c>
      <c r="R7" s="239"/>
    </row>
    <row r="8" spans="2:22" s="170" customFormat="1" ht="21" customHeight="1">
      <c r="C8" s="1865"/>
      <c r="D8" s="1856"/>
      <c r="E8" s="1856"/>
      <c r="F8" s="186" t="s">
        <v>126</v>
      </c>
      <c r="G8" s="187">
        <f>'Schema Echiv_DB cst'!G8</f>
        <v>0</v>
      </c>
      <c r="H8" s="187">
        <f>'Schema Echiv_DB cst'!H8</f>
        <v>0</v>
      </c>
      <c r="I8" s="187"/>
      <c r="J8" s="187"/>
      <c r="K8" s="187"/>
      <c r="L8" s="187"/>
      <c r="M8" s="187">
        <f>'Schema Echiv_DB cst'!M8</f>
        <v>0</v>
      </c>
      <c r="N8" s="187">
        <f>'Schema Echiv_DB cst'!N8</f>
        <v>0</v>
      </c>
      <c r="P8" s="238">
        <v>14</v>
      </c>
      <c r="Q8" s="238">
        <v>48</v>
      </c>
      <c r="R8" s="239"/>
    </row>
    <row r="9" spans="2:22" s="170" customFormat="1" ht="21" customHeight="1">
      <c r="C9" s="1865"/>
      <c r="D9" s="1856"/>
      <c r="E9" s="1856"/>
      <c r="F9" s="186" t="s">
        <v>127</v>
      </c>
      <c r="G9" s="187">
        <f>'Schema Echiv_DB cst'!G9</f>
        <v>0</v>
      </c>
      <c r="H9" s="187">
        <f>'Schema Echiv_DB cst'!H9</f>
        <v>0</v>
      </c>
      <c r="I9" s="187"/>
      <c r="J9" s="187"/>
      <c r="K9" s="187"/>
      <c r="L9" s="187"/>
      <c r="M9" s="187">
        <f>'Schema Echiv_DB cst'!M9</f>
        <v>0</v>
      </c>
      <c r="N9" s="187">
        <f>'Schema Echiv_DB cst'!N9</f>
        <v>0</v>
      </c>
      <c r="P9" s="238">
        <v>14</v>
      </c>
      <c r="Q9" s="238">
        <v>48</v>
      </c>
      <c r="R9" s="239"/>
    </row>
    <row r="10" spans="2:22" s="170" customFormat="1" ht="21" customHeight="1">
      <c r="C10" s="1865"/>
      <c r="D10" s="1856"/>
      <c r="E10" s="1856"/>
      <c r="F10" s="186" t="s">
        <v>407</v>
      </c>
      <c r="G10" s="187">
        <f>'Schema Echiv_DB cst'!G10</f>
        <v>0</v>
      </c>
      <c r="H10" s="187">
        <f>'Schema Echiv_DB cst'!H10</f>
        <v>0</v>
      </c>
      <c r="I10" s="187"/>
      <c r="J10" s="187"/>
      <c r="K10" s="187"/>
      <c r="L10" s="187"/>
      <c r="M10" s="187">
        <f>'Schema Echiv_DB cst'!M10</f>
        <v>0</v>
      </c>
      <c r="N10" s="187">
        <f>'Schema Echiv_DB cst'!N10</f>
        <v>0</v>
      </c>
      <c r="P10" s="238">
        <v>14</v>
      </c>
      <c r="Q10" s="238">
        <v>44</v>
      </c>
      <c r="R10" s="239"/>
    </row>
    <row r="11" spans="2:22" s="170" customFormat="1" ht="24.75" customHeight="1">
      <c r="C11" s="1865"/>
      <c r="D11" s="1856"/>
      <c r="E11" s="1856"/>
      <c r="F11" s="189" t="s">
        <v>408</v>
      </c>
      <c r="G11" s="187">
        <f>'Schema Echiv_DB cst'!G11</f>
        <v>0</v>
      </c>
      <c r="H11" s="187">
        <f>'Schema Echiv_DB cst'!H11</f>
        <v>0</v>
      </c>
      <c r="I11" s="187"/>
      <c r="J11" s="187"/>
      <c r="K11" s="187"/>
      <c r="L11" s="187"/>
      <c r="M11" s="187">
        <f>'Schema Echiv_DB cst'!M11</f>
        <v>0</v>
      </c>
      <c r="N11" s="187">
        <f>'Schema Echiv_DB cst'!N11</f>
        <v>0</v>
      </c>
      <c r="P11" s="238">
        <v>14</v>
      </c>
      <c r="Q11" s="238">
        <v>44</v>
      </c>
    </row>
    <row r="12" spans="2:22" s="170" customFormat="1" ht="24.75" customHeight="1">
      <c r="C12" s="1865"/>
      <c r="D12" s="1856"/>
      <c r="E12" s="1856"/>
      <c r="F12" s="189" t="s">
        <v>409</v>
      </c>
      <c r="G12" s="187">
        <f>'Schema Echiv_DB cst'!G12</f>
        <v>876527</v>
      </c>
      <c r="H12" s="187">
        <f>'Schema Echiv_DB cst'!H12</f>
        <v>4361423</v>
      </c>
      <c r="I12" s="187">
        <f>'Schema Echiv_DB cst'!I12</f>
        <v>876527</v>
      </c>
      <c r="J12" s="187">
        <f>'Schema Echiv_DB cst'!J12</f>
        <v>4361423</v>
      </c>
      <c r="K12" s="187">
        <f>'Schema Echiv_DB cst'!K12</f>
        <v>0</v>
      </c>
      <c r="L12" s="187">
        <f>'Schema Echiv_DB cst'!L12</f>
        <v>0</v>
      </c>
      <c r="M12" s="187">
        <f>'Schema Echiv_DB cst'!M12</f>
        <v>1043067.0599999999</v>
      </c>
      <c r="N12" s="187">
        <f>'Schema Echiv_DB cst'!N12</f>
        <v>5190093</v>
      </c>
      <c r="P12" s="238">
        <v>14</v>
      </c>
      <c r="Q12" s="238">
        <v>44</v>
      </c>
    </row>
    <row r="13" spans="2:22" s="170" customFormat="1" ht="24.75" customHeight="1">
      <c r="C13" s="1865"/>
      <c r="D13" s="1856"/>
      <c r="E13" s="1856"/>
      <c r="F13" s="190" t="s">
        <v>410</v>
      </c>
      <c r="G13" s="187">
        <f>'Schema Echiv_DB cst'!G13</f>
        <v>0</v>
      </c>
      <c r="H13" s="187">
        <f>'Schema Echiv_DB cst'!H13</f>
        <v>0</v>
      </c>
      <c r="I13" s="187"/>
      <c r="J13" s="187"/>
      <c r="K13" s="187"/>
      <c r="L13" s="187"/>
      <c r="M13" s="187">
        <f>'Schema Echiv_DB cst'!M13</f>
        <v>0</v>
      </c>
      <c r="N13" s="187">
        <f>'Schema Echiv_DB cst'!N13</f>
        <v>0</v>
      </c>
      <c r="P13" s="238">
        <v>14</v>
      </c>
      <c r="Q13" s="238">
        <v>47</v>
      </c>
    </row>
    <row r="14" spans="2:22" s="170" customFormat="1" ht="47.25" customHeight="1">
      <c r="C14" s="1865"/>
      <c r="D14" s="1856"/>
      <c r="E14" s="1856"/>
      <c r="F14" s="191" t="s">
        <v>411</v>
      </c>
      <c r="G14" s="192">
        <f>SUM(G7:G13)</f>
        <v>876527</v>
      </c>
      <c r="H14" s="192">
        <f>SUM(H7:H13)</f>
        <v>4361423</v>
      </c>
      <c r="I14" s="192">
        <f t="shared" ref="I14:N14" si="0">SUM(I7:I13)</f>
        <v>876527</v>
      </c>
      <c r="J14" s="192">
        <f t="shared" si="0"/>
        <v>4361423</v>
      </c>
      <c r="K14" s="192">
        <f t="shared" si="0"/>
        <v>0</v>
      </c>
      <c r="L14" s="192">
        <f t="shared" si="0"/>
        <v>0</v>
      </c>
      <c r="M14" s="192">
        <f t="shared" si="0"/>
        <v>1043067.0599999999</v>
      </c>
      <c r="N14" s="192">
        <f t="shared" si="0"/>
        <v>5190093</v>
      </c>
      <c r="P14" s="242"/>
      <c r="Q14" s="242"/>
      <c r="S14" s="249">
        <f>G14/$G$49</f>
        <v>7.1648632235448003E-3</v>
      </c>
      <c r="T14" s="249">
        <f>H14/$H$49</f>
        <v>7.1648631469979117E-3</v>
      </c>
    </row>
    <row r="15" spans="2:22" s="170" customFormat="1" ht="39" customHeight="1">
      <c r="C15" s="185" t="s">
        <v>412</v>
      </c>
      <c r="D15" s="1856" t="s">
        <v>413</v>
      </c>
      <c r="E15" s="1856"/>
      <c r="F15" s="191" t="s">
        <v>414</v>
      </c>
      <c r="G15" s="192">
        <v>0</v>
      </c>
      <c r="H15" s="192">
        <v>0</v>
      </c>
      <c r="I15" s="192"/>
      <c r="J15" s="192"/>
      <c r="K15" s="192"/>
      <c r="L15" s="192"/>
      <c r="M15" s="192">
        <v>0</v>
      </c>
      <c r="N15" s="224">
        <v>0</v>
      </c>
      <c r="P15" s="238">
        <v>12</v>
      </c>
      <c r="Q15" s="243">
        <v>34</v>
      </c>
      <c r="R15" s="244"/>
    </row>
    <row r="16" spans="2:22" s="170" customFormat="1" ht="27" customHeight="1">
      <c r="C16" s="1866" t="s">
        <v>415</v>
      </c>
      <c r="D16" s="1856" t="s">
        <v>416</v>
      </c>
      <c r="E16" s="1856"/>
      <c r="F16" s="194" t="s">
        <v>417</v>
      </c>
      <c r="G16" s="187">
        <f>'Schema Echiv_DB cst'!G16</f>
        <v>0</v>
      </c>
      <c r="H16" s="187">
        <f>'Schema Echiv_DB cst'!H16</f>
        <v>0</v>
      </c>
      <c r="I16" s="187"/>
      <c r="J16" s="187"/>
      <c r="K16" s="187"/>
      <c r="L16" s="187"/>
      <c r="M16" s="187">
        <f>'Schema Echiv_DB cst'!M16</f>
        <v>0</v>
      </c>
      <c r="N16" s="187">
        <f>'Schema Echiv_DB cst'!N16</f>
        <v>0</v>
      </c>
      <c r="P16" s="238">
        <v>12</v>
      </c>
      <c r="Q16" s="238">
        <v>38</v>
      </c>
    </row>
    <row r="17" spans="3:20" s="170" customFormat="1" ht="32.25" customHeight="1">
      <c r="C17" s="1866"/>
      <c r="D17" s="1856"/>
      <c r="E17" s="1856"/>
      <c r="F17" s="194" t="s">
        <v>418</v>
      </c>
      <c r="G17" s="187">
        <f>'Schema Echiv_DB cst'!G17</f>
        <v>1468614.49</v>
      </c>
      <c r="H17" s="187">
        <f>'Schema Echiv_DB cst'!H17</f>
        <v>7307532</v>
      </c>
      <c r="I17" s="187">
        <f>'Schema Echiv_DB cst'!I17</f>
        <v>1468614.49</v>
      </c>
      <c r="J17" s="187">
        <f>'Schema Echiv_DB cst'!J17</f>
        <v>7307532</v>
      </c>
      <c r="K17" s="187">
        <f>'Schema Echiv_DB cst'!K17</f>
        <v>0</v>
      </c>
      <c r="L17" s="187">
        <f>'Schema Echiv_DB cst'!L17</f>
        <v>0</v>
      </c>
      <c r="M17" s="187">
        <f>'Schema Echiv_DB cst'!M17</f>
        <v>1747651.23</v>
      </c>
      <c r="N17" s="187">
        <f>'Schema Echiv_DB cst'!N17</f>
        <v>8695963</v>
      </c>
      <c r="P17" s="238">
        <v>12</v>
      </c>
      <c r="Q17" s="238">
        <v>39</v>
      </c>
    </row>
    <row r="18" spans="3:20" s="170" customFormat="1" ht="32.25" customHeight="1">
      <c r="C18" s="1866"/>
      <c r="D18" s="1856"/>
      <c r="E18" s="1856"/>
      <c r="F18" s="194" t="s">
        <v>419</v>
      </c>
      <c r="G18" s="187">
        <f>'Schema Echiv_DB cst'!G18</f>
        <v>0</v>
      </c>
      <c r="H18" s="187">
        <f>'Schema Echiv_DB cst'!H18</f>
        <v>0</v>
      </c>
      <c r="I18" s="187">
        <f>'Schema Echiv_DB cst'!I18</f>
        <v>0</v>
      </c>
      <c r="J18" s="187">
        <f>'Schema Echiv_DB cst'!J18</f>
        <v>0</v>
      </c>
      <c r="K18" s="187">
        <f>'Schema Echiv_DB cst'!K18</f>
        <v>0</v>
      </c>
      <c r="L18" s="187">
        <f>'Schema Echiv_DB cst'!L18</f>
        <v>0</v>
      </c>
      <c r="M18" s="187">
        <f>'Schema Echiv_DB cst'!M18</f>
        <v>0</v>
      </c>
      <c r="N18" s="187">
        <f>'Schema Echiv_DB cst'!N18</f>
        <v>0</v>
      </c>
      <c r="P18" s="238">
        <v>12</v>
      </c>
      <c r="Q18" s="238">
        <v>39</v>
      </c>
    </row>
    <row r="19" spans="3:20" s="170" customFormat="1" ht="27.75" customHeight="1">
      <c r="C19" s="1866"/>
      <c r="D19" s="1856"/>
      <c r="E19" s="1856"/>
      <c r="F19" s="195" t="s">
        <v>420</v>
      </c>
      <c r="G19" s="187">
        <f>'Schema Echiv_DB cst'!G19</f>
        <v>772866.17</v>
      </c>
      <c r="H19" s="187">
        <f>'Schema Echiv_DB cst'!H19</f>
        <v>3845627.5</v>
      </c>
      <c r="I19" s="187">
        <f>'Schema Echiv_DB cst'!I19</f>
        <v>772866.17</v>
      </c>
      <c r="J19" s="187">
        <f>'Schema Echiv_DB cst'!J19</f>
        <v>3845627.5</v>
      </c>
      <c r="K19" s="187">
        <f>'Schema Echiv_DB cst'!K19</f>
        <v>0</v>
      </c>
      <c r="L19" s="187">
        <f>'Schema Echiv_DB cst'!L19</f>
        <v>0</v>
      </c>
      <c r="M19" s="187">
        <f>'Schema Echiv_DB cst'!M19</f>
        <v>919710.70000000007</v>
      </c>
      <c r="N19" s="187">
        <f>'Schema Echiv_DB cst'!N19</f>
        <v>4576296.5</v>
      </c>
      <c r="P19" s="238">
        <v>13</v>
      </c>
      <c r="Q19" s="238">
        <v>40</v>
      </c>
    </row>
    <row r="20" spans="3:20" s="170" customFormat="1" ht="22.5" customHeight="1">
      <c r="C20" s="1866"/>
      <c r="D20" s="1856"/>
      <c r="E20" s="1856"/>
      <c r="F20" s="194" t="s">
        <v>421</v>
      </c>
      <c r="G20" s="187">
        <f>'Schema Echiv_DB cst'!G20</f>
        <v>23540520.460000001</v>
      </c>
      <c r="H20" s="187">
        <f>'Schema Echiv_DB cst'!H20</f>
        <v>117132921.765</v>
      </c>
      <c r="I20" s="187">
        <f>'Schema Echiv_DB cst'!I20</f>
        <v>23540520.460000001</v>
      </c>
      <c r="J20" s="187">
        <f>'Schema Echiv_DB cst'!J20</f>
        <v>117132921.765</v>
      </c>
      <c r="K20" s="187">
        <f>'Schema Echiv_DB cst'!K20</f>
        <v>0</v>
      </c>
      <c r="L20" s="187">
        <f>'Schema Echiv_DB cst'!L20</f>
        <v>0</v>
      </c>
      <c r="M20" s="187">
        <f>'Schema Echiv_DB cst'!M20</f>
        <v>28013219.350000001</v>
      </c>
      <c r="N20" s="187">
        <f>'Schema Echiv_DB cst'!N20</f>
        <v>139388176.92500001</v>
      </c>
      <c r="P20" s="238">
        <v>15</v>
      </c>
      <c r="Q20" s="238">
        <v>53</v>
      </c>
    </row>
    <row r="21" spans="3:20" s="170" customFormat="1" ht="33" customHeight="1">
      <c r="C21" s="1866"/>
      <c r="D21" s="1856"/>
      <c r="E21" s="1856"/>
      <c r="F21" s="194" t="s">
        <v>422</v>
      </c>
      <c r="G21" s="187">
        <f>'Schema Echiv_DB cst'!G21</f>
        <v>592242.44999999995</v>
      </c>
      <c r="H21" s="187">
        <f>'Schema Echiv_DB cst'!H21</f>
        <v>2946880</v>
      </c>
      <c r="I21" s="187">
        <f>'Schema Echiv_DB cst'!I21</f>
        <v>592242.44999999995</v>
      </c>
      <c r="J21" s="187">
        <f>'Schema Echiv_DB cst'!J21</f>
        <v>2946880</v>
      </c>
      <c r="K21" s="187">
        <f>'Schema Echiv_DB cst'!K21</f>
        <v>0</v>
      </c>
      <c r="L21" s="187">
        <f>'Schema Echiv_DB cst'!L21</f>
        <v>0</v>
      </c>
      <c r="M21" s="187">
        <f>'Schema Echiv_DB cst'!M21</f>
        <v>704768.48</v>
      </c>
      <c r="N21" s="187">
        <f>'Schema Echiv_DB cst'!N21</f>
        <v>3506787</v>
      </c>
      <c r="P21" s="238">
        <v>16</v>
      </c>
      <c r="Q21" s="238">
        <v>57</v>
      </c>
    </row>
    <row r="22" spans="3:20" s="170" customFormat="1" ht="36" customHeight="1">
      <c r="C22" s="1866"/>
      <c r="D22" s="1856"/>
      <c r="E22" s="1856"/>
      <c r="F22" s="194" t="s">
        <v>423</v>
      </c>
      <c r="G22" s="187">
        <f>'Schema Echiv_DB cst'!G22</f>
        <v>148060.60999999999</v>
      </c>
      <c r="H22" s="187">
        <f>'Schema Echiv_DB cst'!H22</f>
        <v>736720</v>
      </c>
      <c r="I22" s="187">
        <f>'Schema Echiv_DB cst'!I22</f>
        <v>148060.60999999999</v>
      </c>
      <c r="J22" s="187">
        <f>'Schema Echiv_DB cst'!J22</f>
        <v>736720</v>
      </c>
      <c r="K22" s="187">
        <f>'Schema Echiv_DB cst'!K22</f>
        <v>0</v>
      </c>
      <c r="L22" s="187">
        <f>'Schema Echiv_DB cst'!L22</f>
        <v>0</v>
      </c>
      <c r="M22" s="187">
        <f>'Schema Echiv_DB cst'!M22</f>
        <v>176192.16999999998</v>
      </c>
      <c r="N22" s="187">
        <f>'Schema Echiv_DB cst'!N22</f>
        <v>876697</v>
      </c>
      <c r="P22" s="238">
        <v>16</v>
      </c>
      <c r="Q22" s="238">
        <v>58</v>
      </c>
    </row>
    <row r="23" spans="3:20" s="170" customFormat="1" ht="32.25" customHeight="1">
      <c r="C23" s="1866"/>
      <c r="D23" s="1856"/>
      <c r="E23" s="1856"/>
      <c r="F23" s="194" t="s">
        <v>424</v>
      </c>
      <c r="G23" s="187">
        <f>'Schema Echiv_DB cst'!G23</f>
        <v>1355073.36</v>
      </c>
      <c r="H23" s="187">
        <f>'Schema Echiv_DB cst'!H23</f>
        <v>6742574</v>
      </c>
      <c r="I23" s="187">
        <f>'Schema Echiv_DB cst'!I23</f>
        <v>1355073.36</v>
      </c>
      <c r="J23" s="187">
        <f>'Schema Echiv_DB cst'!J23</f>
        <v>6742574</v>
      </c>
      <c r="K23" s="187">
        <f>'Schema Echiv_DB cst'!K23</f>
        <v>0</v>
      </c>
      <c r="L23" s="187">
        <f>'Schema Echiv_DB cst'!L23</f>
        <v>0</v>
      </c>
      <c r="M23" s="187">
        <f>'Schema Echiv_DB cst'!M23</f>
        <v>1612537.29</v>
      </c>
      <c r="N23" s="187">
        <f>'Schema Echiv_DB cst'!N23</f>
        <v>8023663</v>
      </c>
      <c r="P23" s="238">
        <v>19</v>
      </c>
      <c r="Q23" s="238">
        <v>61</v>
      </c>
    </row>
    <row r="24" spans="3:20" s="170" customFormat="1" ht="33.75" customHeight="1">
      <c r="C24" s="1866"/>
      <c r="D24" s="1856"/>
      <c r="E24" s="1856"/>
      <c r="F24" s="194" t="s">
        <v>425</v>
      </c>
      <c r="G24" s="187">
        <f>'Schema Echiv_DB cst'!G24</f>
        <v>2710146.51</v>
      </c>
      <c r="H24" s="187">
        <f>'Schema Echiv_DB cst'!H24</f>
        <v>13485147</v>
      </c>
      <c r="I24" s="187">
        <f>'Schema Echiv_DB cst'!I24</f>
        <v>2710146.51</v>
      </c>
      <c r="J24" s="187">
        <f>'Schema Echiv_DB cst'!J24</f>
        <v>13485147</v>
      </c>
      <c r="K24" s="187">
        <f>'Schema Echiv_DB cst'!K24</f>
        <v>0</v>
      </c>
      <c r="L24" s="187">
        <f>'Schema Echiv_DB cst'!L24</f>
        <v>0</v>
      </c>
      <c r="M24" s="187">
        <f>'Schema Echiv_DB cst'!M24</f>
        <v>3225074.36</v>
      </c>
      <c r="N24" s="187">
        <f>'Schema Echiv_DB cst'!N24</f>
        <v>16047325</v>
      </c>
      <c r="P24" s="238">
        <v>19</v>
      </c>
      <c r="Q24" s="238">
        <v>62</v>
      </c>
    </row>
    <row r="25" spans="3:20" s="170" customFormat="1" ht="31.5" customHeight="1">
      <c r="C25" s="1866"/>
      <c r="D25" s="1856"/>
      <c r="E25" s="1856"/>
      <c r="F25" s="191" t="s">
        <v>426</v>
      </c>
      <c r="G25" s="192">
        <f>SUM(G16:G24)</f>
        <v>30587524.049999997</v>
      </c>
      <c r="H25" s="192">
        <f>SUM(H16:H24)</f>
        <v>152197402.26499999</v>
      </c>
      <c r="I25" s="192">
        <f t="shared" ref="I25:N25" si="1">SUM(I16:I24)</f>
        <v>30587524.049999997</v>
      </c>
      <c r="J25" s="192">
        <f t="shared" si="1"/>
        <v>152197402.26499999</v>
      </c>
      <c r="K25" s="192">
        <f t="shared" si="1"/>
        <v>0</v>
      </c>
      <c r="L25" s="192">
        <f t="shared" si="1"/>
        <v>0</v>
      </c>
      <c r="M25" s="192">
        <f t="shared" si="1"/>
        <v>36399153.580000006</v>
      </c>
      <c r="N25" s="192">
        <f t="shared" si="1"/>
        <v>181114908.42500001</v>
      </c>
      <c r="P25" s="245"/>
      <c r="Q25" s="245"/>
      <c r="S25" s="249">
        <f>G25/$G$49</f>
        <v>0.25002701133580263</v>
      </c>
      <c r="T25" s="249">
        <f>H25/$H$49</f>
        <v>0.25002701149540296</v>
      </c>
    </row>
    <row r="26" spans="3:20" s="170" customFormat="1" ht="22.5" customHeight="1">
      <c r="C26" s="1866" t="s">
        <v>427</v>
      </c>
      <c r="D26" s="1856" t="s">
        <v>428</v>
      </c>
      <c r="E26" s="1856"/>
      <c r="F26" s="196" t="s">
        <v>429</v>
      </c>
      <c r="G26" s="187">
        <f>'Schema Echiv_DB cst'!G26</f>
        <v>3830118.14</v>
      </c>
      <c r="H26" s="187">
        <f>'Schema Echiv_DB cst'!H26</f>
        <v>19057901.760000002</v>
      </c>
      <c r="I26" s="187">
        <f>'Schema Echiv_DB cst'!I26</f>
        <v>3830118.14</v>
      </c>
      <c r="J26" s="187">
        <f>'Schema Echiv_DB cst'!J26</f>
        <v>19057901.760000002</v>
      </c>
      <c r="K26" s="187">
        <f>'Schema Echiv_DB cst'!K26</f>
        <v>0</v>
      </c>
      <c r="L26" s="187">
        <f>'Schema Echiv_DB cst'!L26</f>
        <v>0</v>
      </c>
      <c r="M26" s="187">
        <f>'Schema Echiv_DB cst'!M26</f>
        <v>4557840.57</v>
      </c>
      <c r="N26" s="187">
        <f>'Schema Echiv_DB cst'!N26</f>
        <v>22678903.100000001</v>
      </c>
      <c r="P26" s="238">
        <v>15</v>
      </c>
      <c r="Q26" s="238">
        <v>53</v>
      </c>
    </row>
    <row r="27" spans="3:20" s="170" customFormat="1" ht="30.75" customHeight="1">
      <c r="C27" s="1866"/>
      <c r="D27" s="1856"/>
      <c r="E27" s="1856"/>
      <c r="F27" s="197" t="s">
        <v>430</v>
      </c>
      <c r="G27" s="187">
        <f>'Schema Echiv_DB cst'!G27</f>
        <v>33876832.329999998</v>
      </c>
      <c r="H27" s="187">
        <f>'Schema Echiv_DB cst'!H27</f>
        <v>168564342.40000001</v>
      </c>
      <c r="I27" s="187">
        <f>'Schema Echiv_DB cst'!I27</f>
        <v>33876832.329999998</v>
      </c>
      <c r="J27" s="187">
        <f>'Schema Echiv_DB cst'!J27</f>
        <v>168564342.40000001</v>
      </c>
      <c r="K27" s="187" t="str">
        <f>'Schema Echiv_DB cst'!K27</f>
        <v/>
      </c>
      <c r="L27" s="187">
        <f>'Schema Echiv_DB cst'!L27</f>
        <v>0</v>
      </c>
      <c r="M27" s="187">
        <f>'Schema Echiv_DB cst'!M27</f>
        <v>40313430.490000002</v>
      </c>
      <c r="N27" s="187">
        <f>'Schema Echiv_DB cst'!N27</f>
        <v>200591567.47</v>
      </c>
      <c r="P27" s="238">
        <v>15</v>
      </c>
      <c r="Q27" s="238">
        <v>54</v>
      </c>
    </row>
    <row r="28" spans="3:20" s="170" customFormat="1" ht="18.75" customHeight="1">
      <c r="C28" s="1866"/>
      <c r="D28" s="1856"/>
      <c r="E28" s="1856"/>
      <c r="F28" s="196" t="s">
        <v>431</v>
      </c>
      <c r="G28" s="187">
        <f>'Schema Echiv_DB cst'!G28</f>
        <v>2467551.1</v>
      </c>
      <c r="H28" s="187">
        <f>'Schema Echiv_DB cst'!H28</f>
        <v>12278040.800000001</v>
      </c>
      <c r="I28" s="187">
        <f>'Schema Echiv_DB cst'!I28</f>
        <v>2467551.1</v>
      </c>
      <c r="J28" s="187">
        <f>'Schema Echiv_DB cst'!J28</f>
        <v>12278040.800000001</v>
      </c>
      <c r="K28" s="187">
        <f>'Schema Echiv_DB cst'!K28</f>
        <v>0</v>
      </c>
      <c r="L28" s="187">
        <f>'Schema Echiv_DB cst'!L28</f>
        <v>0</v>
      </c>
      <c r="M28" s="187">
        <f>'Schema Echiv_DB cst'!M28</f>
        <v>2936385.81</v>
      </c>
      <c r="N28" s="187">
        <f>'Schema Echiv_DB cst'!N28</f>
        <v>14610868.560000001</v>
      </c>
      <c r="P28" s="238">
        <v>15</v>
      </c>
      <c r="Q28" s="238">
        <v>54</v>
      </c>
    </row>
    <row r="29" spans="3:20" s="170" customFormat="1" ht="18.75" customHeight="1">
      <c r="C29" s="1866"/>
      <c r="D29" s="1856"/>
      <c r="E29" s="1856"/>
      <c r="F29" s="196" t="s">
        <v>432</v>
      </c>
      <c r="G29" s="187">
        <f>'Schema Echiv_DB cst'!G29</f>
        <v>9119407.7899999991</v>
      </c>
      <c r="H29" s="187">
        <f>'Schema Echiv_DB cst'!H29</f>
        <v>45376349.260000005</v>
      </c>
      <c r="I29" s="187">
        <f>'Schema Echiv_DB cst'!I29</f>
        <v>5539533.3699999992</v>
      </c>
      <c r="J29" s="187">
        <f>'Schema Echiv_DB cst'!J29</f>
        <v>27563610.100000005</v>
      </c>
      <c r="K29" s="187">
        <f>'Schema Echiv_DB cst'!K29</f>
        <v>3579874.42</v>
      </c>
      <c r="L29" s="187">
        <f>'Schema Echiv_DB cst'!L29</f>
        <v>17812739.16</v>
      </c>
      <c r="M29" s="187">
        <f>'Schema Echiv_DB cst'!M29</f>
        <v>10852095.260520119</v>
      </c>
      <c r="N29" s="187">
        <f>'Schema Echiv_DB cst'!N29</f>
        <v>53997855.620000005</v>
      </c>
      <c r="P29" s="238">
        <v>15</v>
      </c>
      <c r="Q29" s="238">
        <v>54</v>
      </c>
    </row>
    <row r="30" spans="3:20" s="170" customFormat="1" ht="18.75" customHeight="1">
      <c r="C30" s="1866"/>
      <c r="D30" s="1856"/>
      <c r="E30" s="1856"/>
      <c r="F30" s="196" t="s">
        <v>433</v>
      </c>
      <c r="G30" s="187">
        <f>'Schema Echiv_DB cst'!G30</f>
        <v>0</v>
      </c>
      <c r="H30" s="187">
        <f>'Schema Echiv_DB cst'!H30</f>
        <v>0</v>
      </c>
      <c r="I30" s="187">
        <f>'Schema Echiv_DB cst'!I30</f>
        <v>0</v>
      </c>
      <c r="J30" s="187">
        <f>'Schema Echiv_DB cst'!J30</f>
        <v>0</v>
      </c>
      <c r="K30" s="187">
        <f>'Schema Echiv_DB cst'!K30</f>
        <v>0</v>
      </c>
      <c r="L30" s="187">
        <f>'Schema Echiv_DB cst'!L30</f>
        <v>0</v>
      </c>
      <c r="M30" s="187">
        <f>'Schema Echiv_DB cst'!M30</f>
        <v>0</v>
      </c>
      <c r="N30" s="187">
        <f>'Schema Echiv_DB cst'!N30</f>
        <v>0</v>
      </c>
      <c r="P30" s="238">
        <v>15</v>
      </c>
      <c r="Q30" s="238">
        <v>55</v>
      </c>
    </row>
    <row r="31" spans="3:20" s="170" customFormat="1" ht="18.75" customHeight="1">
      <c r="C31" s="1866"/>
      <c r="D31" s="1856"/>
      <c r="E31" s="1856"/>
      <c r="F31" s="191" t="s">
        <v>434</v>
      </c>
      <c r="G31" s="192">
        <f>SUM(G26:G30)</f>
        <v>49293909.359999999</v>
      </c>
      <c r="H31" s="192">
        <f>SUM(H26:H30)</f>
        <v>245276634.22000003</v>
      </c>
      <c r="I31" s="192">
        <f t="shared" ref="I31:N31" si="2">SUM(I26:I30)</f>
        <v>45714034.939999998</v>
      </c>
      <c r="J31" s="192">
        <f t="shared" si="2"/>
        <v>227463895.06</v>
      </c>
      <c r="K31" s="192">
        <f t="shared" si="2"/>
        <v>3579874.42</v>
      </c>
      <c r="L31" s="192">
        <f t="shared" si="2"/>
        <v>17812739.16</v>
      </c>
      <c r="M31" s="192">
        <f t="shared" si="2"/>
        <v>58659752.13052012</v>
      </c>
      <c r="N31" s="192">
        <f t="shared" si="2"/>
        <v>291879194.75</v>
      </c>
      <c r="P31" s="245"/>
      <c r="Q31" s="245"/>
      <c r="S31" s="249">
        <f>G31/$G$49</f>
        <v>0.40293581180980709</v>
      </c>
      <c r="T31" s="249">
        <f>H31/$H$49</f>
        <v>0.40293581185373789</v>
      </c>
    </row>
    <row r="32" spans="3:20" s="170" customFormat="1" ht="36" customHeight="1">
      <c r="C32" s="185" t="s">
        <v>197</v>
      </c>
      <c r="D32" s="1857" t="s">
        <v>435</v>
      </c>
      <c r="E32" s="1857"/>
      <c r="F32" s="191" t="s">
        <v>436</v>
      </c>
      <c r="G32" s="1171">
        <f>'Schema Echiv_DB cst'!G32</f>
        <v>7796149.9699999997</v>
      </c>
      <c r="H32" s="1171">
        <f>'Schema Echiv_DB cst'!H32</f>
        <v>38792083</v>
      </c>
      <c r="I32" s="1171">
        <f>'Schema Echiv_DB cst'!I32</f>
        <v>7796149.9699999997</v>
      </c>
      <c r="J32" s="1171">
        <f>'Schema Echiv_DB cst'!J32</f>
        <v>38792083</v>
      </c>
      <c r="K32" s="1171">
        <f>'Schema Echiv_DB cst'!K32</f>
        <v>0</v>
      </c>
      <c r="L32" s="1171">
        <f>'Schema Echiv_DB cst'!L32</f>
        <v>0</v>
      </c>
      <c r="M32" s="1171">
        <f>'Schema Echiv_DB cst'!M32</f>
        <v>9277418.5099999998</v>
      </c>
      <c r="N32" s="1171">
        <f>'Schema Echiv_DB cst'!N32</f>
        <v>46162579</v>
      </c>
      <c r="P32" s="238">
        <v>18</v>
      </c>
      <c r="Q32" s="238">
        <v>60</v>
      </c>
      <c r="S32" s="249">
        <f>G32/$G$49</f>
        <v>6.3726899690817157E-2</v>
      </c>
      <c r="T32" s="249">
        <f>H32/$H$49</f>
        <v>6.3726899656828553E-2</v>
      </c>
    </row>
    <row r="33" spans="2:20" s="170" customFormat="1" ht="45" customHeight="1">
      <c r="C33" s="193" t="s">
        <v>437</v>
      </c>
      <c r="D33" s="1857" t="s">
        <v>438</v>
      </c>
      <c r="E33" s="1857"/>
      <c r="F33" s="201" t="s">
        <v>439</v>
      </c>
      <c r="G33" s="202">
        <f>ROUND('Deviz general curente'!D145-'DEVIZ GENERAL'!D164,0)</f>
        <v>10046470</v>
      </c>
      <c r="H33" s="202">
        <f>G33*euro</f>
        <v>49989225.425999999</v>
      </c>
      <c r="I33" s="202">
        <f>G33</f>
        <v>10046470</v>
      </c>
      <c r="J33" s="202">
        <f>H33</f>
        <v>49989225.425999999</v>
      </c>
      <c r="K33" s="202">
        <f>'esalonare investitie'!M85</f>
        <v>0</v>
      </c>
      <c r="L33" s="202">
        <f>'esalonare investitie'!N85</f>
        <v>-1.2345999479293823E-2</v>
      </c>
      <c r="M33" s="202">
        <f>I33+'esalonare investitie'!C112-'esalonare investitie'!C93</f>
        <v>11937336.989999998</v>
      </c>
      <c r="N33" s="202">
        <f>'esalonare investitie'!N87</f>
        <v>59397801.037654042</v>
      </c>
      <c r="O33" s="170" t="s">
        <v>9</v>
      </c>
      <c r="P33" s="240"/>
      <c r="Q33" s="240"/>
      <c r="S33" s="249">
        <f>G33/$G$49</f>
        <v>8.2121353283408416E-2</v>
      </c>
      <c r="T33" s="249">
        <f>H33/$H$49</f>
        <v>8.2121353283485313E-2</v>
      </c>
    </row>
    <row r="34" spans="2:20" s="170" customFormat="1" ht="45" customHeight="1">
      <c r="C34" s="1867" t="s">
        <v>440</v>
      </c>
      <c r="D34" s="1874" t="s">
        <v>441</v>
      </c>
      <c r="E34" s="1875"/>
      <c r="F34" s="199" t="s">
        <v>87</v>
      </c>
      <c r="G34" s="187">
        <f>'Schema Echiv_DB cst'!G34</f>
        <v>100000</v>
      </c>
      <c r="H34" s="187">
        <f>'Schema Echiv_DB cst'!H34</f>
        <v>497580</v>
      </c>
      <c r="I34" s="187">
        <f>'Schema Echiv_DB cst'!I34</f>
        <v>100000</v>
      </c>
      <c r="J34" s="187">
        <f>'Schema Echiv_DB cst'!J34</f>
        <v>497580</v>
      </c>
      <c r="K34" s="187">
        <f>'Schema Echiv_DB cst'!K34</f>
        <v>0</v>
      </c>
      <c r="L34" s="187">
        <f>'Schema Echiv_DB cst'!L34</f>
        <v>0</v>
      </c>
      <c r="M34" s="187">
        <f>'Schema Echiv_DB cst'!M34</f>
        <v>118999.95999999999</v>
      </c>
      <c r="N34" s="187">
        <f>'Schema Echiv_DB cst'!N34</f>
        <v>592120</v>
      </c>
      <c r="P34" s="238">
        <v>8</v>
      </c>
      <c r="Q34" s="238">
        <v>17</v>
      </c>
    </row>
    <row r="35" spans="2:20" s="170" customFormat="1" ht="45" customHeight="1">
      <c r="C35" s="1868"/>
      <c r="D35" s="1876"/>
      <c r="E35" s="1877"/>
      <c r="F35" s="199" t="s">
        <v>89</v>
      </c>
      <c r="G35" s="187">
        <f>'Schema Echiv_DB cst'!G35</f>
        <v>243558.02</v>
      </c>
      <c r="H35" s="187">
        <f>'Schema Echiv_DB cst'!H35</f>
        <v>1211896</v>
      </c>
      <c r="I35" s="187">
        <f>'Schema Echiv_DB cst'!I35</f>
        <v>243558.02</v>
      </c>
      <c r="J35" s="187">
        <f>'Schema Echiv_DB cst'!J35</f>
        <v>1211896</v>
      </c>
      <c r="K35" s="187">
        <f>'Schema Echiv_DB cst'!K35</f>
        <v>0</v>
      </c>
      <c r="L35" s="187">
        <f>'Schema Echiv_DB cst'!L35</f>
        <v>0</v>
      </c>
      <c r="M35" s="187">
        <f>'Schema Echiv_DB cst'!M35</f>
        <v>289834</v>
      </c>
      <c r="N35" s="187">
        <f>'Schema Echiv_DB cst'!N35</f>
        <v>1442156</v>
      </c>
      <c r="P35" s="238">
        <v>8</v>
      </c>
      <c r="Q35" s="238">
        <v>18</v>
      </c>
    </row>
    <row r="36" spans="2:20" s="170" customFormat="1" ht="45" customHeight="1">
      <c r="C36" s="1869"/>
      <c r="D36" s="1878"/>
      <c r="E36" s="1879"/>
      <c r="F36" s="191" t="s">
        <v>442</v>
      </c>
      <c r="G36" s="192">
        <f>G34+G35</f>
        <v>343558.02</v>
      </c>
      <c r="H36" s="192">
        <f>H34+H35</f>
        <v>1709476</v>
      </c>
      <c r="I36" s="192">
        <f t="shared" ref="I36:N36" si="3">I34+I35</f>
        <v>343558.02</v>
      </c>
      <c r="J36" s="192">
        <f t="shared" si="3"/>
        <v>1709476</v>
      </c>
      <c r="K36" s="192">
        <f t="shared" si="3"/>
        <v>0</v>
      </c>
      <c r="L36" s="192">
        <f t="shared" si="3"/>
        <v>0</v>
      </c>
      <c r="M36" s="192">
        <f t="shared" si="3"/>
        <v>408833.95999999996</v>
      </c>
      <c r="N36" s="192">
        <f t="shared" si="3"/>
        <v>2034276</v>
      </c>
      <c r="P36" s="238" t="s">
        <v>9</v>
      </c>
      <c r="Q36" s="238" t="s">
        <v>9</v>
      </c>
      <c r="S36" s="249">
        <f>G36/$G$49</f>
        <v>2.8082948074068101E-3</v>
      </c>
      <c r="T36" s="249">
        <f>H36/$H$49</f>
        <v>2.8082948141185575E-3</v>
      </c>
    </row>
    <row r="37" spans="2:20" s="170" customFormat="1" ht="45" customHeight="1">
      <c r="C37" s="1870" t="s">
        <v>443</v>
      </c>
      <c r="D37" s="1857" t="s">
        <v>444</v>
      </c>
      <c r="E37" s="1857"/>
      <c r="F37" s="200" t="s">
        <v>445</v>
      </c>
      <c r="G37" s="187">
        <f>'Schema Echiv_DB cst'!G37</f>
        <v>12600.18</v>
      </c>
      <c r="H37" s="187">
        <f>'Schema Echiv_DB cst'!H37</f>
        <v>62696</v>
      </c>
      <c r="I37" s="187">
        <f>'Schema Echiv_DB cst'!I37</f>
        <v>12600.18</v>
      </c>
      <c r="J37" s="187">
        <f>'Schema Echiv_DB cst'!J37</f>
        <v>62696</v>
      </c>
      <c r="K37" s="187">
        <f>'Schema Echiv_DB cst'!K37</f>
        <v>0</v>
      </c>
      <c r="L37" s="187">
        <f>'Schema Echiv_DB cst'!L37</f>
        <v>0</v>
      </c>
      <c r="M37" s="187">
        <f>'Schema Echiv_DB cst'!M37</f>
        <v>14994.16</v>
      </c>
      <c r="N37" s="187">
        <f>'Schema Echiv_DB cst'!N37</f>
        <v>74608</v>
      </c>
      <c r="P37" s="238">
        <v>14</v>
      </c>
      <c r="Q37" s="238">
        <v>50</v>
      </c>
    </row>
    <row r="38" spans="2:20" s="170" customFormat="1" ht="45" customHeight="1">
      <c r="C38" s="1870"/>
      <c r="D38" s="1857"/>
      <c r="E38" s="1857"/>
      <c r="F38" s="198" t="s">
        <v>446</v>
      </c>
      <c r="G38" s="187">
        <f>'Schema Echiv_DB cst'!G38</f>
        <v>1996462.28</v>
      </c>
      <c r="H38" s="187">
        <f>'Schema Echiv_DB cst'!H38</f>
        <v>9933997</v>
      </c>
      <c r="I38" s="187">
        <f>'Schema Echiv_DB cst'!I38</f>
        <v>1996462.28</v>
      </c>
      <c r="J38" s="187">
        <f>'Schema Echiv_DB cst'!J38</f>
        <v>9933997</v>
      </c>
      <c r="K38" s="187">
        <f>'Schema Echiv_DB cst'!K38</f>
        <v>0</v>
      </c>
      <c r="L38" s="187">
        <f>'Schema Echiv_DB cst'!L38</f>
        <v>0</v>
      </c>
      <c r="M38" s="187">
        <f>'Schema Echiv_DB cst'!M38</f>
        <v>2375790.0300000003</v>
      </c>
      <c r="N38" s="187">
        <f>'Schema Echiv_DB cst'!N38</f>
        <v>11821456</v>
      </c>
      <c r="P38" s="238">
        <v>14</v>
      </c>
      <c r="Q38" s="238">
        <v>51</v>
      </c>
    </row>
    <row r="39" spans="2:20" s="170" customFormat="1" ht="45" customHeight="1">
      <c r="C39" s="1870"/>
      <c r="D39" s="1857"/>
      <c r="E39" s="1857"/>
      <c r="F39" s="191" t="s">
        <v>447</v>
      </c>
      <c r="G39" s="192">
        <f>+G38+G37</f>
        <v>2009062.46</v>
      </c>
      <c r="H39" s="192">
        <f>+H38+H37</f>
        <v>9996693</v>
      </c>
      <c r="I39" s="192">
        <f t="shared" ref="I39:L39" si="4">+I38+I37</f>
        <v>2009062.46</v>
      </c>
      <c r="J39" s="192">
        <f t="shared" si="4"/>
        <v>9996693</v>
      </c>
      <c r="K39" s="192">
        <f t="shared" si="4"/>
        <v>0</v>
      </c>
      <c r="L39" s="192">
        <f t="shared" si="4"/>
        <v>0</v>
      </c>
      <c r="M39" s="192">
        <f>+M37+M38</f>
        <v>2390784.1900000004</v>
      </c>
      <c r="N39" s="192">
        <f>+N37+N38</f>
        <v>11896064</v>
      </c>
      <c r="P39" s="240"/>
      <c r="Q39" s="240"/>
      <c r="S39" s="249">
        <f>G39/$G$49</f>
        <v>1.64223780139784E-2</v>
      </c>
      <c r="T39" s="249">
        <f>H39/$H$49</f>
        <v>1.6422378032938331E-2</v>
      </c>
    </row>
    <row r="40" spans="2:20" s="170" customFormat="1" ht="45" customHeight="1">
      <c r="C40" s="1871" t="s">
        <v>448</v>
      </c>
      <c r="D40" s="1874" t="s">
        <v>449</v>
      </c>
      <c r="E40" s="1875"/>
      <c r="F40" s="201" t="s">
        <v>450</v>
      </c>
      <c r="G40" s="187">
        <f>'Schema Echiv_DB cst'!G40</f>
        <v>361991.44</v>
      </c>
      <c r="H40" s="187">
        <f>'Schema Echiv_DB cst'!H40</f>
        <v>1801197</v>
      </c>
      <c r="I40" s="187">
        <f>'Schema Echiv_DB cst'!I40</f>
        <v>361991.44</v>
      </c>
      <c r="J40" s="187">
        <f>'Schema Echiv_DB cst'!J40</f>
        <v>1801197</v>
      </c>
      <c r="K40" s="187">
        <f>'Schema Echiv_DB cst'!K40</f>
        <v>0</v>
      </c>
      <c r="L40" s="187">
        <f>'Schema Echiv_DB cst'!L40</f>
        <v>0</v>
      </c>
      <c r="M40" s="187">
        <f>'Schema Echiv_DB cst'!M40</f>
        <v>430769.73</v>
      </c>
      <c r="N40" s="187">
        <f>'Schema Echiv_DB cst'!N40</f>
        <v>2143424</v>
      </c>
      <c r="P40" s="246">
        <v>14</v>
      </c>
      <c r="Q40" s="246">
        <v>43</v>
      </c>
    </row>
    <row r="41" spans="2:20" s="170" customFormat="1" ht="57" customHeight="1">
      <c r="B41" s="1864"/>
      <c r="C41" s="1872"/>
      <c r="D41" s="1876"/>
      <c r="E41" s="1877"/>
      <c r="F41" s="198" t="s">
        <v>451</v>
      </c>
      <c r="G41" s="187">
        <f>'Schema Echiv_DB cst'!G41</f>
        <v>700000</v>
      </c>
      <c r="H41" s="187">
        <f>'Schema Echiv_DB cst'!H41</f>
        <v>3483060</v>
      </c>
      <c r="I41" s="187">
        <f>'Schema Echiv_DB cst'!I41</f>
        <v>700000</v>
      </c>
      <c r="J41" s="187">
        <f>'Schema Echiv_DB cst'!J41</f>
        <v>3483060</v>
      </c>
      <c r="K41" s="187">
        <f>'Schema Echiv_DB cst'!K41</f>
        <v>0</v>
      </c>
      <c r="L41" s="187">
        <f>'Schema Echiv_DB cst'!L41</f>
        <v>0</v>
      </c>
      <c r="M41" s="187">
        <f>'Schema Echiv_DB cst'!M41</f>
        <v>832999.92</v>
      </c>
      <c r="N41" s="187">
        <f>'Schema Echiv_DB cst'!N41</f>
        <v>4144841</v>
      </c>
      <c r="P41" s="238">
        <v>14</v>
      </c>
      <c r="Q41" s="238">
        <v>49</v>
      </c>
    </row>
    <row r="42" spans="2:20" s="170" customFormat="1" ht="45.75" customHeight="1">
      <c r="B42" s="1864"/>
      <c r="C42" s="1872"/>
      <c r="D42" s="1876"/>
      <c r="E42" s="1877"/>
      <c r="F42" s="200" t="s">
        <v>215</v>
      </c>
      <c r="G42" s="187">
        <f>'Schema Echiv_DB cst'!G42</f>
        <v>176078.22</v>
      </c>
      <c r="H42" s="187">
        <f>'Schema Echiv_DB cst'!H42</f>
        <v>876130</v>
      </c>
      <c r="I42" s="187">
        <f>'Schema Echiv_DB cst'!I42</f>
        <v>176078.22</v>
      </c>
      <c r="J42" s="187">
        <f>'Schema Echiv_DB cst'!J42</f>
        <v>876130</v>
      </c>
      <c r="K42" s="187">
        <f>'Schema Echiv_DB cst'!K42</f>
        <v>0</v>
      </c>
      <c r="L42" s="187">
        <f>'Schema Echiv_DB cst'!L42</f>
        <v>0</v>
      </c>
      <c r="M42" s="187">
        <f>'Schema Echiv_DB cst'!M42</f>
        <v>176078.22</v>
      </c>
      <c r="N42" s="187">
        <f>'Schema Echiv_DB cst'!N42</f>
        <v>876130</v>
      </c>
      <c r="P42" s="238">
        <v>9</v>
      </c>
      <c r="Q42" s="238">
        <v>21</v>
      </c>
    </row>
    <row r="43" spans="2:20" s="170" customFormat="1" ht="45.75" customHeight="1">
      <c r="B43" s="1864"/>
      <c r="C43" s="1872"/>
      <c r="D43" s="1876"/>
      <c r="E43" s="1877"/>
      <c r="F43" s="200" t="s">
        <v>78</v>
      </c>
      <c r="G43" s="187">
        <f>'Schema Echiv_DB cst'!G43</f>
        <v>7636.96</v>
      </c>
      <c r="H43" s="187">
        <f>'Schema Echiv_DB cst'!H43</f>
        <v>37999.9784</v>
      </c>
      <c r="I43" s="187">
        <f>'Schema Echiv_DB cst'!I43</f>
        <v>7636.96</v>
      </c>
      <c r="J43" s="187">
        <f>'Schema Echiv_DB cst'!J43</f>
        <v>37999.9784</v>
      </c>
      <c r="K43" s="187">
        <f>'Schema Echiv_DB cst'!K43</f>
        <v>0</v>
      </c>
      <c r="L43" s="187">
        <f>'Schema Echiv_DB cst'!L43</f>
        <v>0</v>
      </c>
      <c r="M43" s="187">
        <f>'Schema Echiv_DB cst'!M43</f>
        <v>9088.25</v>
      </c>
      <c r="N43" s="187">
        <f>'Schema Echiv_DB cst'!N43</f>
        <v>45221.684295999999</v>
      </c>
      <c r="P43" s="238">
        <v>9</v>
      </c>
      <c r="Q43" s="238">
        <v>25</v>
      </c>
    </row>
    <row r="44" spans="2:20" s="170" customFormat="1" ht="44.25" customHeight="1">
      <c r="B44" s="1864"/>
      <c r="C44" s="1872"/>
      <c r="D44" s="1876"/>
      <c r="E44" s="1877"/>
      <c r="F44" s="200" t="s">
        <v>452</v>
      </c>
      <c r="G44" s="187">
        <f>'Schema Echiv_DB cst'!G44</f>
        <v>90000</v>
      </c>
      <c r="H44" s="187">
        <f>'Schema Echiv_DB cst'!H44</f>
        <v>447822</v>
      </c>
      <c r="I44" s="187">
        <f>'Schema Echiv_DB cst'!I44</f>
        <v>90000</v>
      </c>
      <c r="J44" s="187">
        <f>'Schema Echiv_DB cst'!J44</f>
        <v>447822</v>
      </c>
      <c r="K44" s="187">
        <f>'Schema Echiv_DB cst'!K44</f>
        <v>0</v>
      </c>
      <c r="L44" s="187">
        <f>'Schema Echiv_DB cst'!L44</f>
        <v>0</v>
      </c>
      <c r="M44" s="187">
        <f>'Schema Echiv_DB cst'!M44</f>
        <v>107099.95999999999</v>
      </c>
      <c r="N44" s="187">
        <f>'Schema Echiv_DB cst'!N44</f>
        <v>532908</v>
      </c>
      <c r="P44" s="238">
        <v>7</v>
      </c>
      <c r="Q44" s="238">
        <v>15</v>
      </c>
    </row>
    <row r="45" spans="2:20" s="170" customFormat="1" ht="44.25" customHeight="1">
      <c r="B45" s="1864"/>
      <c r="C45" s="1872"/>
      <c r="D45" s="1876"/>
      <c r="E45" s="1877"/>
      <c r="F45" s="200" t="s">
        <v>453</v>
      </c>
      <c r="G45" s="187">
        <f>'Schema Echiv_DB cst'!G45</f>
        <v>664495.77</v>
      </c>
      <c r="H45" s="187">
        <f>'Schema Echiv_DB cst'!H45</f>
        <v>3306398</v>
      </c>
      <c r="I45" s="187">
        <f>'Schema Echiv_DB cst'!I45</f>
        <v>664495.77</v>
      </c>
      <c r="J45" s="187">
        <f>'Schema Echiv_DB cst'!J45</f>
        <v>3306398</v>
      </c>
      <c r="K45" s="187">
        <f>'Schema Echiv_DB cst'!K45</f>
        <v>0</v>
      </c>
      <c r="L45" s="187">
        <f>'Schema Echiv_DB cst'!L45</f>
        <v>0</v>
      </c>
      <c r="M45" s="187">
        <f>'Schema Echiv_DB cst'!M45</f>
        <v>664495.77</v>
      </c>
      <c r="N45" s="187">
        <f>'Schema Echiv_DB cst'!N45</f>
        <v>3306398</v>
      </c>
      <c r="P45" s="247">
        <v>17</v>
      </c>
      <c r="Q45" s="247">
        <v>59</v>
      </c>
    </row>
    <row r="46" spans="2:20" s="170" customFormat="1" ht="60" customHeight="1">
      <c r="B46" s="1864"/>
      <c r="C46" s="1873"/>
      <c r="D46" s="1878"/>
      <c r="E46" s="1879"/>
      <c r="F46" s="191" t="s">
        <v>454</v>
      </c>
      <c r="G46" s="192">
        <f t="shared" ref="G46:N46" si="5">SUM(G40:G45)</f>
        <v>2000202.39</v>
      </c>
      <c r="H46" s="192">
        <f t="shared" si="5"/>
        <v>9952606.9783999994</v>
      </c>
      <c r="I46" s="192">
        <f t="shared" si="5"/>
        <v>2000202.39</v>
      </c>
      <c r="J46" s="192">
        <f t="shared" si="5"/>
        <v>9952606.9783999994</v>
      </c>
      <c r="K46" s="192">
        <f t="shared" si="5"/>
        <v>0</v>
      </c>
      <c r="L46" s="192">
        <f t="shared" si="5"/>
        <v>0</v>
      </c>
      <c r="M46" s="192">
        <f t="shared" si="5"/>
        <v>2220531.8499999996</v>
      </c>
      <c r="N46" s="192">
        <f t="shared" si="5"/>
        <v>11048922.684296001</v>
      </c>
      <c r="O46" s="239"/>
      <c r="P46" s="245"/>
      <c r="Q46" s="245"/>
      <c r="R46" s="170" t="s">
        <v>9</v>
      </c>
      <c r="S46" s="249">
        <f>G46/$G$49</f>
        <v>1.6349954472317924E-2</v>
      </c>
      <c r="T46" s="249">
        <f>H46/$H$49</f>
        <v>1.6349954351158418E-2</v>
      </c>
    </row>
    <row r="47" spans="2:20" s="170" customFormat="1" ht="33" customHeight="1">
      <c r="C47" s="1858" t="s">
        <v>496</v>
      </c>
      <c r="D47" s="1858"/>
      <c r="E47" s="1858"/>
      <c r="F47" s="1858"/>
      <c r="G47" s="202">
        <f t="shared" ref="G47:N47" si="6">G14+G15+G25+G31+G32+G46+G36+G39+G33</f>
        <v>102953403.24999999</v>
      </c>
      <c r="H47" s="202">
        <f t="shared" si="6"/>
        <v>512275543.88940001</v>
      </c>
      <c r="I47" s="202">
        <f t="shared" si="6"/>
        <v>99373528.829999983</v>
      </c>
      <c r="J47" s="202">
        <f t="shared" si="6"/>
        <v>494462804.72939998</v>
      </c>
      <c r="K47" s="202">
        <f t="shared" si="6"/>
        <v>3579874.42</v>
      </c>
      <c r="L47" s="202">
        <f t="shared" si="6"/>
        <v>17812739.147654001</v>
      </c>
      <c r="M47" s="202">
        <f t="shared" si="6"/>
        <v>122336878.27052011</v>
      </c>
      <c r="N47" s="202">
        <f t="shared" si="6"/>
        <v>608723838.89695013</v>
      </c>
      <c r="P47" s="240"/>
      <c r="Q47" s="240"/>
      <c r="R47" s="248"/>
      <c r="S47" s="250">
        <f>SUM(S14:S46)</f>
        <v>0.84155656663708323</v>
      </c>
      <c r="T47" s="250">
        <f>SUM(T14:T46)</f>
        <v>0.84155656663466794</v>
      </c>
    </row>
    <row r="48" spans="2:20" s="170" customFormat="1" ht="33" customHeight="1">
      <c r="C48" s="1859" t="s">
        <v>497</v>
      </c>
      <c r="D48" s="1860"/>
      <c r="E48" s="1860"/>
      <c r="F48" s="1861"/>
      <c r="G48" s="202">
        <f>'DEVIZ GENERAL'!F165</f>
        <v>19383475.020520117</v>
      </c>
      <c r="H48" s="202">
        <f>'DEVIZ GENERAL'!E165</f>
        <v>96448295.005896002</v>
      </c>
      <c r="I48" s="202">
        <f>G48-K48</f>
        <v>18703298.890520118</v>
      </c>
      <c r="J48" s="202">
        <f>H48-L48</f>
        <v>93063874.565495998</v>
      </c>
      <c r="K48" s="202">
        <f>'Schema Echiv_DB cst'!K48</f>
        <v>680176.13</v>
      </c>
      <c r="L48" s="202">
        <f>'Schema Echiv_DB cst'!L48</f>
        <v>3384420.4404000049</v>
      </c>
      <c r="M48" s="202"/>
      <c r="N48" s="202"/>
      <c r="P48" s="240"/>
      <c r="Q48" s="240"/>
      <c r="R48" s="248"/>
      <c r="S48" s="249">
        <f>G48/$G$49</f>
        <v>0.15844343336716823</v>
      </c>
      <c r="T48" s="249">
        <f>H48/$H$49</f>
        <v>0.15844343336533215</v>
      </c>
    </row>
    <row r="49" spans="2:19" s="170" customFormat="1" ht="33" customHeight="1">
      <c r="C49" s="1859" t="s">
        <v>498</v>
      </c>
      <c r="D49" s="1860"/>
      <c r="E49" s="1860"/>
      <c r="F49" s="1861"/>
      <c r="G49" s="202">
        <f>ROUND(G47+G48,2)</f>
        <v>122336878.27</v>
      </c>
      <c r="H49" s="202">
        <f>H47+H48</f>
        <v>608723838.89529598</v>
      </c>
      <c r="I49" s="202">
        <f t="shared" ref="I49:J49" si="7">I47+I48</f>
        <v>118076827.72052011</v>
      </c>
      <c r="J49" s="202">
        <f t="shared" si="7"/>
        <v>587526679.29489601</v>
      </c>
      <c r="K49" s="202">
        <f t="shared" ref="K49:L49" si="8">K47+K48</f>
        <v>4260050.55</v>
      </c>
      <c r="L49" s="202">
        <f t="shared" si="8"/>
        <v>21197159.588054005</v>
      </c>
      <c r="M49" s="202"/>
      <c r="N49" s="202"/>
      <c r="P49" s="240"/>
      <c r="Q49" s="240"/>
      <c r="R49" s="248"/>
      <c r="S49" s="250">
        <f>S47+S48</f>
        <v>1.0000000000042515</v>
      </c>
    </row>
    <row r="50" spans="2:19" ht="30" customHeight="1">
      <c r="C50" s="1862"/>
      <c r="D50" s="1862"/>
      <c r="E50" s="1862"/>
      <c r="F50" s="1862"/>
      <c r="G50" s="1862"/>
      <c r="H50" s="204"/>
      <c r="I50" s="204"/>
      <c r="J50" s="204"/>
      <c r="K50" s="204"/>
      <c r="L50" s="204"/>
      <c r="M50" s="204"/>
      <c r="N50" s="172"/>
    </row>
    <row r="51" spans="2:19" s="171" customFormat="1" ht="15" hidden="1" customHeight="1">
      <c r="B51" s="205"/>
      <c r="C51" s="205"/>
      <c r="D51" s="206"/>
      <c r="E51" s="205"/>
      <c r="F51" s="205"/>
      <c r="G51" s="207"/>
      <c r="H51" s="208"/>
      <c r="I51" s="208"/>
      <c r="J51" s="208"/>
      <c r="K51" s="208"/>
      <c r="L51" s="208"/>
      <c r="M51" s="208"/>
      <c r="N51" s="228"/>
    </row>
    <row r="52" spans="2:19" s="171" customFormat="1" hidden="1">
      <c r="B52" s="205"/>
      <c r="C52" s="205"/>
      <c r="D52" s="206"/>
      <c r="E52" s="205"/>
      <c r="F52" s="205"/>
      <c r="G52" s="209"/>
      <c r="H52" s="210">
        <f>H47/G47</f>
        <v>4.97579999998106</v>
      </c>
      <c r="I52" s="210"/>
      <c r="J52" s="210"/>
      <c r="K52" s="210"/>
      <c r="L52" s="210"/>
      <c r="M52" s="210"/>
      <c r="N52" s="229"/>
    </row>
    <row r="53" spans="2:19" ht="15">
      <c r="B53" s="1863" t="s">
        <v>458</v>
      </c>
      <c r="C53" s="1863"/>
      <c r="D53" s="1863"/>
      <c r="E53" s="1863"/>
      <c r="F53" s="1863"/>
      <c r="G53" s="1863"/>
      <c r="H53" s="211"/>
      <c r="I53" s="211"/>
      <c r="J53" s="211"/>
      <c r="K53" s="211"/>
      <c r="L53" s="211"/>
      <c r="M53" s="211"/>
      <c r="N53" s="230" t="s">
        <v>9</v>
      </c>
    </row>
    <row r="54" spans="2:19" ht="15">
      <c r="B54" s="1863" t="s">
        <v>499</v>
      </c>
      <c r="C54" s="1863"/>
      <c r="D54" s="1863"/>
      <c r="E54" s="1863"/>
      <c r="F54" s="1863"/>
      <c r="G54" s="1863"/>
      <c r="H54" s="212"/>
      <c r="I54" s="212"/>
      <c r="J54" s="212"/>
      <c r="K54" s="212"/>
      <c r="L54" s="212"/>
      <c r="M54" s="212"/>
      <c r="N54" s="172"/>
    </row>
    <row r="55" spans="2:19">
      <c r="C55" s="213"/>
      <c r="G55" s="175" t="s">
        <v>7</v>
      </c>
      <c r="H55" s="214">
        <f>H49/G49</f>
        <v>4.9757999999953411</v>
      </c>
      <c r="I55" s="214"/>
      <c r="J55" s="214"/>
      <c r="K55" s="214"/>
      <c r="L55" s="214"/>
      <c r="M55" s="176"/>
      <c r="N55" s="172"/>
      <c r="P55" s="172">
        <f>euro</f>
        <v>4.9757999999999996</v>
      </c>
    </row>
    <row r="56" spans="2:19">
      <c r="B56" s="215"/>
      <c r="C56" s="216"/>
      <c r="D56" s="217"/>
      <c r="E56" s="215"/>
      <c r="F56" s="215"/>
      <c r="G56" s="218" t="s">
        <v>9</v>
      </c>
      <c r="H56" s="176" t="s">
        <v>9</v>
      </c>
      <c r="I56" s="176"/>
      <c r="J56" s="176"/>
      <c r="K56" s="176"/>
      <c r="L56" s="176"/>
      <c r="M56" s="176"/>
      <c r="N56" s="172"/>
    </row>
    <row r="57" spans="2:19" hidden="1">
      <c r="B57" s="215"/>
      <c r="C57" s="216"/>
      <c r="D57" s="217"/>
      <c r="E57" s="215"/>
      <c r="F57" s="215"/>
      <c r="G57" s="219"/>
      <c r="H57" s="212"/>
      <c r="I57" s="212"/>
      <c r="J57" s="212"/>
      <c r="K57" s="212"/>
      <c r="L57" s="212"/>
      <c r="M57" s="212"/>
      <c r="N57" s="172"/>
    </row>
    <row r="58" spans="2:19" hidden="1">
      <c r="B58" s="215"/>
      <c r="C58" s="216"/>
      <c r="D58" s="217"/>
      <c r="E58" s="215"/>
      <c r="F58" s="215"/>
      <c r="G58" s="219"/>
      <c r="H58" s="212"/>
      <c r="I58" s="212"/>
      <c r="J58" s="212"/>
      <c r="K58" s="212"/>
      <c r="L58" s="212"/>
      <c r="M58" s="212"/>
      <c r="N58" s="172"/>
    </row>
    <row r="59" spans="2:19" hidden="1">
      <c r="B59" s="215"/>
      <c r="C59" s="216"/>
      <c r="D59" s="217"/>
      <c r="E59" s="215"/>
      <c r="F59" s="215"/>
      <c r="G59" s="219"/>
      <c r="H59" s="212"/>
      <c r="I59" s="212"/>
      <c r="J59" s="212"/>
      <c r="K59" s="212"/>
      <c r="L59" s="212"/>
      <c r="M59" s="212"/>
      <c r="N59" s="172"/>
    </row>
    <row r="60" spans="2:19" hidden="1">
      <c r="B60" s="215"/>
      <c r="C60" s="216"/>
      <c r="D60" s="217"/>
      <c r="E60" s="215"/>
      <c r="F60" s="215"/>
      <c r="G60" s="219"/>
      <c r="H60" s="212"/>
      <c r="I60" s="212"/>
      <c r="J60" s="212"/>
      <c r="K60" s="212"/>
      <c r="L60" s="212"/>
      <c r="M60" s="212"/>
      <c r="N60" s="172"/>
    </row>
    <row r="61" spans="2:19" hidden="1">
      <c r="B61" s="215"/>
      <c r="C61" s="216"/>
      <c r="D61" s="217"/>
      <c r="E61" s="215"/>
      <c r="F61" s="215"/>
      <c r="G61" s="219"/>
      <c r="H61" s="212"/>
      <c r="I61" s="212"/>
      <c r="J61" s="212"/>
      <c r="K61" s="212"/>
      <c r="L61" s="212"/>
      <c r="M61" s="212"/>
      <c r="N61" s="172"/>
    </row>
    <row r="62" spans="2:19" hidden="1">
      <c r="B62" s="215"/>
      <c r="C62" s="216"/>
      <c r="D62" s="217"/>
      <c r="E62" s="215"/>
      <c r="F62" s="215"/>
      <c r="G62" s="219"/>
      <c r="H62" s="212"/>
      <c r="I62" s="212"/>
      <c r="J62" s="212"/>
      <c r="K62" s="212"/>
      <c r="L62" s="212"/>
      <c r="M62" s="212"/>
      <c r="N62" s="172"/>
    </row>
    <row r="63" spans="2:19" hidden="1">
      <c r="B63" s="215"/>
      <c r="C63" s="216"/>
      <c r="D63" s="217"/>
      <c r="E63" s="215"/>
      <c r="F63" s="215"/>
      <c r="G63" s="219"/>
      <c r="H63" s="212"/>
      <c r="I63" s="212"/>
      <c r="J63" s="212"/>
      <c r="K63" s="212"/>
      <c r="L63" s="212"/>
      <c r="M63" s="212"/>
      <c r="N63" s="172"/>
    </row>
    <row r="64" spans="2:19" hidden="1">
      <c r="B64" s="215"/>
      <c r="C64" s="220" t="s">
        <v>460</v>
      </c>
      <c r="D64" s="215"/>
      <c r="E64" s="215"/>
      <c r="F64" s="215"/>
      <c r="G64" s="221"/>
      <c r="H64" s="222"/>
      <c r="I64" s="222"/>
      <c r="J64" s="222"/>
      <c r="K64" s="222"/>
      <c r="L64" s="222"/>
      <c r="M64" s="222"/>
      <c r="N64" s="172"/>
    </row>
    <row r="65" spans="2:17" hidden="1">
      <c r="B65" s="215"/>
      <c r="C65" s="220" t="s">
        <v>461</v>
      </c>
      <c r="D65" s="215"/>
      <c r="E65" s="215"/>
      <c r="F65" s="215"/>
      <c r="G65" s="221"/>
      <c r="H65" s="222"/>
      <c r="I65" s="222"/>
      <c r="J65" s="222"/>
      <c r="K65" s="222"/>
      <c r="L65" s="222"/>
      <c r="M65" s="222"/>
      <c r="N65" s="172"/>
      <c r="Q65" s="172" t="s">
        <v>462</v>
      </c>
    </row>
    <row r="66" spans="2:17" hidden="1">
      <c r="B66" s="215"/>
      <c r="C66" s="253" t="s">
        <v>463</v>
      </c>
      <c r="D66" s="254">
        <v>1.1000000000000001</v>
      </c>
      <c r="E66" s="215"/>
      <c r="F66" s="215"/>
      <c r="G66" s="219"/>
      <c r="H66" s="222"/>
      <c r="I66" s="222"/>
      <c r="J66" s="222"/>
      <c r="K66" s="222"/>
      <c r="L66" s="222"/>
      <c r="M66" s="222"/>
      <c r="N66" s="172"/>
    </row>
    <row r="67" spans="2:17" hidden="1">
      <c r="B67" s="215"/>
      <c r="C67" s="253" t="s">
        <v>464</v>
      </c>
      <c r="D67" s="255" t="s">
        <v>465</v>
      </c>
      <c r="E67" s="215"/>
      <c r="F67" s="215"/>
      <c r="G67" s="219"/>
      <c r="H67" s="256"/>
      <c r="I67" s="256"/>
      <c r="J67" s="256"/>
      <c r="K67" s="256"/>
      <c r="L67" s="256"/>
      <c r="M67" s="256"/>
      <c r="N67" s="172"/>
      <c r="Q67" s="172" t="s">
        <v>466</v>
      </c>
    </row>
    <row r="68" spans="2:17" hidden="1">
      <c r="B68" s="215"/>
      <c r="C68" s="253" t="s">
        <v>467</v>
      </c>
      <c r="D68" s="254"/>
      <c r="E68" s="215"/>
      <c r="F68" s="215"/>
      <c r="G68" s="219"/>
      <c r="H68" s="222"/>
      <c r="I68" s="222"/>
      <c r="J68" s="222"/>
      <c r="K68" s="222"/>
      <c r="L68" s="222"/>
      <c r="M68" s="222"/>
      <c r="N68" s="172"/>
      <c r="Q68" s="172" t="s">
        <v>468</v>
      </c>
    </row>
    <row r="69" spans="2:17" hidden="1">
      <c r="B69" s="215"/>
      <c r="C69" s="253" t="s">
        <v>467</v>
      </c>
      <c r="D69" s="254">
        <v>1.2</v>
      </c>
      <c r="E69" s="215"/>
      <c r="F69" s="215"/>
      <c r="G69" s="219"/>
      <c r="H69" s="256"/>
      <c r="I69" s="256"/>
      <c r="J69" s="256"/>
      <c r="K69" s="256"/>
      <c r="L69" s="256"/>
      <c r="M69" s="256"/>
      <c r="N69" s="172"/>
    </row>
    <row r="70" spans="2:17" hidden="1">
      <c r="B70" s="215"/>
      <c r="C70" s="253" t="s">
        <v>469</v>
      </c>
      <c r="D70" s="255" t="s">
        <v>470</v>
      </c>
      <c r="E70" s="215"/>
      <c r="F70" s="215"/>
      <c r="G70" s="219"/>
      <c r="H70" s="256"/>
      <c r="I70" s="256"/>
      <c r="J70" s="256"/>
      <c r="K70" s="256"/>
      <c r="L70" s="256"/>
      <c r="M70" s="256"/>
      <c r="N70" s="172"/>
      <c r="Q70" s="270" t="s">
        <v>471</v>
      </c>
    </row>
    <row r="71" spans="2:17" hidden="1">
      <c r="B71" s="215"/>
      <c r="C71" s="253" t="s">
        <v>472</v>
      </c>
      <c r="D71" s="255" t="s">
        <v>473</v>
      </c>
      <c r="E71" s="215"/>
      <c r="F71" s="215"/>
      <c r="G71" s="219"/>
      <c r="H71" s="222"/>
      <c r="I71" s="222"/>
      <c r="J71" s="222"/>
      <c r="K71" s="222"/>
      <c r="L71" s="222"/>
      <c r="M71" s="222"/>
      <c r="N71" s="172"/>
      <c r="Q71" s="271" t="s">
        <v>471</v>
      </c>
    </row>
    <row r="72" spans="2:17" hidden="1">
      <c r="B72" s="215"/>
      <c r="C72" s="253" t="s">
        <v>474</v>
      </c>
      <c r="D72" s="255" t="s">
        <v>475</v>
      </c>
      <c r="E72" s="215"/>
      <c r="F72" s="215"/>
      <c r="G72" s="219"/>
      <c r="H72" s="256"/>
      <c r="I72" s="256"/>
      <c r="J72" s="256"/>
      <c r="K72" s="256"/>
      <c r="L72" s="256"/>
      <c r="M72" s="256"/>
      <c r="N72" s="172"/>
      <c r="Q72" s="272" t="s">
        <v>471</v>
      </c>
    </row>
    <row r="73" spans="2:17" hidden="1">
      <c r="B73" s="215"/>
      <c r="C73" s="253" t="s">
        <v>476</v>
      </c>
      <c r="D73" s="255"/>
      <c r="E73" s="215"/>
      <c r="F73" s="215"/>
      <c r="G73" s="219"/>
      <c r="H73" s="222"/>
      <c r="I73" s="222"/>
      <c r="J73" s="222"/>
      <c r="K73" s="222"/>
      <c r="L73" s="222"/>
      <c r="M73" s="222"/>
      <c r="N73" s="172"/>
      <c r="Q73" s="172" t="s">
        <v>477</v>
      </c>
    </row>
    <row r="74" spans="2:17" hidden="1">
      <c r="B74" s="215"/>
      <c r="C74" s="253" t="s">
        <v>476</v>
      </c>
      <c r="D74" s="255" t="s">
        <v>478</v>
      </c>
      <c r="E74" s="215"/>
      <c r="F74" s="215"/>
      <c r="G74" s="219"/>
      <c r="H74" s="256"/>
      <c r="I74" s="256"/>
      <c r="J74" s="256"/>
      <c r="K74" s="256"/>
      <c r="L74" s="256"/>
      <c r="M74" s="256"/>
      <c r="N74" s="172"/>
      <c r="Q74" s="270" t="s">
        <v>479</v>
      </c>
    </row>
    <row r="75" spans="2:17" hidden="1">
      <c r="B75" s="215"/>
      <c r="C75" s="253" t="s">
        <v>480</v>
      </c>
      <c r="D75" s="255">
        <v>7.1</v>
      </c>
      <c r="E75" s="215"/>
      <c r="F75" s="215"/>
      <c r="G75" s="219"/>
      <c r="H75" s="222"/>
      <c r="I75" s="222"/>
      <c r="J75" s="222"/>
      <c r="K75" s="222"/>
      <c r="L75" s="222"/>
      <c r="M75" s="222"/>
      <c r="N75" s="172"/>
      <c r="Q75" s="271"/>
    </row>
    <row r="76" spans="2:17" hidden="1">
      <c r="B76" s="215"/>
      <c r="C76" s="253" t="s">
        <v>481</v>
      </c>
      <c r="D76" s="255">
        <v>7.2</v>
      </c>
      <c r="E76" s="215"/>
      <c r="F76" s="215"/>
      <c r="G76" s="219"/>
      <c r="H76" s="222"/>
      <c r="I76" s="222"/>
      <c r="J76" s="222"/>
      <c r="K76" s="222"/>
      <c r="L76" s="222"/>
      <c r="M76" s="222"/>
      <c r="N76" s="172"/>
      <c r="Q76" s="271"/>
    </row>
    <row r="77" spans="2:17" hidden="1">
      <c r="B77" s="215"/>
      <c r="C77" s="253" t="s">
        <v>482</v>
      </c>
      <c r="D77" s="255" t="s">
        <v>483</v>
      </c>
      <c r="E77" s="215"/>
      <c r="F77" s="215"/>
      <c r="G77" s="219"/>
      <c r="H77" s="222"/>
      <c r="I77" s="222"/>
      <c r="J77" s="222"/>
      <c r="K77" s="222"/>
      <c r="L77" s="222"/>
      <c r="M77" s="222"/>
      <c r="N77" s="172"/>
      <c r="Q77" s="272"/>
    </row>
    <row r="78" spans="2:17" hidden="1">
      <c r="B78" s="215"/>
      <c r="C78" s="253" t="s">
        <v>484</v>
      </c>
      <c r="D78" s="255" t="s">
        <v>485</v>
      </c>
      <c r="E78" s="215"/>
      <c r="F78" s="215"/>
      <c r="G78" s="219"/>
      <c r="H78" s="222"/>
      <c r="I78" s="222"/>
      <c r="J78" s="222"/>
      <c r="K78" s="222"/>
      <c r="L78" s="222"/>
      <c r="M78" s="222"/>
      <c r="N78" s="172"/>
      <c r="Q78" s="172" t="s">
        <v>486</v>
      </c>
    </row>
    <row r="79" spans="2:17" hidden="1">
      <c r="B79" s="215"/>
      <c r="C79" s="253" t="s">
        <v>267</v>
      </c>
      <c r="D79" s="255">
        <v>5.3</v>
      </c>
      <c r="E79" s="215"/>
      <c r="F79" s="215"/>
      <c r="G79" s="219"/>
      <c r="H79" s="222"/>
      <c r="I79" s="222"/>
      <c r="J79" s="222"/>
      <c r="K79" s="222"/>
      <c r="L79" s="222"/>
      <c r="M79" s="222"/>
      <c r="N79" s="172"/>
      <c r="Q79" s="172" t="s">
        <v>487</v>
      </c>
    </row>
    <row r="80" spans="2:17" hidden="1">
      <c r="B80" s="215"/>
      <c r="C80" s="253" t="s">
        <v>488</v>
      </c>
      <c r="D80" s="255" t="s">
        <v>489</v>
      </c>
      <c r="E80" s="215"/>
      <c r="F80" s="215"/>
      <c r="G80" s="219"/>
      <c r="H80" s="222"/>
      <c r="I80" s="222"/>
      <c r="J80" s="222"/>
      <c r="K80" s="222"/>
      <c r="L80" s="222"/>
      <c r="M80" s="222"/>
      <c r="N80" s="172"/>
      <c r="Q80" s="172" t="s">
        <v>490</v>
      </c>
    </row>
    <row r="81" spans="2:17" hidden="1">
      <c r="B81" s="215"/>
      <c r="C81" s="220" t="s">
        <v>491</v>
      </c>
      <c r="D81" s="257" t="e">
        <f>SUM(#REF!)</f>
        <v>#REF!</v>
      </c>
      <c r="E81" s="215"/>
      <c r="F81" s="215"/>
      <c r="G81" s="221"/>
      <c r="H81" s="222"/>
      <c r="I81" s="222"/>
      <c r="J81" s="222"/>
      <c r="K81" s="222"/>
      <c r="L81" s="222"/>
      <c r="M81" s="222"/>
      <c r="N81" s="172"/>
      <c r="Q81" s="172" t="s">
        <v>492</v>
      </c>
    </row>
    <row r="82" spans="2:17" hidden="1">
      <c r="B82" s="215"/>
      <c r="C82" s="216"/>
      <c r="D82" s="217"/>
      <c r="E82" s="215"/>
      <c r="F82" s="215"/>
      <c r="G82" s="219"/>
      <c r="H82" s="212"/>
      <c r="I82" s="212"/>
      <c r="J82" s="212"/>
      <c r="K82" s="212"/>
      <c r="L82" s="212"/>
      <c r="M82" s="212"/>
      <c r="N82" s="172"/>
    </row>
    <row r="83" spans="2:17" hidden="1">
      <c r="B83" s="215"/>
      <c r="C83" s="216"/>
      <c r="D83" s="217"/>
      <c r="E83" s="215"/>
      <c r="F83" s="215"/>
      <c r="G83" s="219"/>
      <c r="H83" s="212"/>
      <c r="I83" s="212"/>
      <c r="J83" s="212"/>
      <c r="K83" s="212"/>
      <c r="L83" s="212"/>
      <c r="M83" s="212"/>
      <c r="N83" s="172"/>
    </row>
    <row r="84" spans="2:17">
      <c r="B84" s="215"/>
      <c r="C84" s="216"/>
      <c r="D84" s="217"/>
      <c r="E84" s="215"/>
      <c r="F84" s="215"/>
      <c r="G84" s="258">
        <f>'Deviz general curente'!D145</f>
        <v>102953403.46000001</v>
      </c>
      <c r="H84" s="258">
        <f>'Deviz general curente'!C145</f>
        <v>512275545</v>
      </c>
      <c r="I84" s="258"/>
      <c r="J84" s="258"/>
      <c r="K84" s="258"/>
      <c r="L84" s="258"/>
      <c r="M84" s="176"/>
      <c r="N84" s="172"/>
    </row>
    <row r="85" spans="2:17">
      <c r="B85" s="215"/>
      <c r="C85" s="216"/>
      <c r="D85" s="217"/>
      <c r="E85" s="215"/>
      <c r="F85" s="215"/>
      <c r="G85" s="258">
        <f>'Deviz general curente'!H145</f>
        <v>122336878.81999999</v>
      </c>
      <c r="H85" s="258">
        <f>'Deviz general curente'!G145</f>
        <v>608723841.65999997</v>
      </c>
      <c r="I85" s="258"/>
      <c r="J85" s="258"/>
      <c r="K85" s="258"/>
      <c r="L85" s="258"/>
      <c r="M85" s="212"/>
      <c r="N85" s="172"/>
    </row>
    <row r="86" spans="2:17">
      <c r="H86" s="212"/>
      <c r="I86" s="212"/>
      <c r="J86" s="212"/>
      <c r="K86" s="212"/>
      <c r="L86" s="212"/>
      <c r="M86" s="212"/>
      <c r="N86" s="172"/>
    </row>
    <row r="87" spans="2:17">
      <c r="C87" s="172"/>
      <c r="D87" s="172"/>
      <c r="H87" s="212"/>
      <c r="I87" s="212"/>
      <c r="J87" s="212"/>
      <c r="K87" s="212"/>
      <c r="L87" s="212"/>
      <c r="M87" s="212"/>
      <c r="N87" s="172"/>
    </row>
    <row r="88" spans="2:17">
      <c r="C88" s="172"/>
      <c r="D88" s="172"/>
      <c r="H88" s="212"/>
      <c r="I88" s="212"/>
      <c r="J88" s="212"/>
      <c r="K88" s="212"/>
      <c r="L88" s="212"/>
      <c r="M88" s="212"/>
      <c r="N88" s="172"/>
    </row>
    <row r="89" spans="2:17">
      <c r="C89" s="172"/>
      <c r="D89" s="172"/>
      <c r="H89" s="212"/>
      <c r="I89" s="212"/>
      <c r="J89" s="212"/>
      <c r="K89" s="212"/>
      <c r="L89" s="212"/>
      <c r="M89" s="212"/>
      <c r="N89" s="172"/>
    </row>
    <row r="90" spans="2:17">
      <c r="C90" s="172"/>
      <c r="D90" s="172"/>
      <c r="H90" s="212"/>
      <c r="I90" s="212"/>
      <c r="J90" s="212"/>
      <c r="K90" s="212"/>
      <c r="L90" s="212"/>
      <c r="M90" s="212"/>
      <c r="N90" s="172"/>
    </row>
    <row r="91" spans="2:17">
      <c r="C91" s="172"/>
      <c r="D91" s="172"/>
      <c r="G91" s="212"/>
      <c r="H91" s="212"/>
      <c r="I91" s="212"/>
      <c r="J91" s="212"/>
      <c r="K91" s="212"/>
      <c r="L91" s="212"/>
      <c r="M91" s="212"/>
      <c r="N91" s="172"/>
    </row>
    <row r="92" spans="2:17">
      <c r="C92" s="172"/>
      <c r="D92" s="172"/>
      <c r="G92" s="212"/>
      <c r="N92" s="172"/>
    </row>
  </sheetData>
  <mergeCells count="26">
    <mergeCell ref="C50:G50"/>
    <mergeCell ref="B53:G53"/>
    <mergeCell ref="B54:G54"/>
    <mergeCell ref="B41:B46"/>
    <mergeCell ref="C7:C14"/>
    <mergeCell ref="C16:C25"/>
    <mergeCell ref="C26:C31"/>
    <mergeCell ref="C34:C36"/>
    <mergeCell ref="C37:C39"/>
    <mergeCell ref="C40:C46"/>
    <mergeCell ref="D40:E46"/>
    <mergeCell ref="D34:E36"/>
    <mergeCell ref="D37:E39"/>
    <mergeCell ref="D7:E14"/>
    <mergeCell ref="D16:E25"/>
    <mergeCell ref="D26:E31"/>
    <mergeCell ref="D32:E32"/>
    <mergeCell ref="D33:E33"/>
    <mergeCell ref="C47:F47"/>
    <mergeCell ref="C48:F48"/>
    <mergeCell ref="C49:F49"/>
    <mergeCell ref="C2:H2"/>
    <mergeCell ref="B4:G4"/>
    <mergeCell ref="D5:E5"/>
    <mergeCell ref="D6:E6"/>
    <mergeCell ref="D15:E15"/>
  </mergeCells>
  <printOptions horizontalCentered="1" verticalCentered="1"/>
  <pageMargins left="0.35433070866141703" right="0.35433070866141703" top="0.59055118110236204" bottom="0.59055118110236204" header="0.511811023622047" footer="0.511811023622047"/>
  <pageSetup paperSize="9" scale="36" orientation="landscape" r:id="rId1"/>
  <headerFooter alignWithMargins="0"/>
  <rowBreaks count="1" manualBreakCount="1">
    <brk id="39" max="16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V402"/>
  <sheetViews>
    <sheetView topLeftCell="A11" zoomScale="75" zoomScaleNormal="75" workbookViewId="0">
      <selection activeCell="K18" sqref="K18"/>
    </sheetView>
  </sheetViews>
  <sheetFormatPr defaultColWidth="8.85546875" defaultRowHeight="12.75"/>
  <cols>
    <col min="1" max="1" width="8.85546875" style="58"/>
    <col min="2" max="2" width="54.85546875" style="276" customWidth="1"/>
    <col min="3" max="4" width="18.85546875" customWidth="1"/>
    <col min="5" max="5" width="19.140625" customWidth="1"/>
    <col min="6" max="6" width="16" customWidth="1"/>
    <col min="7" max="7" width="9.7109375" style="58" customWidth="1"/>
    <col min="8" max="9" width="12.7109375" style="58" customWidth="1"/>
    <col min="10" max="74" width="8.85546875" style="58"/>
  </cols>
  <sheetData>
    <row r="1" spans="2:74" s="58" customFormat="1">
      <c r="B1" s="1142" t="s">
        <v>9</v>
      </c>
    </row>
    <row r="2" spans="2:74" s="58" customFormat="1">
      <c r="B2" s="1143" t="s">
        <v>500</v>
      </c>
    </row>
    <row r="3" spans="2:74" ht="37.5" customHeight="1">
      <c r="B3" s="1884" t="s">
        <v>501</v>
      </c>
      <c r="C3" s="1888" t="s">
        <v>502</v>
      </c>
      <c r="D3" s="1888"/>
      <c r="E3" s="1888"/>
      <c r="F3" s="1886" t="s">
        <v>503</v>
      </c>
    </row>
    <row r="4" spans="2:74" ht="80.099999999999994" customHeight="1">
      <c r="B4" s="1885"/>
      <c r="C4" s="1144" t="s">
        <v>504</v>
      </c>
      <c r="D4" s="1144" t="s">
        <v>505</v>
      </c>
      <c r="E4" s="1144" t="s">
        <v>506</v>
      </c>
      <c r="F4" s="1887"/>
    </row>
    <row r="5" spans="2:74" ht="23.25" customHeight="1">
      <c r="B5" s="1889" t="s">
        <v>507</v>
      </c>
      <c r="C5" s="1890"/>
      <c r="D5" s="1890"/>
      <c r="E5" s="1890"/>
      <c r="F5" s="1891"/>
    </row>
    <row r="6" spans="2:74" ht="20.25" customHeight="1">
      <c r="B6" s="1145" t="s">
        <v>508</v>
      </c>
      <c r="C6" s="1146">
        <f>'D7.C&amp;T'!F35+'D7.C&amp;T'!F36+'D7.C&amp;T'!F41+'D7.C&amp;T'!F43+'D7.C&amp;T'!F42</f>
        <v>3024685.48</v>
      </c>
      <c r="D6" s="1146">
        <v>0</v>
      </c>
      <c r="E6" s="1146">
        <f>C6+D6</f>
        <v>3024685.48</v>
      </c>
      <c r="F6" s="1147">
        <v>2027</v>
      </c>
    </row>
    <row r="7" spans="2:74" ht="21" customHeight="1">
      <c r="B7" s="1889" t="s">
        <v>509</v>
      </c>
      <c r="C7" s="1890"/>
      <c r="D7" s="1890"/>
      <c r="E7" s="1890"/>
      <c r="F7" s="1891"/>
    </row>
    <row r="8" spans="2:74" ht="21" customHeight="1">
      <c r="B8" s="1145" t="s">
        <v>510</v>
      </c>
      <c r="C8" s="1146">
        <f>'D7.C&amp;T'!F34+'D7.C&amp;T'!F40</f>
        <v>2182129.31</v>
      </c>
      <c r="D8" s="1146">
        <v>0</v>
      </c>
      <c r="E8" s="1146">
        <f>C8+D8</f>
        <v>2182129.31</v>
      </c>
      <c r="F8" s="1147">
        <v>2029</v>
      </c>
      <c r="H8" s="41" t="s">
        <v>9</v>
      </c>
      <c r="I8" s="1167" t="s">
        <v>9</v>
      </c>
    </row>
    <row r="9" spans="2:74" ht="31.7" customHeight="1">
      <c r="B9" s="1889" t="s">
        <v>511</v>
      </c>
      <c r="C9" s="1890"/>
      <c r="D9" s="1890"/>
      <c r="E9" s="1890"/>
      <c r="F9" s="1891"/>
      <c r="I9" s="1167" t="s">
        <v>9</v>
      </c>
    </row>
    <row r="10" spans="2:74" ht="27.95" customHeight="1">
      <c r="B10" s="1145" t="s">
        <v>512</v>
      </c>
      <c r="C10" s="1146">
        <f>'D7.C&amp;T'!F38</f>
        <v>318666.55</v>
      </c>
      <c r="D10" s="1146">
        <v>0</v>
      </c>
      <c r="E10" s="1146">
        <f>C10+D10</f>
        <v>318666.55</v>
      </c>
      <c r="F10" s="1147">
        <v>2029</v>
      </c>
      <c r="H10" s="59"/>
    </row>
    <row r="11" spans="2:74" ht="26.25" customHeight="1">
      <c r="B11" s="1880" t="s">
        <v>513</v>
      </c>
      <c r="C11" s="1881"/>
      <c r="D11" s="1881"/>
      <c r="E11" s="1881"/>
      <c r="F11" s="1882"/>
    </row>
    <row r="12" spans="2:74" ht="26.1" customHeight="1">
      <c r="B12" s="1148" t="s">
        <v>514</v>
      </c>
      <c r="C12" s="1149">
        <v>0</v>
      </c>
      <c r="D12" s="1149">
        <f>'D8.compostoare individuale'!F24</f>
        <v>3579874.42</v>
      </c>
      <c r="E12" s="1146">
        <f>C12+D12</f>
        <v>3579874.42</v>
      </c>
      <c r="F12" s="1150" t="s">
        <v>515</v>
      </c>
    </row>
    <row r="13" spans="2:74" ht="21.95" customHeight="1">
      <c r="B13" s="1880" t="s">
        <v>516</v>
      </c>
      <c r="C13" s="1881"/>
      <c r="D13" s="1881"/>
      <c r="E13" s="1881"/>
      <c r="F13" s="1882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2:74" ht="26.25" customHeight="1">
      <c r="B14" s="1148" t="s">
        <v>112</v>
      </c>
      <c r="C14" s="1149">
        <f>'esalonare investitie'!H11+'esalonare investitie'!H17+'esalonare investitie'!H23</f>
        <v>70776077.649999991</v>
      </c>
      <c r="D14" s="1149">
        <f>'esalonare investitie'!N11+'esalonare investitie'!N17+'esalonare investitie'!N23+'esalonare investitie'!N29</f>
        <v>0</v>
      </c>
      <c r="E14" s="1146">
        <f>C14+D14</f>
        <v>70776077.649999991</v>
      </c>
      <c r="F14" s="1150" t="s">
        <v>517</v>
      </c>
      <c r="G14" s="59" t="s">
        <v>9</v>
      </c>
      <c r="H14" s="59" t="s">
        <v>9</v>
      </c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2:74" ht="26.25" customHeight="1">
      <c r="B15" s="1151" t="s">
        <v>518</v>
      </c>
      <c r="C15" s="1152">
        <f>C6+C8+C10+C12+C14</f>
        <v>76301558.989999995</v>
      </c>
      <c r="D15" s="1152">
        <f>D6+D8+D10+D12+D14</f>
        <v>3579874.42</v>
      </c>
      <c r="E15" s="1152">
        <f>E6+E8+E10+E12+E14</f>
        <v>79881433.409999996</v>
      </c>
      <c r="F15" s="1153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2:74" ht="26.25" customHeight="1">
      <c r="B16" s="1154" t="s">
        <v>519</v>
      </c>
      <c r="C16" s="1155">
        <f>'esalonare investitie'!H29</f>
        <v>7796149.9699999988</v>
      </c>
      <c r="D16" s="1155">
        <v>0</v>
      </c>
      <c r="E16" s="1155">
        <f>C16</f>
        <v>7796149.9699999988</v>
      </c>
      <c r="F16" s="1150" t="s">
        <v>520</v>
      </c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2:74" ht="26.25" customHeight="1">
      <c r="B17" s="1151" t="s">
        <v>521</v>
      </c>
      <c r="C17" s="1152">
        <f>C15+C16</f>
        <v>84097708.959999993</v>
      </c>
      <c r="D17" s="1152">
        <f>D15+D16</f>
        <v>3579874.42</v>
      </c>
      <c r="E17" s="1152">
        <f>E15+E16</f>
        <v>87677583.379999995</v>
      </c>
      <c r="F17" s="1153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2:74" ht="50.25" customHeight="1">
      <c r="B18" s="1156" t="s">
        <v>522</v>
      </c>
      <c r="C18" s="1157">
        <f>'esalonare investitie'!H41</f>
        <v>1238518.44</v>
      </c>
      <c r="D18" s="1157">
        <f>'esalonare investitie'!N41</f>
        <v>0</v>
      </c>
      <c r="E18" s="1146">
        <f t="shared" ref="E18:E23" si="0">C18+D18</f>
        <v>1238518.44</v>
      </c>
      <c r="F18" s="1158">
        <v>2026</v>
      </c>
      <c r="H18" s="1159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2:74" ht="25.5">
      <c r="B19" s="1156" t="s">
        <v>523</v>
      </c>
      <c r="C19" s="1157">
        <f>'esalonare investitie'!H42</f>
        <v>802600.18000000017</v>
      </c>
      <c r="D19" s="1157">
        <f>'esalonare investitie'!N42</f>
        <v>0</v>
      </c>
      <c r="E19" s="1146">
        <f t="shared" si="0"/>
        <v>802600.18000000017</v>
      </c>
      <c r="F19" s="1158" t="s">
        <v>524</v>
      </c>
      <c r="H19" s="115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2:74">
      <c r="B20" s="1156" t="s">
        <v>525</v>
      </c>
      <c r="C20" s="1157">
        <f>'esalonare investitie'!H45</f>
        <v>343558.02</v>
      </c>
      <c r="D20" s="1157">
        <f>'esalonare investitie'!N45</f>
        <v>0</v>
      </c>
      <c r="E20" s="1146">
        <f t="shared" si="0"/>
        <v>343558.02</v>
      </c>
      <c r="F20" s="1158" t="s">
        <v>524</v>
      </c>
      <c r="H20" s="1159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2:74">
      <c r="B21" s="1156" t="s">
        <v>526</v>
      </c>
      <c r="C21" s="1157">
        <f>'esalonare investitie'!H43</f>
        <v>1996462.2799999998</v>
      </c>
      <c r="D21" s="1157">
        <f>'esalonare investitie'!N43</f>
        <v>0</v>
      </c>
      <c r="E21" s="1146">
        <f t="shared" si="0"/>
        <v>1996462.2799999998</v>
      </c>
      <c r="F21" s="1158" t="s">
        <v>517</v>
      </c>
      <c r="H21" s="1159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2:74">
      <c r="B22" s="1154" t="s">
        <v>527</v>
      </c>
      <c r="C22" s="1157">
        <f>'esalonare investitie'!H44</f>
        <v>183715.18</v>
      </c>
      <c r="D22" s="1157">
        <f>'esalonare investitie'!N44</f>
        <v>0</v>
      </c>
      <c r="E22" s="1146">
        <f t="shared" si="0"/>
        <v>183715.18</v>
      </c>
      <c r="F22" s="1158" t="s">
        <v>524</v>
      </c>
      <c r="H22" s="1159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2:74" ht="39.950000000000003" customHeight="1">
      <c r="B23" s="1156" t="s">
        <v>528</v>
      </c>
      <c r="C23" s="1157">
        <f>'esalonare investitie'!H46</f>
        <v>664495.77</v>
      </c>
      <c r="D23" s="1157">
        <f>'esalonare investitie'!N46</f>
        <v>0</v>
      </c>
      <c r="E23" s="1146">
        <f t="shared" si="0"/>
        <v>664495.77</v>
      </c>
      <c r="F23" s="1158" t="s">
        <v>517</v>
      </c>
      <c r="H23" s="1160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2:74" ht="26.25" customHeight="1">
      <c r="B24" s="1151" t="s">
        <v>529</v>
      </c>
      <c r="C24" s="1152">
        <f>C18+C19+C20+C21+C22+C23</f>
        <v>5229349.8699999992</v>
      </c>
      <c r="D24" s="1152">
        <f>D18+D19+D20+D21+D22+D23</f>
        <v>0</v>
      </c>
      <c r="E24" s="1152">
        <f>E18+E19+E20+E21+E22+E23</f>
        <v>5229349.8699999992</v>
      </c>
      <c r="F24" s="1161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2:74" ht="26.25" customHeight="1">
      <c r="B25" s="1151" t="s">
        <v>530</v>
      </c>
      <c r="C25" s="1152">
        <f>C24+C17</f>
        <v>89327058.829999998</v>
      </c>
      <c r="D25" s="1152">
        <f>D24+D17</f>
        <v>3579874.42</v>
      </c>
      <c r="E25" s="1152">
        <f>E24+E17</f>
        <v>92906933.25</v>
      </c>
      <c r="F25" s="1161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2:74" ht="26.25" customHeight="1">
      <c r="B26" s="1151" t="s">
        <v>531</v>
      </c>
      <c r="C26" s="1152">
        <f>'DEVIZ GENERAL'!D154</f>
        <v>10046470</v>
      </c>
      <c r="D26" s="1152">
        <v>0</v>
      </c>
      <c r="E26" s="1152">
        <f>C26</f>
        <v>10046470</v>
      </c>
      <c r="F26" s="1161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2:74" ht="21" customHeight="1">
      <c r="B27" s="1151" t="s">
        <v>532</v>
      </c>
      <c r="C27" s="1152">
        <f>0</f>
        <v>0</v>
      </c>
      <c r="D27" s="1152">
        <f>'DEVIZ GENERAL'!F165</f>
        <v>19383475.020520117</v>
      </c>
      <c r="E27" s="1152">
        <f>C27+D27</f>
        <v>19383475.020520117</v>
      </c>
      <c r="F27" s="1161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2:74" s="58" customFormat="1" ht="26.25" customHeight="1">
      <c r="B28" s="1162" t="s">
        <v>533</v>
      </c>
      <c r="C28" s="1163">
        <f>C25+C26+C27</f>
        <v>99373528.829999998</v>
      </c>
      <c r="D28" s="1163">
        <f>D25+D26+D27</f>
        <v>22963349.440520115</v>
      </c>
      <c r="E28" s="1163">
        <f>C28+D28</f>
        <v>122336878.27052012</v>
      </c>
      <c r="F28" s="1164"/>
    </row>
    <row r="29" spans="2:74" s="58" customFormat="1">
      <c r="B29" s="1143"/>
    </row>
    <row r="30" spans="2:74" s="58" customFormat="1" ht="29.25" customHeight="1">
      <c r="B30" s="1883" t="s">
        <v>534</v>
      </c>
      <c r="C30" s="1883"/>
      <c r="D30" s="1883"/>
      <c r="E30" s="1883"/>
      <c r="F30" s="1883"/>
      <c r="I30" s="42" t="s">
        <v>9</v>
      </c>
    </row>
    <row r="31" spans="2:74" s="58" customFormat="1" ht="38.25">
      <c r="B31" s="1143" t="s">
        <v>535</v>
      </c>
      <c r="H31" s="1165" t="s">
        <v>9</v>
      </c>
      <c r="I31" s="59" t="s">
        <v>9</v>
      </c>
    </row>
    <row r="32" spans="2:74" s="58" customFormat="1" ht="25.5">
      <c r="B32" s="1143" t="s">
        <v>536</v>
      </c>
      <c r="C32" s="59"/>
    </row>
    <row r="33" spans="2:12" s="58" customFormat="1" ht="38.25">
      <c r="B33" s="1143" t="s">
        <v>537</v>
      </c>
      <c r="L33" s="1165" t="s">
        <v>9</v>
      </c>
    </row>
    <row r="34" spans="2:12" s="58" customFormat="1">
      <c r="B34" s="1143"/>
    </row>
    <row r="35" spans="2:12" s="58" customFormat="1" ht="25.5">
      <c r="B35" s="1143" t="s">
        <v>538</v>
      </c>
      <c r="C35" s="1166" t="e">
        <f>#REF!/#REF!</f>
        <v>#REF!</v>
      </c>
      <c r="D35" s="1167" t="e">
        <f>D43*C35</f>
        <v>#REF!</v>
      </c>
    </row>
    <row r="36" spans="2:12" s="58" customFormat="1">
      <c r="B36" s="1143"/>
      <c r="D36" s="1167"/>
    </row>
    <row r="37" spans="2:12" s="58" customFormat="1" ht="38.25">
      <c r="B37" s="1168" t="s">
        <v>539</v>
      </c>
      <c r="C37" s="1166" t="e">
        <f>#REF!/#REF!</f>
        <v>#REF!</v>
      </c>
      <c r="D37" s="1167" t="e">
        <f>D43*C37</f>
        <v>#REF!</v>
      </c>
    </row>
    <row r="38" spans="2:12" s="58" customFormat="1">
      <c r="B38" s="1169"/>
    </row>
    <row r="39" spans="2:12" s="58" customFormat="1">
      <c r="B39" s="1143" t="s">
        <v>540</v>
      </c>
    </row>
    <row r="40" spans="2:12" s="58" customFormat="1">
      <c r="B40" s="1143"/>
    </row>
    <row r="41" spans="2:12" s="58" customFormat="1">
      <c r="B41" s="1143" t="s">
        <v>541</v>
      </c>
      <c r="C41" s="58" t="s">
        <v>542</v>
      </c>
      <c r="D41" s="58" t="s">
        <v>24</v>
      </c>
      <c r="E41" s="58" t="s">
        <v>543</v>
      </c>
    </row>
    <row r="42" spans="2:12" s="58" customFormat="1">
      <c r="B42" s="1143" t="s">
        <v>9</v>
      </c>
      <c r="C42" s="1165">
        <f>ROUND(D42*E42,0)</f>
        <v>22769185</v>
      </c>
      <c r="D42" s="1165">
        <f>'D2.Deviz ITDCS-summary '!D72</f>
        <v>64501940.229999997</v>
      </c>
      <c r="E42" s="1170">
        <v>0.35299999999999998</v>
      </c>
    </row>
    <row r="43" spans="2:12" s="58" customFormat="1">
      <c r="B43" s="1143" t="s">
        <v>544</v>
      </c>
      <c r="D43" s="41">
        <f>'[8]11.Financing'!$G$49</f>
        <v>46831442.920000002</v>
      </c>
    </row>
    <row r="44" spans="2:12" s="58" customFormat="1">
      <c r="B44" s="1143"/>
    </row>
    <row r="45" spans="2:12" s="58" customFormat="1">
      <c r="B45" s="1143"/>
    </row>
    <row r="46" spans="2:12" s="58" customFormat="1">
      <c r="B46" s="1143"/>
    </row>
    <row r="47" spans="2:12" s="58" customFormat="1">
      <c r="B47" s="1143"/>
    </row>
    <row r="48" spans="2:12" s="58" customFormat="1">
      <c r="B48" s="1143"/>
    </row>
    <row r="49" spans="2:2" s="58" customFormat="1">
      <c r="B49" s="1143"/>
    </row>
    <row r="50" spans="2:2" s="58" customFormat="1">
      <c r="B50" s="1143"/>
    </row>
    <row r="51" spans="2:2" s="58" customFormat="1">
      <c r="B51" s="1143"/>
    </row>
    <row r="52" spans="2:2" s="58" customFormat="1">
      <c r="B52" s="1143"/>
    </row>
    <row r="53" spans="2:2" s="58" customFormat="1">
      <c r="B53" s="1143"/>
    </row>
    <row r="54" spans="2:2" s="58" customFormat="1">
      <c r="B54" s="1143"/>
    </row>
    <row r="55" spans="2:2" s="58" customFormat="1">
      <c r="B55" s="1143"/>
    </row>
    <row r="56" spans="2:2" s="58" customFormat="1">
      <c r="B56" s="1143"/>
    </row>
    <row r="57" spans="2:2" s="58" customFormat="1">
      <c r="B57" s="1143"/>
    </row>
    <row r="58" spans="2:2" s="58" customFormat="1">
      <c r="B58" s="1143"/>
    </row>
    <row r="59" spans="2:2" s="58" customFormat="1">
      <c r="B59" s="1143"/>
    </row>
    <row r="60" spans="2:2" s="58" customFormat="1">
      <c r="B60" s="1143"/>
    </row>
    <row r="61" spans="2:2" s="58" customFormat="1">
      <c r="B61" s="1143"/>
    </row>
    <row r="62" spans="2:2" s="58" customFormat="1">
      <c r="B62" s="1143"/>
    </row>
    <row r="63" spans="2:2" s="58" customFormat="1">
      <c r="B63" s="1143"/>
    </row>
    <row r="64" spans="2:2" s="58" customFormat="1">
      <c r="B64" s="1143"/>
    </row>
    <row r="65" spans="2:2" s="58" customFormat="1">
      <c r="B65" s="1143"/>
    </row>
    <row r="66" spans="2:2" s="58" customFormat="1">
      <c r="B66" s="1143"/>
    </row>
    <row r="67" spans="2:2" s="58" customFormat="1">
      <c r="B67" s="1143"/>
    </row>
    <row r="68" spans="2:2" s="58" customFormat="1">
      <c r="B68" s="1143"/>
    </row>
    <row r="69" spans="2:2" s="58" customFormat="1">
      <c r="B69" s="1143"/>
    </row>
    <row r="70" spans="2:2" s="58" customFormat="1">
      <c r="B70" s="1143"/>
    </row>
    <row r="71" spans="2:2" s="58" customFormat="1">
      <c r="B71" s="1143"/>
    </row>
    <row r="72" spans="2:2" s="58" customFormat="1">
      <c r="B72" s="1143"/>
    </row>
    <row r="73" spans="2:2" s="58" customFormat="1">
      <c r="B73" s="1143"/>
    </row>
    <row r="74" spans="2:2" s="58" customFormat="1">
      <c r="B74" s="1143"/>
    </row>
    <row r="75" spans="2:2" s="58" customFormat="1">
      <c r="B75" s="1143"/>
    </row>
    <row r="76" spans="2:2" s="58" customFormat="1">
      <c r="B76" s="1143"/>
    </row>
    <row r="77" spans="2:2" s="58" customFormat="1">
      <c r="B77" s="1143"/>
    </row>
    <row r="78" spans="2:2" s="58" customFormat="1">
      <c r="B78" s="1143"/>
    </row>
    <row r="79" spans="2:2" s="58" customFormat="1">
      <c r="B79" s="1143"/>
    </row>
    <row r="80" spans="2:2" s="58" customFormat="1">
      <c r="B80" s="1143"/>
    </row>
    <row r="81" spans="2:2" s="58" customFormat="1">
      <c r="B81" s="1143"/>
    </row>
    <row r="82" spans="2:2" s="58" customFormat="1">
      <c r="B82" s="1143"/>
    </row>
    <row r="83" spans="2:2" s="58" customFormat="1">
      <c r="B83" s="1143"/>
    </row>
    <row r="84" spans="2:2" s="58" customFormat="1">
      <c r="B84" s="1143"/>
    </row>
    <row r="85" spans="2:2" s="58" customFormat="1">
      <c r="B85" s="1143"/>
    </row>
    <row r="86" spans="2:2" s="58" customFormat="1">
      <c r="B86" s="1143"/>
    </row>
    <row r="87" spans="2:2" s="58" customFormat="1">
      <c r="B87" s="1143"/>
    </row>
    <row r="88" spans="2:2" s="58" customFormat="1">
      <c r="B88" s="1143"/>
    </row>
    <row r="89" spans="2:2" s="58" customFormat="1">
      <c r="B89" s="1143"/>
    </row>
    <row r="90" spans="2:2" s="58" customFormat="1">
      <c r="B90" s="1143"/>
    </row>
    <row r="91" spans="2:2" s="58" customFormat="1">
      <c r="B91" s="1143"/>
    </row>
    <row r="92" spans="2:2" s="58" customFormat="1">
      <c r="B92" s="1143"/>
    </row>
    <row r="93" spans="2:2" s="58" customFormat="1">
      <c r="B93" s="1143"/>
    </row>
    <row r="94" spans="2:2" s="58" customFormat="1">
      <c r="B94" s="1143"/>
    </row>
    <row r="95" spans="2:2" s="58" customFormat="1">
      <c r="B95" s="1143"/>
    </row>
    <row r="96" spans="2:2" s="58" customFormat="1">
      <c r="B96" s="1143"/>
    </row>
    <row r="97" spans="2:2" s="58" customFormat="1">
      <c r="B97" s="1143"/>
    </row>
    <row r="98" spans="2:2" s="58" customFormat="1">
      <c r="B98" s="1143"/>
    </row>
    <row r="99" spans="2:2" s="58" customFormat="1">
      <c r="B99" s="1143"/>
    </row>
    <row r="100" spans="2:2" s="58" customFormat="1">
      <c r="B100" s="1143"/>
    </row>
    <row r="101" spans="2:2" s="58" customFormat="1">
      <c r="B101" s="1143"/>
    </row>
    <row r="102" spans="2:2" s="58" customFormat="1">
      <c r="B102" s="1143"/>
    </row>
    <row r="103" spans="2:2" s="58" customFormat="1">
      <c r="B103" s="1143"/>
    </row>
    <row r="104" spans="2:2" s="58" customFormat="1">
      <c r="B104" s="1143"/>
    </row>
    <row r="105" spans="2:2" s="58" customFormat="1">
      <c r="B105" s="1143"/>
    </row>
    <row r="106" spans="2:2" s="58" customFormat="1">
      <c r="B106" s="1143"/>
    </row>
    <row r="107" spans="2:2" s="58" customFormat="1">
      <c r="B107" s="1143"/>
    </row>
    <row r="108" spans="2:2" s="58" customFormat="1">
      <c r="B108" s="1143"/>
    </row>
    <row r="109" spans="2:2" s="58" customFormat="1">
      <c r="B109" s="1143"/>
    </row>
    <row r="110" spans="2:2" s="58" customFormat="1">
      <c r="B110" s="1143"/>
    </row>
    <row r="111" spans="2:2" s="58" customFormat="1">
      <c r="B111" s="1143"/>
    </row>
    <row r="112" spans="2:2" s="58" customFormat="1">
      <c r="B112" s="1143"/>
    </row>
    <row r="113" spans="2:2" s="58" customFormat="1">
      <c r="B113" s="1143"/>
    </row>
    <row r="114" spans="2:2" s="58" customFormat="1">
      <c r="B114" s="1143"/>
    </row>
    <row r="115" spans="2:2" s="58" customFormat="1">
      <c r="B115" s="1143"/>
    </row>
    <row r="116" spans="2:2" s="58" customFormat="1">
      <c r="B116" s="1143"/>
    </row>
    <row r="117" spans="2:2" s="58" customFormat="1">
      <c r="B117" s="1143"/>
    </row>
    <row r="118" spans="2:2" s="58" customFormat="1">
      <c r="B118" s="1143"/>
    </row>
    <row r="119" spans="2:2" s="58" customFormat="1">
      <c r="B119" s="1143"/>
    </row>
    <row r="120" spans="2:2" s="58" customFormat="1">
      <c r="B120" s="1143"/>
    </row>
    <row r="121" spans="2:2" s="58" customFormat="1">
      <c r="B121" s="1143"/>
    </row>
    <row r="122" spans="2:2" s="58" customFormat="1">
      <c r="B122" s="1143"/>
    </row>
    <row r="123" spans="2:2" s="58" customFormat="1">
      <c r="B123" s="1143"/>
    </row>
    <row r="124" spans="2:2" s="58" customFormat="1">
      <c r="B124" s="1143"/>
    </row>
    <row r="125" spans="2:2" s="58" customFormat="1">
      <c r="B125" s="1143"/>
    </row>
    <row r="126" spans="2:2" s="58" customFormat="1">
      <c r="B126" s="1143"/>
    </row>
    <row r="127" spans="2:2" s="58" customFormat="1">
      <c r="B127" s="1143"/>
    </row>
    <row r="128" spans="2:2" s="58" customFormat="1">
      <c r="B128" s="1143"/>
    </row>
    <row r="129" spans="2:2" s="58" customFormat="1">
      <c r="B129" s="1143"/>
    </row>
    <row r="130" spans="2:2" s="58" customFormat="1">
      <c r="B130" s="1143"/>
    </row>
    <row r="131" spans="2:2" s="58" customFormat="1">
      <c r="B131" s="1143"/>
    </row>
    <row r="132" spans="2:2" s="58" customFormat="1">
      <c r="B132" s="1143"/>
    </row>
    <row r="133" spans="2:2" s="58" customFormat="1">
      <c r="B133" s="1143"/>
    </row>
    <row r="134" spans="2:2" s="58" customFormat="1">
      <c r="B134" s="1143"/>
    </row>
    <row r="135" spans="2:2" s="58" customFormat="1">
      <c r="B135" s="1143"/>
    </row>
    <row r="136" spans="2:2" s="58" customFormat="1">
      <c r="B136" s="1143"/>
    </row>
    <row r="137" spans="2:2" s="58" customFormat="1">
      <c r="B137" s="1143"/>
    </row>
    <row r="138" spans="2:2" s="58" customFormat="1">
      <c r="B138" s="1143"/>
    </row>
    <row r="139" spans="2:2" s="58" customFormat="1">
      <c r="B139" s="1143"/>
    </row>
    <row r="140" spans="2:2" s="58" customFormat="1">
      <c r="B140" s="1143"/>
    </row>
    <row r="141" spans="2:2" s="58" customFormat="1">
      <c r="B141" s="1143"/>
    </row>
    <row r="142" spans="2:2" s="58" customFormat="1">
      <c r="B142" s="1143"/>
    </row>
    <row r="143" spans="2:2" s="58" customFormat="1">
      <c r="B143" s="1143"/>
    </row>
    <row r="144" spans="2:2" s="58" customFormat="1">
      <c r="B144" s="1143"/>
    </row>
    <row r="145" spans="2:2" s="58" customFormat="1">
      <c r="B145" s="1143"/>
    </row>
    <row r="146" spans="2:2" s="58" customFormat="1">
      <c r="B146" s="1143"/>
    </row>
    <row r="147" spans="2:2" s="58" customFormat="1">
      <c r="B147" s="1143"/>
    </row>
    <row r="148" spans="2:2" s="58" customFormat="1">
      <c r="B148" s="1143"/>
    </row>
    <row r="149" spans="2:2" s="58" customFormat="1">
      <c r="B149" s="1143"/>
    </row>
    <row r="150" spans="2:2" s="58" customFormat="1">
      <c r="B150" s="1143"/>
    </row>
    <row r="151" spans="2:2" s="58" customFormat="1">
      <c r="B151" s="1143"/>
    </row>
    <row r="152" spans="2:2" s="58" customFormat="1">
      <c r="B152" s="1143"/>
    </row>
    <row r="153" spans="2:2" s="58" customFormat="1">
      <c r="B153" s="1143"/>
    </row>
    <row r="154" spans="2:2" s="58" customFormat="1">
      <c r="B154" s="1143"/>
    </row>
    <row r="155" spans="2:2" s="58" customFormat="1">
      <c r="B155" s="1143"/>
    </row>
    <row r="156" spans="2:2" s="58" customFormat="1">
      <c r="B156" s="1143"/>
    </row>
    <row r="157" spans="2:2" s="58" customFormat="1">
      <c r="B157" s="1143"/>
    </row>
    <row r="158" spans="2:2" s="58" customFormat="1">
      <c r="B158" s="1143"/>
    </row>
    <row r="159" spans="2:2" s="58" customFormat="1">
      <c r="B159" s="1143"/>
    </row>
    <row r="160" spans="2:2" s="58" customFormat="1">
      <c r="B160" s="1143"/>
    </row>
    <row r="161" spans="2:2" s="58" customFormat="1">
      <c r="B161" s="1143"/>
    </row>
    <row r="162" spans="2:2" s="58" customFormat="1">
      <c r="B162" s="1143"/>
    </row>
    <row r="163" spans="2:2" s="58" customFormat="1">
      <c r="B163" s="1143"/>
    </row>
    <row r="164" spans="2:2" s="58" customFormat="1">
      <c r="B164" s="1143"/>
    </row>
    <row r="165" spans="2:2" s="58" customFormat="1">
      <c r="B165" s="1143"/>
    </row>
    <row r="166" spans="2:2" s="58" customFormat="1">
      <c r="B166" s="1143"/>
    </row>
    <row r="167" spans="2:2" s="58" customFormat="1">
      <c r="B167" s="1143"/>
    </row>
    <row r="168" spans="2:2" s="58" customFormat="1">
      <c r="B168" s="1143"/>
    </row>
    <row r="169" spans="2:2" s="58" customFormat="1">
      <c r="B169" s="1143"/>
    </row>
    <row r="170" spans="2:2" s="58" customFormat="1">
      <c r="B170" s="1143"/>
    </row>
    <row r="171" spans="2:2" s="58" customFormat="1">
      <c r="B171" s="1143"/>
    </row>
    <row r="172" spans="2:2" s="58" customFormat="1">
      <c r="B172" s="1143"/>
    </row>
    <row r="173" spans="2:2" s="58" customFormat="1">
      <c r="B173" s="1143"/>
    </row>
    <row r="174" spans="2:2" s="58" customFormat="1">
      <c r="B174" s="1143"/>
    </row>
    <row r="175" spans="2:2" s="58" customFormat="1">
      <c r="B175" s="1143"/>
    </row>
    <row r="176" spans="2:2" s="58" customFormat="1">
      <c r="B176" s="1143"/>
    </row>
    <row r="177" spans="2:2" s="58" customFormat="1">
      <c r="B177" s="1143"/>
    </row>
    <row r="178" spans="2:2" s="58" customFormat="1">
      <c r="B178" s="1143"/>
    </row>
    <row r="179" spans="2:2" s="58" customFormat="1">
      <c r="B179" s="1143"/>
    </row>
    <row r="180" spans="2:2" s="58" customFormat="1">
      <c r="B180" s="1143"/>
    </row>
    <row r="181" spans="2:2" s="58" customFormat="1">
      <c r="B181" s="1143"/>
    </row>
    <row r="182" spans="2:2" s="58" customFormat="1">
      <c r="B182" s="1143"/>
    </row>
    <row r="183" spans="2:2" s="58" customFormat="1">
      <c r="B183" s="1143"/>
    </row>
    <row r="184" spans="2:2" s="58" customFormat="1">
      <c r="B184" s="1143"/>
    </row>
    <row r="185" spans="2:2" s="58" customFormat="1">
      <c r="B185" s="1143"/>
    </row>
    <row r="186" spans="2:2" s="58" customFormat="1">
      <c r="B186" s="1143"/>
    </row>
    <row r="187" spans="2:2" s="58" customFormat="1">
      <c r="B187" s="1143"/>
    </row>
    <row r="188" spans="2:2" s="58" customFormat="1">
      <c r="B188" s="1143"/>
    </row>
    <row r="189" spans="2:2" s="58" customFormat="1">
      <c r="B189" s="1143"/>
    </row>
    <row r="190" spans="2:2" s="58" customFormat="1">
      <c r="B190" s="1143"/>
    </row>
    <row r="191" spans="2:2" s="58" customFormat="1">
      <c r="B191" s="1143"/>
    </row>
    <row r="192" spans="2:2" s="58" customFormat="1">
      <c r="B192" s="1143"/>
    </row>
    <row r="193" spans="2:2" s="58" customFormat="1">
      <c r="B193" s="1143"/>
    </row>
    <row r="194" spans="2:2" s="58" customFormat="1">
      <c r="B194" s="1143"/>
    </row>
    <row r="195" spans="2:2" s="58" customFormat="1">
      <c r="B195" s="1143"/>
    </row>
    <row r="196" spans="2:2" s="58" customFormat="1">
      <c r="B196" s="1143"/>
    </row>
    <row r="197" spans="2:2" s="58" customFormat="1">
      <c r="B197" s="1143"/>
    </row>
    <row r="198" spans="2:2" s="58" customFormat="1">
      <c r="B198" s="1143"/>
    </row>
    <row r="199" spans="2:2" s="58" customFormat="1">
      <c r="B199" s="1143"/>
    </row>
    <row r="200" spans="2:2" s="58" customFormat="1">
      <c r="B200" s="1143"/>
    </row>
    <row r="201" spans="2:2" s="58" customFormat="1">
      <c r="B201" s="1143"/>
    </row>
    <row r="202" spans="2:2" s="58" customFormat="1">
      <c r="B202" s="1143"/>
    </row>
    <row r="203" spans="2:2" s="58" customFormat="1">
      <c r="B203" s="1143"/>
    </row>
    <row r="204" spans="2:2" s="58" customFormat="1">
      <c r="B204" s="1143"/>
    </row>
    <row r="205" spans="2:2" s="58" customFormat="1">
      <c r="B205" s="1143"/>
    </row>
    <row r="206" spans="2:2" s="58" customFormat="1">
      <c r="B206" s="1143"/>
    </row>
    <row r="207" spans="2:2" s="58" customFormat="1">
      <c r="B207" s="1143"/>
    </row>
    <row r="208" spans="2:2" s="58" customFormat="1">
      <c r="B208" s="1143"/>
    </row>
    <row r="209" spans="2:2" s="58" customFormat="1">
      <c r="B209" s="1143"/>
    </row>
    <row r="210" spans="2:2" s="58" customFormat="1">
      <c r="B210" s="1143"/>
    </row>
    <row r="211" spans="2:2" s="58" customFormat="1">
      <c r="B211" s="1143"/>
    </row>
    <row r="212" spans="2:2" s="58" customFormat="1">
      <c r="B212" s="1143"/>
    </row>
    <row r="213" spans="2:2" s="58" customFormat="1">
      <c r="B213" s="1143"/>
    </row>
    <row r="214" spans="2:2" s="58" customFormat="1">
      <c r="B214" s="1143"/>
    </row>
    <row r="215" spans="2:2" s="58" customFormat="1">
      <c r="B215" s="1143"/>
    </row>
    <row r="216" spans="2:2" s="58" customFormat="1">
      <c r="B216" s="1143"/>
    </row>
    <row r="217" spans="2:2" s="58" customFormat="1">
      <c r="B217" s="1143"/>
    </row>
    <row r="218" spans="2:2" s="58" customFormat="1">
      <c r="B218" s="1143"/>
    </row>
    <row r="219" spans="2:2" s="58" customFormat="1">
      <c r="B219" s="1143"/>
    </row>
    <row r="220" spans="2:2" s="58" customFormat="1">
      <c r="B220" s="1143"/>
    </row>
    <row r="221" spans="2:2" s="58" customFormat="1">
      <c r="B221" s="1143"/>
    </row>
    <row r="222" spans="2:2" s="58" customFormat="1">
      <c r="B222" s="1143"/>
    </row>
    <row r="223" spans="2:2" s="58" customFormat="1">
      <c r="B223" s="1143"/>
    </row>
    <row r="224" spans="2:2" s="58" customFormat="1">
      <c r="B224" s="1143"/>
    </row>
    <row r="225" spans="2:2" s="58" customFormat="1">
      <c r="B225" s="1143"/>
    </row>
    <row r="226" spans="2:2" s="58" customFormat="1">
      <c r="B226" s="1143"/>
    </row>
    <row r="227" spans="2:2" s="58" customFormat="1">
      <c r="B227" s="1143"/>
    </row>
    <row r="228" spans="2:2" s="58" customFormat="1">
      <c r="B228" s="1143"/>
    </row>
    <row r="229" spans="2:2" s="58" customFormat="1">
      <c r="B229" s="1143"/>
    </row>
    <row r="230" spans="2:2" s="58" customFormat="1">
      <c r="B230" s="1143"/>
    </row>
    <row r="231" spans="2:2" s="58" customFormat="1">
      <c r="B231" s="1143"/>
    </row>
    <row r="232" spans="2:2" s="58" customFormat="1">
      <c r="B232" s="1143"/>
    </row>
    <row r="233" spans="2:2" s="58" customFormat="1">
      <c r="B233" s="1143"/>
    </row>
    <row r="234" spans="2:2" s="58" customFormat="1">
      <c r="B234" s="1143"/>
    </row>
    <row r="235" spans="2:2" s="58" customFormat="1">
      <c r="B235" s="1143"/>
    </row>
    <row r="236" spans="2:2" s="58" customFormat="1">
      <c r="B236" s="1143"/>
    </row>
    <row r="237" spans="2:2" s="58" customFormat="1">
      <c r="B237" s="1143"/>
    </row>
    <row r="238" spans="2:2" s="58" customFormat="1">
      <c r="B238" s="1143"/>
    </row>
    <row r="239" spans="2:2" s="58" customFormat="1">
      <c r="B239" s="1143"/>
    </row>
    <row r="240" spans="2:2" s="58" customFormat="1">
      <c r="B240" s="1143"/>
    </row>
    <row r="241" spans="2:2" s="58" customFormat="1">
      <c r="B241" s="1143"/>
    </row>
    <row r="242" spans="2:2" s="58" customFormat="1">
      <c r="B242" s="1143"/>
    </row>
    <row r="243" spans="2:2" s="58" customFormat="1">
      <c r="B243" s="1143"/>
    </row>
    <row r="244" spans="2:2" s="58" customFormat="1">
      <c r="B244" s="1143"/>
    </row>
    <row r="245" spans="2:2" s="58" customFormat="1">
      <c r="B245" s="1143"/>
    </row>
    <row r="246" spans="2:2" s="58" customFormat="1">
      <c r="B246" s="1143"/>
    </row>
    <row r="247" spans="2:2" s="58" customFormat="1">
      <c r="B247" s="1143"/>
    </row>
    <row r="248" spans="2:2" s="58" customFormat="1">
      <c r="B248" s="1143"/>
    </row>
    <row r="249" spans="2:2" s="58" customFormat="1">
      <c r="B249" s="1143"/>
    </row>
    <row r="250" spans="2:2" s="58" customFormat="1">
      <c r="B250" s="1143"/>
    </row>
    <row r="251" spans="2:2" s="58" customFormat="1">
      <c r="B251" s="1143"/>
    </row>
    <row r="252" spans="2:2" s="58" customFormat="1">
      <c r="B252" s="1143"/>
    </row>
    <row r="253" spans="2:2" s="58" customFormat="1">
      <c r="B253" s="1143"/>
    </row>
    <row r="254" spans="2:2" s="58" customFormat="1">
      <c r="B254" s="1143"/>
    </row>
    <row r="255" spans="2:2" s="58" customFormat="1">
      <c r="B255" s="1143"/>
    </row>
    <row r="256" spans="2:2" s="58" customFormat="1">
      <c r="B256" s="1143"/>
    </row>
    <row r="257" spans="2:2" s="58" customFormat="1">
      <c r="B257" s="1143"/>
    </row>
    <row r="258" spans="2:2" s="58" customFormat="1">
      <c r="B258" s="1143"/>
    </row>
    <row r="259" spans="2:2" s="58" customFormat="1">
      <c r="B259" s="1143"/>
    </row>
    <row r="260" spans="2:2" s="58" customFormat="1">
      <c r="B260" s="1143"/>
    </row>
    <row r="261" spans="2:2" s="58" customFormat="1">
      <c r="B261" s="1143"/>
    </row>
    <row r="262" spans="2:2" s="58" customFormat="1">
      <c r="B262" s="1143"/>
    </row>
    <row r="263" spans="2:2" s="58" customFormat="1">
      <c r="B263" s="1143"/>
    </row>
    <row r="264" spans="2:2" s="58" customFormat="1">
      <c r="B264" s="1143"/>
    </row>
    <row r="265" spans="2:2" s="58" customFormat="1">
      <c r="B265" s="1143"/>
    </row>
    <row r="266" spans="2:2" s="58" customFormat="1">
      <c r="B266" s="1143"/>
    </row>
    <row r="267" spans="2:2" s="58" customFormat="1">
      <c r="B267" s="1143"/>
    </row>
    <row r="268" spans="2:2" s="58" customFormat="1">
      <c r="B268" s="1143"/>
    </row>
    <row r="269" spans="2:2" s="58" customFormat="1">
      <c r="B269" s="1143"/>
    </row>
    <row r="270" spans="2:2" s="58" customFormat="1">
      <c r="B270" s="1143"/>
    </row>
    <row r="271" spans="2:2" s="58" customFormat="1">
      <c r="B271" s="1143"/>
    </row>
    <row r="272" spans="2:2" s="58" customFormat="1">
      <c r="B272" s="1143"/>
    </row>
    <row r="273" spans="2:2" s="58" customFormat="1">
      <c r="B273" s="1143"/>
    </row>
    <row r="274" spans="2:2" s="58" customFormat="1">
      <c r="B274" s="1143"/>
    </row>
    <row r="275" spans="2:2" s="58" customFormat="1">
      <c r="B275" s="1143"/>
    </row>
    <row r="276" spans="2:2" s="58" customFormat="1">
      <c r="B276" s="1143"/>
    </row>
    <row r="277" spans="2:2" s="58" customFormat="1">
      <c r="B277" s="1143"/>
    </row>
    <row r="278" spans="2:2" s="58" customFormat="1">
      <c r="B278" s="1143"/>
    </row>
    <row r="279" spans="2:2" s="58" customFormat="1">
      <c r="B279" s="1143"/>
    </row>
    <row r="280" spans="2:2" s="58" customFormat="1">
      <c r="B280" s="1143"/>
    </row>
    <row r="281" spans="2:2" s="58" customFormat="1">
      <c r="B281" s="1143"/>
    </row>
    <row r="282" spans="2:2" s="58" customFormat="1">
      <c r="B282" s="1143"/>
    </row>
    <row r="283" spans="2:2" s="58" customFormat="1">
      <c r="B283" s="1143"/>
    </row>
    <row r="284" spans="2:2" s="58" customFormat="1">
      <c r="B284" s="1143"/>
    </row>
    <row r="285" spans="2:2" s="58" customFormat="1">
      <c r="B285" s="1143"/>
    </row>
    <row r="286" spans="2:2" s="58" customFormat="1">
      <c r="B286" s="1143"/>
    </row>
    <row r="287" spans="2:2" s="58" customFormat="1">
      <c r="B287" s="1143"/>
    </row>
    <row r="288" spans="2:2" s="58" customFormat="1">
      <c r="B288" s="1143"/>
    </row>
    <row r="289" spans="2:2" s="58" customFormat="1">
      <c r="B289" s="1143"/>
    </row>
    <row r="290" spans="2:2" s="58" customFormat="1">
      <c r="B290" s="1143"/>
    </row>
    <row r="291" spans="2:2" s="58" customFormat="1">
      <c r="B291" s="1143"/>
    </row>
    <row r="292" spans="2:2" s="58" customFormat="1">
      <c r="B292" s="1143"/>
    </row>
    <row r="293" spans="2:2" s="58" customFormat="1">
      <c r="B293" s="1143"/>
    </row>
    <row r="294" spans="2:2" s="58" customFormat="1">
      <c r="B294" s="1143"/>
    </row>
    <row r="295" spans="2:2" s="58" customFormat="1">
      <c r="B295" s="1143"/>
    </row>
    <row r="296" spans="2:2" s="58" customFormat="1">
      <c r="B296" s="1143"/>
    </row>
    <row r="297" spans="2:2" s="58" customFormat="1">
      <c r="B297" s="1143"/>
    </row>
    <row r="298" spans="2:2" s="58" customFormat="1">
      <c r="B298" s="1143"/>
    </row>
    <row r="299" spans="2:2" s="58" customFormat="1">
      <c r="B299" s="1143"/>
    </row>
    <row r="300" spans="2:2" s="58" customFormat="1">
      <c r="B300" s="1143"/>
    </row>
    <row r="301" spans="2:2" s="58" customFormat="1">
      <c r="B301" s="1143"/>
    </row>
    <row r="302" spans="2:2" s="58" customFormat="1">
      <c r="B302" s="1143"/>
    </row>
    <row r="303" spans="2:2" s="58" customFormat="1">
      <c r="B303" s="1143"/>
    </row>
    <row r="304" spans="2:2" s="58" customFormat="1">
      <c r="B304" s="1143"/>
    </row>
    <row r="305" spans="2:2" s="58" customFormat="1">
      <c r="B305" s="1143"/>
    </row>
    <row r="306" spans="2:2" s="58" customFormat="1">
      <c r="B306" s="1143"/>
    </row>
    <row r="307" spans="2:2" s="58" customFormat="1">
      <c r="B307" s="1143"/>
    </row>
    <row r="308" spans="2:2" s="58" customFormat="1">
      <c r="B308" s="1143"/>
    </row>
    <row r="309" spans="2:2" s="58" customFormat="1">
      <c r="B309" s="1143"/>
    </row>
    <row r="310" spans="2:2" s="58" customFormat="1">
      <c r="B310" s="1143"/>
    </row>
    <row r="311" spans="2:2" s="58" customFormat="1">
      <c r="B311" s="1143"/>
    </row>
    <row r="312" spans="2:2" s="58" customFormat="1">
      <c r="B312" s="1143"/>
    </row>
    <row r="313" spans="2:2" s="58" customFormat="1">
      <c r="B313" s="1143"/>
    </row>
    <row r="314" spans="2:2" s="58" customFormat="1">
      <c r="B314" s="1143"/>
    </row>
    <row r="315" spans="2:2" s="58" customFormat="1">
      <c r="B315" s="1143"/>
    </row>
    <row r="316" spans="2:2" s="58" customFormat="1">
      <c r="B316" s="1143"/>
    </row>
    <row r="317" spans="2:2" s="58" customFormat="1">
      <c r="B317" s="1143"/>
    </row>
    <row r="318" spans="2:2" s="58" customFormat="1">
      <c r="B318" s="1143"/>
    </row>
    <row r="319" spans="2:2" s="58" customFormat="1">
      <c r="B319" s="1143"/>
    </row>
    <row r="320" spans="2:2" s="58" customFormat="1">
      <c r="B320" s="1143"/>
    </row>
    <row r="321" spans="2:2" s="58" customFormat="1">
      <c r="B321" s="1143"/>
    </row>
    <row r="322" spans="2:2" s="58" customFormat="1">
      <c r="B322" s="1143"/>
    </row>
    <row r="323" spans="2:2" s="58" customFormat="1">
      <c r="B323" s="1143"/>
    </row>
    <row r="324" spans="2:2" s="58" customFormat="1">
      <c r="B324" s="1143"/>
    </row>
    <row r="325" spans="2:2" s="58" customFormat="1">
      <c r="B325" s="1143"/>
    </row>
    <row r="326" spans="2:2" s="58" customFormat="1">
      <c r="B326" s="1143"/>
    </row>
    <row r="327" spans="2:2" s="58" customFormat="1">
      <c r="B327" s="1143"/>
    </row>
    <row r="328" spans="2:2" s="58" customFormat="1">
      <c r="B328" s="1143"/>
    </row>
    <row r="329" spans="2:2" s="58" customFormat="1">
      <c r="B329" s="1143"/>
    </row>
    <row r="330" spans="2:2" s="58" customFormat="1">
      <c r="B330" s="1143"/>
    </row>
    <row r="331" spans="2:2" s="58" customFormat="1">
      <c r="B331" s="1143"/>
    </row>
    <row r="332" spans="2:2" s="58" customFormat="1">
      <c r="B332" s="1143"/>
    </row>
    <row r="333" spans="2:2" s="58" customFormat="1">
      <c r="B333" s="1143"/>
    </row>
    <row r="334" spans="2:2" s="58" customFormat="1">
      <c r="B334" s="1143"/>
    </row>
    <row r="335" spans="2:2" s="58" customFormat="1">
      <c r="B335" s="1143"/>
    </row>
    <row r="336" spans="2:2" s="58" customFormat="1">
      <c r="B336" s="1143"/>
    </row>
    <row r="337" spans="2:2" s="58" customFormat="1">
      <c r="B337" s="1143"/>
    </row>
    <row r="338" spans="2:2" s="58" customFormat="1">
      <c r="B338" s="1143"/>
    </row>
    <row r="339" spans="2:2" s="58" customFormat="1">
      <c r="B339" s="1143"/>
    </row>
    <row r="340" spans="2:2" s="58" customFormat="1">
      <c r="B340" s="1143"/>
    </row>
    <row r="341" spans="2:2" s="58" customFormat="1">
      <c r="B341" s="1143"/>
    </row>
    <row r="342" spans="2:2" s="58" customFormat="1">
      <c r="B342" s="1143"/>
    </row>
    <row r="343" spans="2:2" s="58" customFormat="1">
      <c r="B343" s="1143"/>
    </row>
    <row r="344" spans="2:2" s="58" customFormat="1">
      <c r="B344" s="1143"/>
    </row>
    <row r="345" spans="2:2" s="58" customFormat="1">
      <c r="B345" s="1143"/>
    </row>
    <row r="346" spans="2:2" s="58" customFormat="1">
      <c r="B346" s="1143"/>
    </row>
    <row r="347" spans="2:2" s="58" customFormat="1">
      <c r="B347" s="1143"/>
    </row>
    <row r="348" spans="2:2" s="58" customFormat="1">
      <c r="B348" s="1143"/>
    </row>
    <row r="349" spans="2:2" s="58" customFormat="1">
      <c r="B349" s="1143"/>
    </row>
    <row r="350" spans="2:2" s="58" customFormat="1">
      <c r="B350" s="1143"/>
    </row>
    <row r="351" spans="2:2" s="58" customFormat="1">
      <c r="B351" s="1143"/>
    </row>
    <row r="352" spans="2:2" s="58" customFormat="1">
      <c r="B352" s="1143"/>
    </row>
    <row r="353" spans="2:2" s="58" customFormat="1">
      <c r="B353" s="1143"/>
    </row>
    <row r="354" spans="2:2" s="58" customFormat="1">
      <c r="B354" s="1143"/>
    </row>
    <row r="355" spans="2:2" s="58" customFormat="1">
      <c r="B355" s="1143"/>
    </row>
    <row r="356" spans="2:2" s="58" customFormat="1">
      <c r="B356" s="1143"/>
    </row>
    <row r="357" spans="2:2" s="58" customFormat="1">
      <c r="B357" s="1143"/>
    </row>
    <row r="358" spans="2:2" s="58" customFormat="1">
      <c r="B358" s="1143"/>
    </row>
    <row r="359" spans="2:2" s="58" customFormat="1">
      <c r="B359" s="1143"/>
    </row>
    <row r="360" spans="2:2" s="58" customFormat="1">
      <c r="B360" s="1143"/>
    </row>
    <row r="361" spans="2:2" s="58" customFormat="1">
      <c r="B361" s="1143"/>
    </row>
    <row r="362" spans="2:2" s="58" customFormat="1">
      <c r="B362" s="1143"/>
    </row>
    <row r="363" spans="2:2" s="58" customFormat="1">
      <c r="B363" s="1143"/>
    </row>
    <row r="364" spans="2:2" s="58" customFormat="1">
      <c r="B364" s="1143"/>
    </row>
    <row r="365" spans="2:2" s="58" customFormat="1">
      <c r="B365" s="1143"/>
    </row>
    <row r="366" spans="2:2" s="58" customFormat="1">
      <c r="B366" s="1143"/>
    </row>
    <row r="367" spans="2:2" s="58" customFormat="1">
      <c r="B367" s="1143"/>
    </row>
    <row r="368" spans="2:2" s="58" customFormat="1">
      <c r="B368" s="1143"/>
    </row>
    <row r="369" spans="2:2" s="58" customFormat="1">
      <c r="B369" s="1143"/>
    </row>
    <row r="370" spans="2:2" s="58" customFormat="1">
      <c r="B370" s="1143"/>
    </row>
    <row r="371" spans="2:2" s="58" customFormat="1">
      <c r="B371" s="1143"/>
    </row>
    <row r="372" spans="2:2" s="58" customFormat="1">
      <c r="B372" s="1143"/>
    </row>
    <row r="373" spans="2:2" s="58" customFormat="1">
      <c r="B373" s="1143"/>
    </row>
    <row r="374" spans="2:2" s="58" customFormat="1">
      <c r="B374" s="1143"/>
    </row>
    <row r="375" spans="2:2" s="58" customFormat="1">
      <c r="B375" s="1143"/>
    </row>
    <row r="376" spans="2:2" s="58" customFormat="1">
      <c r="B376" s="1143"/>
    </row>
    <row r="377" spans="2:2" s="58" customFormat="1">
      <c r="B377" s="1143"/>
    </row>
    <row r="378" spans="2:2" s="58" customFormat="1">
      <c r="B378" s="1143"/>
    </row>
    <row r="379" spans="2:2" s="58" customFormat="1">
      <c r="B379" s="1143"/>
    </row>
    <row r="380" spans="2:2" s="58" customFormat="1">
      <c r="B380" s="1143"/>
    </row>
    <row r="381" spans="2:2" s="58" customFormat="1">
      <c r="B381" s="1143"/>
    </row>
    <row r="382" spans="2:2" s="58" customFormat="1">
      <c r="B382" s="1143"/>
    </row>
    <row r="383" spans="2:2" s="58" customFormat="1">
      <c r="B383" s="1143"/>
    </row>
    <row r="384" spans="2:2" s="58" customFormat="1">
      <c r="B384" s="1143"/>
    </row>
    <row r="385" spans="2:2" s="58" customFormat="1">
      <c r="B385" s="1143"/>
    </row>
    <row r="386" spans="2:2" s="58" customFormat="1">
      <c r="B386" s="1143"/>
    </row>
    <row r="387" spans="2:2" s="58" customFormat="1">
      <c r="B387" s="1143"/>
    </row>
    <row r="388" spans="2:2" s="58" customFormat="1">
      <c r="B388" s="1143"/>
    </row>
    <row r="389" spans="2:2" s="58" customFormat="1">
      <c r="B389" s="1143"/>
    </row>
    <row r="390" spans="2:2" s="58" customFormat="1">
      <c r="B390" s="1143"/>
    </row>
    <row r="391" spans="2:2" s="58" customFormat="1">
      <c r="B391" s="1143"/>
    </row>
    <row r="392" spans="2:2" s="58" customFormat="1">
      <c r="B392" s="1143"/>
    </row>
    <row r="393" spans="2:2" s="58" customFormat="1">
      <c r="B393" s="1143"/>
    </row>
    <row r="394" spans="2:2" s="58" customFormat="1">
      <c r="B394" s="1143"/>
    </row>
    <row r="395" spans="2:2" s="58" customFormat="1">
      <c r="B395" s="1143"/>
    </row>
    <row r="396" spans="2:2" s="58" customFormat="1">
      <c r="B396" s="1143"/>
    </row>
    <row r="397" spans="2:2" s="58" customFormat="1">
      <c r="B397" s="1143"/>
    </row>
    <row r="398" spans="2:2" s="58" customFormat="1">
      <c r="B398" s="1143"/>
    </row>
    <row r="399" spans="2:2" s="58" customFormat="1">
      <c r="B399" s="1143"/>
    </row>
    <row r="400" spans="2:2" s="58" customFormat="1">
      <c r="B400" s="1143"/>
    </row>
    <row r="401" spans="2:2" s="58" customFormat="1">
      <c r="B401" s="1143"/>
    </row>
    <row r="402" spans="2:2" s="58" customFormat="1">
      <c r="B402" s="1143"/>
    </row>
  </sheetData>
  <mergeCells count="9">
    <mergeCell ref="B13:F13"/>
    <mergeCell ref="B30:F30"/>
    <mergeCell ref="B3:B4"/>
    <mergeCell ref="F3:F4"/>
    <mergeCell ref="C3:E3"/>
    <mergeCell ref="B5:F5"/>
    <mergeCell ref="B7:F7"/>
    <mergeCell ref="B9:F9"/>
    <mergeCell ref="B11:F11"/>
  </mergeCells>
  <pageMargins left="0.7" right="0.7" top="0.75" bottom="0.75" header="0.3" footer="0.3"/>
  <pageSetup scale="6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102"/>
  <sheetViews>
    <sheetView view="pageBreakPreview" topLeftCell="A15" zoomScale="75" zoomScaleNormal="100" workbookViewId="0">
      <selection activeCell="S63" sqref="S63"/>
    </sheetView>
  </sheetViews>
  <sheetFormatPr defaultColWidth="8.85546875" defaultRowHeight="12.75"/>
  <cols>
    <col min="1" max="1" width="8.28515625" style="273" customWidth="1"/>
    <col min="2" max="2" width="51.7109375" customWidth="1"/>
    <col min="3" max="3" width="17.85546875" customWidth="1"/>
    <col min="4" max="4" width="18.140625" customWidth="1"/>
    <col min="5" max="7" width="19.140625" customWidth="1"/>
    <col min="8" max="8" width="16.28515625" customWidth="1"/>
    <col min="9" max="9" width="12.85546875" hidden="1" customWidth="1"/>
    <col min="10" max="10" width="10.85546875" hidden="1" customWidth="1"/>
    <col min="11" max="11" width="17.85546875" hidden="1" customWidth="1"/>
    <col min="12" max="12" width="14.85546875" hidden="1" customWidth="1"/>
    <col min="13" max="13" width="13.85546875" hidden="1" customWidth="1"/>
    <col min="14" max="16" width="0" hidden="1" customWidth="1"/>
  </cols>
  <sheetData>
    <row r="1" spans="1:13" s="730" customFormat="1" ht="12.75" customHeight="1">
      <c r="B1" s="1925" t="str">
        <f>'DEVIZ GENERAL'!B4</f>
        <v>SISTEM DE MANAGEMENT INTEGRAT AL DEȘEURILOR DIN JUDEȚUL DÂMBOVIȚA</v>
      </c>
      <c r="C1" s="1925"/>
      <c r="D1" s="1925"/>
      <c r="E1" s="1925"/>
      <c r="F1" s="1925"/>
      <c r="G1" s="1925"/>
      <c r="H1" s="1925"/>
    </row>
    <row r="2" spans="1:13" s="730" customFormat="1" ht="12.75" customHeight="1">
      <c r="A2" s="1019"/>
      <c r="B2" s="1925"/>
      <c r="C2" s="1925"/>
      <c r="D2" s="1925"/>
      <c r="E2" s="1925"/>
      <c r="F2" s="1925"/>
      <c r="G2" s="1925"/>
      <c r="H2" s="1925"/>
    </row>
    <row r="3" spans="1:13" s="730" customFormat="1">
      <c r="A3" s="1020"/>
      <c r="B3" s="1926"/>
      <c r="C3" s="1926"/>
      <c r="D3" s="1926"/>
      <c r="E3" s="1926"/>
      <c r="F3" s="1926"/>
      <c r="G3" s="1926"/>
      <c r="H3" s="1926"/>
    </row>
    <row r="4" spans="1:13" s="730" customFormat="1">
      <c r="A4" s="1021"/>
      <c r="B4" s="1021"/>
      <c r="C4" s="1021"/>
      <c r="D4" s="1021"/>
      <c r="E4" s="1022"/>
      <c r="F4" s="1022"/>
      <c r="G4" s="1022"/>
      <c r="H4" s="1023"/>
    </row>
    <row r="5" spans="1:13" ht="26.25">
      <c r="A5" s="1902" t="str">
        <f>'D4.Deviz ITDCS-TM'!A5</f>
        <v>DEVIZ OBIECT</v>
      </c>
      <c r="B5" s="1903"/>
      <c r="C5" s="1903"/>
      <c r="D5" s="1903"/>
      <c r="E5" s="1903"/>
      <c r="F5" s="1903"/>
      <c r="G5" s="1903"/>
      <c r="H5" s="1904"/>
    </row>
    <row r="6" spans="1:13" s="1018" customFormat="1" ht="39.75" customHeight="1">
      <c r="A6" s="1905" t="s">
        <v>545</v>
      </c>
      <c r="B6" s="1905"/>
      <c r="C6" s="1905"/>
      <c r="D6" s="1905"/>
      <c r="E6" s="1905"/>
      <c r="F6" s="1905"/>
      <c r="G6" s="1905"/>
      <c r="H6" s="1905"/>
      <c r="I6" s="1905"/>
      <c r="J6" s="1905"/>
      <c r="K6" s="1099"/>
      <c r="L6" s="1099"/>
      <c r="M6" s="1099"/>
    </row>
    <row r="7" spans="1:13">
      <c r="A7" s="1906" t="s">
        <v>240</v>
      </c>
      <c r="B7" s="1907"/>
      <c r="C7" s="1907"/>
      <c r="D7" s="1907"/>
      <c r="E7" s="1907"/>
      <c r="F7" s="1907"/>
      <c r="G7" s="1907"/>
      <c r="H7" s="1908"/>
    </row>
    <row r="8" spans="1:13" ht="15">
      <c r="A8" s="1912" t="s">
        <v>99</v>
      </c>
      <c r="B8" s="1914" t="s">
        <v>100</v>
      </c>
      <c r="C8" s="1909" t="s">
        <v>101</v>
      </c>
      <c r="D8" s="1910"/>
      <c r="E8" s="1909" t="s">
        <v>102</v>
      </c>
      <c r="F8" s="1910"/>
      <c r="G8" s="1909" t="s">
        <v>103</v>
      </c>
      <c r="H8" s="1911"/>
    </row>
    <row r="9" spans="1:13" s="585" customFormat="1" ht="17.25" customHeight="1">
      <c r="A9" s="1913"/>
      <c r="B9" s="1915"/>
      <c r="C9" s="1024" t="s">
        <v>546</v>
      </c>
      <c r="D9" s="1024" t="s">
        <v>81</v>
      </c>
      <c r="E9" s="1024" t="s">
        <v>546</v>
      </c>
      <c r="F9" s="1025" t="s">
        <v>81</v>
      </c>
      <c r="G9" s="1025" t="s">
        <v>546</v>
      </c>
      <c r="H9" s="1026" t="s">
        <v>81</v>
      </c>
    </row>
    <row r="10" spans="1:13">
      <c r="A10" s="1027">
        <v>1</v>
      </c>
      <c r="B10" s="1028">
        <v>2</v>
      </c>
      <c r="C10" s="1028">
        <v>3</v>
      </c>
      <c r="D10" s="1028">
        <v>4</v>
      </c>
      <c r="E10" s="1028">
        <v>5</v>
      </c>
      <c r="F10" s="1029">
        <v>6</v>
      </c>
      <c r="G10" s="1029">
        <v>7</v>
      </c>
      <c r="H10" s="1030">
        <v>8</v>
      </c>
    </row>
    <row r="11" spans="1:13">
      <c r="A11" s="1951" t="s">
        <v>109</v>
      </c>
      <c r="B11" s="1952"/>
      <c r="C11" s="1952"/>
      <c r="D11" s="1952"/>
      <c r="E11" s="1952"/>
      <c r="F11" s="1952"/>
      <c r="G11" s="1952"/>
      <c r="H11" s="1953"/>
    </row>
    <row r="12" spans="1:13">
      <c r="A12" s="912" t="s">
        <v>110</v>
      </c>
      <c r="B12" s="913" t="s">
        <v>111</v>
      </c>
      <c r="C12" s="914"/>
      <c r="D12" s="914"/>
      <c r="E12" s="914"/>
      <c r="F12" s="915"/>
      <c r="G12" s="915"/>
      <c r="H12" s="1031"/>
    </row>
    <row r="13" spans="1:13">
      <c r="A13" s="916" t="s">
        <v>113</v>
      </c>
      <c r="B13" s="917" t="s">
        <v>114</v>
      </c>
      <c r="C13" s="918"/>
      <c r="D13" s="918"/>
      <c r="E13" s="918"/>
      <c r="F13" s="919"/>
      <c r="G13" s="919"/>
      <c r="H13" s="1032"/>
    </row>
    <row r="14" spans="1:13">
      <c r="A14" s="920"/>
      <c r="B14" s="1033" t="s">
        <v>547</v>
      </c>
      <c r="C14" s="1034">
        <f>'D3.Deviz ITDCS-CCU'!F13</f>
        <v>0</v>
      </c>
      <c r="D14" s="1035">
        <f>'D3.Deviz ITDCS-CCU'!G13</f>
        <v>0</v>
      </c>
      <c r="E14" s="1035">
        <f>'D3.Deviz ITDCS-CCU'!H13</f>
        <v>0</v>
      </c>
      <c r="F14" s="1036">
        <f>'D3.Deviz ITDCS-CCU'!I13</f>
        <v>0</v>
      </c>
      <c r="G14" s="1036">
        <f>'D3.Deviz ITDCS-CCU'!J13</f>
        <v>0</v>
      </c>
      <c r="H14" s="1037">
        <f>'D3.Deviz ITDCS-CCU'!K13</f>
        <v>0</v>
      </c>
    </row>
    <row r="15" spans="1:13">
      <c r="A15" s="920"/>
      <c r="B15" s="921"/>
      <c r="C15" s="918"/>
      <c r="D15" s="918"/>
      <c r="E15" s="918"/>
      <c r="F15" s="919"/>
      <c r="G15" s="919"/>
      <c r="H15" s="1032"/>
    </row>
    <row r="16" spans="1:13">
      <c r="A16" s="920" t="s">
        <v>115</v>
      </c>
      <c r="B16" s="921" t="s">
        <v>116</v>
      </c>
      <c r="C16" s="918"/>
      <c r="D16" s="918"/>
      <c r="E16" s="918"/>
      <c r="F16" s="919"/>
      <c r="G16" s="919"/>
      <c r="H16" s="1032"/>
    </row>
    <row r="17" spans="1:11">
      <c r="A17" s="920"/>
      <c r="B17" s="1033" t="s">
        <v>547</v>
      </c>
      <c r="C17" s="1034">
        <f>'D3.Deviz ITDCS-CCU'!F14</f>
        <v>7307532</v>
      </c>
      <c r="D17" s="1034">
        <f>'D3.Deviz ITDCS-CCU'!G14</f>
        <v>1468614.49</v>
      </c>
      <c r="E17" s="1034">
        <f>'D3.Deviz ITDCS-CCU'!H14</f>
        <v>1388431.08</v>
      </c>
      <c r="F17" s="1038">
        <f>'D3.Deviz ITDCS-CCU'!I14</f>
        <v>279036.76</v>
      </c>
      <c r="G17" s="1038">
        <f>'D3.Deviz ITDCS-CCU'!J14</f>
        <v>8695963.0800000001</v>
      </c>
      <c r="H17" s="1039">
        <f>'D3.Deviz ITDCS-CCU'!K14</f>
        <v>1747651.25</v>
      </c>
    </row>
    <row r="18" spans="1:11">
      <c r="A18" s="920"/>
      <c r="B18" s="921"/>
      <c r="C18" s="918"/>
      <c r="D18" s="918"/>
      <c r="E18" s="918"/>
      <c r="F18" s="919"/>
      <c r="G18" s="919"/>
      <c r="H18" s="1032"/>
    </row>
    <row r="19" spans="1:11">
      <c r="A19" s="927" t="s">
        <v>117</v>
      </c>
      <c r="B19" s="928" t="s">
        <v>118</v>
      </c>
      <c r="C19" s="918"/>
      <c r="D19" s="918"/>
      <c r="E19" s="918"/>
      <c r="F19" s="919"/>
      <c r="G19" s="919"/>
      <c r="H19" s="1032"/>
    </row>
    <row r="20" spans="1:11">
      <c r="A20" s="920"/>
      <c r="B20" s="1033" t="s">
        <v>547</v>
      </c>
      <c r="C20" s="1034">
        <f>'D3.Deviz ITDCS-CCU'!F20</f>
        <v>0</v>
      </c>
      <c r="D20" s="1034">
        <f>'D3.Deviz ITDCS-CCU'!G20</f>
        <v>0</v>
      </c>
      <c r="E20" s="1034">
        <f>'D3.Deviz ITDCS-CCU'!H20</f>
        <v>0</v>
      </c>
      <c r="F20" s="1038">
        <f>'D3.Deviz ITDCS-CCU'!I20</f>
        <v>0</v>
      </c>
      <c r="G20" s="1038">
        <f>'D3.Deviz ITDCS-CCU'!J20</f>
        <v>0</v>
      </c>
      <c r="H20" s="1039">
        <f>'D3.Deviz ITDCS-CCU'!K20</f>
        <v>0</v>
      </c>
    </row>
    <row r="21" spans="1:11">
      <c r="A21" s="1040"/>
      <c r="B21" s="1041"/>
      <c r="C21" s="1042"/>
      <c r="D21" s="1042"/>
      <c r="E21" s="1042"/>
      <c r="F21" s="1043"/>
      <c r="G21" s="1043"/>
      <c r="H21" s="1044"/>
    </row>
    <row r="22" spans="1:11">
      <c r="A22" s="1892" t="s">
        <v>119</v>
      </c>
      <c r="B22" s="1893"/>
      <c r="C22" s="1045">
        <f>C20+C17+C14</f>
        <v>7307532</v>
      </c>
      <c r="D22" s="1045">
        <f t="shared" ref="D22:H22" si="0">D20+D17+D14</f>
        <v>1468614.49</v>
      </c>
      <c r="E22" s="1045">
        <f t="shared" si="0"/>
        <v>1388431.08</v>
      </c>
      <c r="F22" s="1046">
        <f t="shared" si="0"/>
        <v>279036.76</v>
      </c>
      <c r="G22" s="1046">
        <f t="shared" si="0"/>
        <v>8695963.0800000001</v>
      </c>
      <c r="H22" s="1047">
        <f t="shared" si="0"/>
        <v>1747651.25</v>
      </c>
    </row>
    <row r="23" spans="1:11">
      <c r="A23" s="1894" t="s">
        <v>120</v>
      </c>
      <c r="B23" s="1895"/>
      <c r="C23" s="1895"/>
      <c r="D23" s="1895"/>
      <c r="E23" s="1895"/>
      <c r="F23" s="1895"/>
      <c r="G23" s="1895"/>
      <c r="H23" s="1896"/>
    </row>
    <row r="24" spans="1:11">
      <c r="A24" s="912" t="s">
        <v>121</v>
      </c>
      <c r="B24" s="1033" t="s">
        <v>547</v>
      </c>
      <c r="C24" s="1034">
        <f>'D3.Deviz ITDCS-CCU'!F27</f>
        <v>3845627.5</v>
      </c>
      <c r="D24" s="1035">
        <f>'D3.Deviz ITDCS-CCU'!G27</f>
        <v>772866.17</v>
      </c>
      <c r="E24" s="322">
        <f>'D3.Deviz ITDCS-CCU'!H27</f>
        <v>730669.23</v>
      </c>
      <c r="F24" s="1035">
        <f>'D3.Deviz ITDCS-CCU'!I27</f>
        <v>146844.57999999999</v>
      </c>
      <c r="G24" s="322">
        <f>'D3.Deviz ITDCS-CCU'!J27</f>
        <v>4576296.7300000004</v>
      </c>
      <c r="H24" s="1048">
        <f>'D3.Deviz ITDCS-CCU'!K27</f>
        <v>919710.75</v>
      </c>
    </row>
    <row r="25" spans="1:11">
      <c r="A25" s="1049" t="s">
        <v>9</v>
      </c>
      <c r="B25" s="1050" t="s">
        <v>9</v>
      </c>
      <c r="C25" s="1051">
        <v>0</v>
      </c>
      <c r="D25" s="1052">
        <f>C25/euro</f>
        <v>0</v>
      </c>
      <c r="E25" s="1053">
        <f>C25*TVA</f>
        <v>0</v>
      </c>
      <c r="F25" s="1052">
        <f>E25/euro</f>
        <v>0</v>
      </c>
      <c r="G25" s="1053">
        <f t="shared" ref="G25:H25" si="1">C25+E25</f>
        <v>0</v>
      </c>
      <c r="H25" s="1054">
        <f t="shared" si="1"/>
        <v>0</v>
      </c>
    </row>
    <row r="26" spans="1:11">
      <c r="A26" s="1897" t="s">
        <v>122</v>
      </c>
      <c r="B26" s="1898"/>
      <c r="C26" s="1045">
        <f>SUM(C24:C25)</f>
        <v>3845627.5</v>
      </c>
      <c r="D26" s="1045">
        <f t="shared" ref="D26:H26" si="2">SUM(D24:D25)</f>
        <v>772866.17</v>
      </c>
      <c r="E26" s="336">
        <f t="shared" si="2"/>
        <v>730669.23</v>
      </c>
      <c r="F26" s="1045">
        <f t="shared" si="2"/>
        <v>146844.57999999999</v>
      </c>
      <c r="G26" s="336">
        <f t="shared" si="2"/>
        <v>4576296.7300000004</v>
      </c>
      <c r="H26" s="1055">
        <f t="shared" si="2"/>
        <v>919710.75</v>
      </c>
    </row>
    <row r="27" spans="1:11">
      <c r="A27" s="1899" t="s">
        <v>160</v>
      </c>
      <c r="B27" s="1900"/>
      <c r="C27" s="1900"/>
      <c r="D27" s="1900"/>
      <c r="E27" s="1900"/>
      <c r="F27" s="1900"/>
      <c r="G27" s="1900"/>
      <c r="H27" s="1901"/>
    </row>
    <row r="28" spans="1:11">
      <c r="A28" s="1934" t="s">
        <v>161</v>
      </c>
      <c r="B28" s="1935"/>
      <c r="C28" s="1935"/>
      <c r="D28" s="1935"/>
      <c r="E28" s="1935"/>
      <c r="F28" s="1935"/>
      <c r="G28" s="1935"/>
      <c r="H28" s="1936"/>
    </row>
    <row r="29" spans="1:11">
      <c r="A29" s="1056" t="s">
        <v>162</v>
      </c>
      <c r="B29" s="1941" t="s">
        <v>548</v>
      </c>
      <c r="C29" s="1941"/>
      <c r="D29" s="1941"/>
      <c r="E29" s="1941"/>
      <c r="F29" s="1941"/>
      <c r="G29" s="1941"/>
      <c r="H29" s="1942"/>
      <c r="K29" t="s">
        <v>9</v>
      </c>
    </row>
    <row r="30" spans="1:11">
      <c r="A30" s="1057" t="s">
        <v>549</v>
      </c>
      <c r="B30" s="1058" t="s">
        <v>550</v>
      </c>
      <c r="C30" s="1059">
        <f>SUM('D3.Deviz ITDCS-CCU'!F31:F35)</f>
        <v>5009803.8250000002</v>
      </c>
      <c r="D30" s="1059">
        <f>SUM('D3.Deviz ITDCS-CCU'!G31:G35)</f>
        <v>1006833.84</v>
      </c>
      <c r="E30" s="1060">
        <f>SUM('D3.Deviz ITDCS-CCU'!H31:H35)</f>
        <v>951862.73</v>
      </c>
      <c r="F30" s="1059">
        <f>SUM('D3.Deviz ITDCS-CCU'!I31:I35)</f>
        <v>191298.43</v>
      </c>
      <c r="G30" s="1060">
        <f>SUM('D3.Deviz ITDCS-CCU'!J31:J35)</f>
        <v>5961666.5549999997</v>
      </c>
      <c r="H30" s="1061">
        <f>SUM('D3.Deviz ITDCS-CCU'!K31:K35)</f>
        <v>1198132.27</v>
      </c>
      <c r="K30" s="274" t="s">
        <v>9</v>
      </c>
    </row>
    <row r="31" spans="1:11">
      <c r="A31" s="1057" t="s">
        <v>551</v>
      </c>
      <c r="B31" s="945" t="s">
        <v>552</v>
      </c>
      <c r="C31" s="1059">
        <f>SUM('D4.Deviz ITDCS-TM'!F18:F20)</f>
        <v>1188649</v>
      </c>
      <c r="D31" s="1059">
        <f>SUM('D4.Deviz ITDCS-TM'!G18:G20)</f>
        <v>238886.01</v>
      </c>
      <c r="E31" s="1060">
        <f>SUM('D4.Deviz ITDCS-TM'!H18:H20)</f>
        <v>225843.31</v>
      </c>
      <c r="F31" s="1059">
        <f>SUM('D4.Deviz ITDCS-TM'!I18:I20)</f>
        <v>45388.34</v>
      </c>
      <c r="G31" s="1060">
        <f>SUM('D4.Deviz ITDCS-TM'!J18:J20)</f>
        <v>1414492.31</v>
      </c>
      <c r="H31" s="1061">
        <f>SUM('D4.Deviz ITDCS-TM'!K18:K20)</f>
        <v>284274.34999999998</v>
      </c>
      <c r="K31" s="274" t="s">
        <v>9</v>
      </c>
    </row>
    <row r="32" spans="1:11">
      <c r="A32" s="1057" t="s">
        <v>553</v>
      </c>
      <c r="B32" s="945" t="s">
        <v>554</v>
      </c>
      <c r="C32" s="1059">
        <f>SUM('D5.Deviz ITDCS-DA'!F19:F21)</f>
        <v>559365</v>
      </c>
      <c r="D32" s="1059">
        <f>SUM('D5.Deviz ITDCS-DA'!G19:G21)</f>
        <v>112417.09</v>
      </c>
      <c r="E32" s="1060">
        <f>SUM('D5.Deviz ITDCS-DA'!H19:H21)</f>
        <v>106279.35</v>
      </c>
      <c r="F32" s="1059">
        <f>SUM('D5.Deviz ITDCS-DA'!I19:I21)</f>
        <v>21359.25</v>
      </c>
      <c r="G32" s="1060">
        <f>SUM('D5.Deviz ITDCS-DA'!J19:J21)</f>
        <v>665644.35</v>
      </c>
      <c r="H32" s="1061">
        <f>SUM('D5.Deviz ITDCS-DA'!K19:K21)</f>
        <v>133776.34</v>
      </c>
      <c r="K32" s="274" t="s">
        <v>9</v>
      </c>
    </row>
    <row r="33" spans="1:11">
      <c r="A33" s="1057" t="s">
        <v>555</v>
      </c>
      <c r="B33" s="945" t="s">
        <v>556</v>
      </c>
      <c r="C33" s="1059">
        <f>SUM('D6.Deviz ITDCS-CD'!F24:F29)</f>
        <v>3593914</v>
      </c>
      <c r="D33" s="1059">
        <f>SUM('D6.Deviz ITDCS-CD'!G24:G29)</f>
        <v>722278.63</v>
      </c>
      <c r="E33" s="1060">
        <f>SUM('D6.Deviz ITDCS-CD'!H24:H29)</f>
        <v>682843.66</v>
      </c>
      <c r="F33" s="1059">
        <f>SUM('D6.Deviz ITDCS-CD'!I24:I29)</f>
        <v>137232.93</v>
      </c>
      <c r="G33" s="1060">
        <f>SUM('D6.Deviz ITDCS-CD'!J24:J29)</f>
        <v>4276757.66</v>
      </c>
      <c r="H33" s="1061">
        <f>SUM('D6.Deviz ITDCS-CD'!K24:K29)</f>
        <v>859511.56</v>
      </c>
    </row>
    <row r="34" spans="1:11">
      <c r="A34" s="1943" t="s">
        <v>557</v>
      </c>
      <c r="B34" s="1944"/>
      <c r="C34" s="1944"/>
      <c r="D34" s="1944"/>
      <c r="E34" s="1944"/>
      <c r="F34" s="1944"/>
      <c r="G34" s="1944"/>
      <c r="H34" s="1945"/>
      <c r="I34" s="1100"/>
    </row>
    <row r="35" spans="1:11">
      <c r="A35" s="1062">
        <v>1</v>
      </c>
      <c r="B35" s="1058" t="s">
        <v>550</v>
      </c>
      <c r="C35" s="1063">
        <f>SUM('D3.Deviz ITDCS-CCU'!F36:F58)</f>
        <v>15989419.939999999</v>
      </c>
      <c r="D35" s="1059">
        <f>SUM('D3.Deviz ITDCS-CCU'!G36:G58)</f>
        <v>3213437</v>
      </c>
      <c r="E35" s="1060">
        <f>SUM('D3.Deviz ITDCS-CCU'!H36:H58)</f>
        <v>3037989.81</v>
      </c>
      <c r="F35" s="1059">
        <f>SUM('D3.Deviz ITDCS-CCU'!I36:I58)</f>
        <v>610553.03</v>
      </c>
      <c r="G35" s="1060">
        <f>SUM('D3.Deviz ITDCS-CCU'!J36:J58)</f>
        <v>19027409.75</v>
      </c>
      <c r="H35" s="1061">
        <f>SUM('D3.Deviz ITDCS-CCU'!K36:K58)</f>
        <v>3823990.03</v>
      </c>
      <c r="I35" s="1100"/>
      <c r="K35" s="274" t="s">
        <v>9</v>
      </c>
    </row>
    <row r="36" spans="1:11">
      <c r="A36" s="1062">
        <v>2</v>
      </c>
      <c r="B36" s="945" t="s">
        <v>558</v>
      </c>
      <c r="C36" s="1064">
        <f>SUM('D4.Deviz ITDCS-TM'!F22:F35)</f>
        <v>27618597</v>
      </c>
      <c r="D36" s="1059">
        <f>SUM('D4.Deviz ITDCS-TM'!G22:G35)</f>
        <v>5550584.2300000004</v>
      </c>
      <c r="E36" s="1060">
        <f>SUM('D4.Deviz ITDCS-TM'!H22:H35)</f>
        <v>5247533.43</v>
      </c>
      <c r="F36" s="1059">
        <f>SUM('D4.Deviz ITDCS-TM'!I22:I35)</f>
        <v>1054611.01</v>
      </c>
      <c r="G36" s="1060">
        <f>SUM('D4.Deviz ITDCS-TM'!J22:J35)</f>
        <v>32866130.43</v>
      </c>
      <c r="H36" s="1061">
        <f>SUM('D4.Deviz ITDCS-TM'!K22:K35)</f>
        <v>6605195.2400000002</v>
      </c>
      <c r="I36" s="1100"/>
      <c r="K36" s="274" t="s">
        <v>9</v>
      </c>
    </row>
    <row r="37" spans="1:11">
      <c r="A37" s="1062">
        <v>3</v>
      </c>
      <c r="B37" s="945" t="s">
        <v>554</v>
      </c>
      <c r="C37" s="1064">
        <f>SUM('D5.Deviz ITDCS-DA'!F23:F30)</f>
        <v>31694963</v>
      </c>
      <c r="D37" s="1059">
        <f>SUM('D5.Deviz ITDCS-DA'!G23:G30)</f>
        <v>6369822.5499999998</v>
      </c>
      <c r="E37" s="1060">
        <f>SUM('D5.Deviz ITDCS-DA'!H23:H30)</f>
        <v>6022042.9699999997</v>
      </c>
      <c r="F37" s="1059">
        <f>SUM('D5.Deviz ITDCS-DA'!I23:I30)</f>
        <v>1210266.29</v>
      </c>
      <c r="G37" s="1060">
        <f>SUM('D5.Deviz ITDCS-DA'!J23:J30)</f>
        <v>37717005.969999999</v>
      </c>
      <c r="H37" s="1061">
        <f>SUM('D5.Deviz ITDCS-DA'!K23:K30)</f>
        <v>7580088.8399999999</v>
      </c>
      <c r="I37" s="1100"/>
      <c r="K37" s="274" t="s">
        <v>9</v>
      </c>
    </row>
    <row r="38" spans="1:11">
      <c r="A38" s="1062">
        <v>4</v>
      </c>
      <c r="B38" s="945" t="s">
        <v>556</v>
      </c>
      <c r="C38" s="1064">
        <f>SUM('D6.Deviz ITDCS-CD'!F31:F37)</f>
        <v>31478210</v>
      </c>
      <c r="D38" s="1064">
        <f>SUM('D6.Deviz ITDCS-CD'!G31:G37)</f>
        <v>6326261.1100000003</v>
      </c>
      <c r="E38" s="1064">
        <f>SUM('D6.Deviz ITDCS-CD'!H31:H37)</f>
        <v>5980859.9000000004</v>
      </c>
      <c r="F38" s="1064">
        <f>SUM('D6.Deviz ITDCS-CD'!I31:I37)</f>
        <v>1201989.6100000001</v>
      </c>
      <c r="G38" s="1064">
        <f>SUM('D6.Deviz ITDCS-CD'!J31:J37)</f>
        <v>37459069.899999999</v>
      </c>
      <c r="H38" s="1061">
        <f>SUM('D6.Deviz ITDCS-CD'!K31:K37)</f>
        <v>7528250.7199999997</v>
      </c>
      <c r="I38" s="1100"/>
    </row>
    <row r="39" spans="1:11">
      <c r="A39" s="1062" t="s">
        <v>9</v>
      </c>
      <c r="B39" s="1065" t="s">
        <v>9</v>
      </c>
      <c r="C39" s="1065" t="s">
        <v>9</v>
      </c>
      <c r="D39" s="1058" t="s">
        <v>9</v>
      </c>
      <c r="E39" s="1066" t="s">
        <v>9</v>
      </c>
      <c r="F39" s="1058" t="s">
        <v>9</v>
      </c>
      <c r="G39" s="1066" t="s">
        <v>9</v>
      </c>
      <c r="H39" s="1067" t="s">
        <v>9</v>
      </c>
      <c r="I39" s="1100"/>
      <c r="J39" s="53"/>
    </row>
    <row r="40" spans="1:11">
      <c r="A40" s="1946" t="s">
        <v>163</v>
      </c>
      <c r="B40" s="1947"/>
      <c r="C40" s="1068">
        <f t="shared" ref="C40:H40" si="3">SUM(C30:C33,C35:C39)</f>
        <v>117132921.765</v>
      </c>
      <c r="D40" s="1069">
        <f t="shared" si="3"/>
        <v>23540520.460000001</v>
      </c>
      <c r="E40" s="1068">
        <f t="shared" si="3"/>
        <v>22255255.16</v>
      </c>
      <c r="F40" s="1069">
        <f t="shared" si="3"/>
        <v>4472698.8899999997</v>
      </c>
      <c r="G40" s="1068">
        <f t="shared" si="3"/>
        <v>139388176.92500001</v>
      </c>
      <c r="H40" s="1070">
        <f t="shared" si="3"/>
        <v>28013219.350000001</v>
      </c>
      <c r="I40" s="1101"/>
      <c r="J40" s="53" t="s">
        <v>9</v>
      </c>
      <c r="K40" s="1070" t="s">
        <v>9</v>
      </c>
    </row>
    <row r="41" spans="1:11">
      <c r="A41" s="1948" t="s">
        <v>164</v>
      </c>
      <c r="B41" s="1949"/>
      <c r="C41" s="1949"/>
      <c r="D41" s="1949"/>
      <c r="E41" s="1949"/>
      <c r="F41" s="1949"/>
      <c r="G41" s="1949"/>
      <c r="H41" s="1950"/>
      <c r="J41" t="s">
        <v>9</v>
      </c>
      <c r="K41" t="s">
        <v>9</v>
      </c>
    </row>
    <row r="42" spans="1:11">
      <c r="A42" s="1071">
        <v>1</v>
      </c>
      <c r="B42" s="1058" t="s">
        <v>550</v>
      </c>
      <c r="C42" s="1072">
        <f>'D3.Deviz ITDCS-CCU'!F72</f>
        <v>1308911.76</v>
      </c>
      <c r="D42" s="1073">
        <f>'D3.Deviz ITDCS-CCU'!G72</f>
        <v>263055.53999999998</v>
      </c>
      <c r="E42" s="1074">
        <f>'D3.Deviz ITDCS-CCU'!H72</f>
        <v>248693.24</v>
      </c>
      <c r="F42" s="1073">
        <f>'D3.Deviz ITDCS-CCU'!I72</f>
        <v>49980.55</v>
      </c>
      <c r="G42" s="1074">
        <f>'D3.Deviz ITDCS-CCU'!J72</f>
        <v>1557605</v>
      </c>
      <c r="H42" s="1075">
        <f>'D3.Deviz ITDCS-CCU'!K72</f>
        <v>313036.09000000003</v>
      </c>
      <c r="K42" s="274" t="s">
        <v>9</v>
      </c>
    </row>
    <row r="43" spans="1:11">
      <c r="A43" s="1062">
        <v>2</v>
      </c>
      <c r="B43" s="945" t="s">
        <v>552</v>
      </c>
      <c r="C43" s="1063">
        <f>'D4.Deviz ITDCS-TM'!F61</f>
        <v>5163300</v>
      </c>
      <c r="D43" s="1059">
        <f>'D4.Deviz ITDCS-TM'!G61</f>
        <v>1037682.4</v>
      </c>
      <c r="E43" s="1060">
        <f>'D4.Deviz ITDCS-TM'!H61</f>
        <v>981027</v>
      </c>
      <c r="F43" s="1059">
        <f>'D4.Deviz ITDCS-TM'!I61</f>
        <v>197159.64</v>
      </c>
      <c r="G43" s="1060">
        <f>'D4.Deviz ITDCS-TM'!J61</f>
        <v>6144327</v>
      </c>
      <c r="H43" s="1061">
        <f>'D4.Deviz ITDCS-TM'!K61</f>
        <v>1234842.04</v>
      </c>
      <c r="I43" t="s">
        <v>9</v>
      </c>
      <c r="K43" s="274" t="s">
        <v>9</v>
      </c>
    </row>
    <row r="44" spans="1:11">
      <c r="A44" s="1062">
        <v>3</v>
      </c>
      <c r="B44" s="945" t="s">
        <v>554</v>
      </c>
      <c r="C44" s="1063">
        <f>'D5.Deviz ITDCS-DA'!F34</f>
        <v>12585690</v>
      </c>
      <c r="D44" s="1059">
        <f>'D5.Deviz ITDCS-DA'!G34</f>
        <v>2529380.2000000002</v>
      </c>
      <c r="E44" s="1060">
        <f>'D5.Deviz ITDCS-DA'!H34</f>
        <v>2391281.1</v>
      </c>
      <c r="F44" s="1059">
        <f>'D5.Deviz ITDCS-DA'!I34</f>
        <v>480582.24</v>
      </c>
      <c r="G44" s="1060">
        <f>'D5.Deviz ITDCS-DA'!J34</f>
        <v>14976971.1</v>
      </c>
      <c r="H44" s="1061">
        <f>'D5.Deviz ITDCS-DA'!K34</f>
        <v>3009962.44</v>
      </c>
      <c r="K44" s="274" t="s">
        <v>9</v>
      </c>
    </row>
    <row r="45" spans="1:11">
      <c r="A45" s="1062">
        <v>4</v>
      </c>
      <c r="B45" s="945" t="s">
        <v>556</v>
      </c>
      <c r="C45" s="1063">
        <f>'D6.Deviz ITDCS-CD'!F41</f>
        <v>0</v>
      </c>
      <c r="D45" s="1059" t="s">
        <v>9</v>
      </c>
      <c r="E45" s="1060">
        <f>'D6.Deviz ITDCS-CD'!H41</f>
        <v>0</v>
      </c>
      <c r="F45" s="1059">
        <f>'D6.Deviz ITDCS-CD'!I41</f>
        <v>0</v>
      </c>
      <c r="G45" s="1060">
        <f>'D6.Deviz ITDCS-CD'!J41</f>
        <v>0</v>
      </c>
      <c r="H45" s="1061">
        <f>'D6.Deviz ITDCS-CD'!K41</f>
        <v>0</v>
      </c>
    </row>
    <row r="46" spans="1:11">
      <c r="A46" s="1076" t="s">
        <v>9</v>
      </c>
      <c r="B46" s="1077" t="s">
        <v>9</v>
      </c>
      <c r="C46" s="1078" t="s">
        <v>9</v>
      </c>
      <c r="D46" s="1079" t="s">
        <v>9</v>
      </c>
      <c r="E46" s="1080" t="s">
        <v>9</v>
      </c>
      <c r="F46" s="1079" t="s">
        <v>9</v>
      </c>
      <c r="G46" s="1080" t="s">
        <v>9</v>
      </c>
      <c r="H46" s="1081" t="s">
        <v>9</v>
      </c>
    </row>
    <row r="47" spans="1:11" ht="12.95" customHeight="1">
      <c r="A47" s="1932" t="s">
        <v>166</v>
      </c>
      <c r="B47" s="1933"/>
      <c r="C47" s="1082">
        <f>SUM(C42:C46)</f>
        <v>19057901.760000002</v>
      </c>
      <c r="D47" s="1083">
        <f>SUM(D42:D46)</f>
        <v>3830118.14</v>
      </c>
      <c r="E47" s="1082">
        <f>SUM(E42:E46)</f>
        <v>3621001.34</v>
      </c>
      <c r="F47" s="1083">
        <f>ROUNDUP(SUM(F42:F46),2)</f>
        <v>727722.43</v>
      </c>
      <c r="G47" s="1084">
        <f>SUM(G42:G46)</f>
        <v>22678903.100000001</v>
      </c>
      <c r="H47" s="1085">
        <f>SUM(H42:H46)</f>
        <v>4557840.57</v>
      </c>
      <c r="K47" s="1085" t="s">
        <v>9</v>
      </c>
    </row>
    <row r="48" spans="1:11">
      <c r="A48" s="1934" t="s">
        <v>167</v>
      </c>
      <c r="B48" s="1935"/>
      <c r="C48" s="1935"/>
      <c r="D48" s="1935"/>
      <c r="E48" s="1935"/>
      <c r="F48" s="1935"/>
      <c r="G48" s="1935"/>
      <c r="H48" s="1936"/>
      <c r="K48" t="s">
        <v>9</v>
      </c>
    </row>
    <row r="49" spans="1:13">
      <c r="A49" s="1071">
        <v>1</v>
      </c>
      <c r="B49" s="1058" t="s">
        <v>550</v>
      </c>
      <c r="C49" s="1072">
        <f>'D3.Deviz ITDCS-CCU'!F85</f>
        <v>9285442.4000000004</v>
      </c>
      <c r="D49" s="1073">
        <f>'D3.Deviz ITDCS-CCU'!G85</f>
        <v>1866120.5</v>
      </c>
      <c r="E49" s="1074">
        <f>'D3.Deviz ITDCS-CCU'!H85</f>
        <v>1764234.07</v>
      </c>
      <c r="F49" s="1073">
        <f>'D3.Deviz ITDCS-CCU'!I85</f>
        <v>354562.9</v>
      </c>
      <c r="G49" s="1074">
        <f>'D3.Deviz ITDCS-CCU'!J85</f>
        <v>11049676.470000001</v>
      </c>
      <c r="H49" s="1075">
        <f>'D3.Deviz ITDCS-CCU'!K85</f>
        <v>2220683.4</v>
      </c>
      <c r="K49" s="274" t="s">
        <v>9</v>
      </c>
    </row>
    <row r="50" spans="1:13">
      <c r="A50" s="1062">
        <v>2</v>
      </c>
      <c r="B50" s="945" t="s">
        <v>552</v>
      </c>
      <c r="C50" s="1063">
        <f>'D4.Deviz ITDCS-TM'!F86</f>
        <v>33422000</v>
      </c>
      <c r="D50" s="1059">
        <f>'D4.Deviz ITDCS-TM'!G86</f>
        <v>6716909.8300000001</v>
      </c>
      <c r="E50" s="1060">
        <f>'D4.Deviz ITDCS-TM'!H86</f>
        <v>6350180</v>
      </c>
      <c r="F50" s="1059">
        <f>'D4.Deviz ITDCS-TM'!I86</f>
        <v>1276212.8799999999</v>
      </c>
      <c r="G50" s="1060">
        <f>'D4.Deviz ITDCS-TM'!J86</f>
        <v>39772180</v>
      </c>
      <c r="H50" s="1061">
        <f>'D4.Deviz ITDCS-TM'!K86</f>
        <v>7993122.71</v>
      </c>
      <c r="K50" s="274" t="s">
        <v>9</v>
      </c>
    </row>
    <row r="51" spans="1:13">
      <c r="A51" s="1062">
        <v>3</v>
      </c>
      <c r="B51" s="945" t="s">
        <v>554</v>
      </c>
      <c r="C51" s="1063">
        <f>'D5.Deviz ITDCS-DA'!F37</f>
        <v>125856900</v>
      </c>
      <c r="D51" s="1059">
        <f>'D5.Deviz ITDCS-DA'!G37</f>
        <v>25293802</v>
      </c>
      <c r="E51" s="1060">
        <f>'D5.Deviz ITDCS-DA'!H37</f>
        <v>23912811</v>
      </c>
      <c r="F51" s="1059">
        <f>'D5.Deviz ITDCS-DA'!I37</f>
        <v>4805822.38</v>
      </c>
      <c r="G51" s="1060">
        <f>'D5.Deviz ITDCS-DA'!J37</f>
        <v>149769711</v>
      </c>
      <c r="H51" s="1061">
        <f>'D5.Deviz ITDCS-DA'!K37</f>
        <v>30099624.379999999</v>
      </c>
      <c r="K51" s="274" t="s">
        <v>9</v>
      </c>
    </row>
    <row r="52" spans="1:13">
      <c r="A52" s="1062">
        <v>4</v>
      </c>
      <c r="B52" s="945" t="s">
        <v>556</v>
      </c>
      <c r="C52" s="1064">
        <f>'D6.Deviz ITDCS-CD'!F44</f>
        <v>0</v>
      </c>
      <c r="D52" s="1059">
        <f>'D6.Deviz ITDCS-CD'!G44</f>
        <v>0</v>
      </c>
      <c r="E52" s="1060">
        <f>'D6.Deviz ITDCS-CD'!H44</f>
        <v>0</v>
      </c>
      <c r="F52" s="1059">
        <f>'D6.Deviz ITDCS-CD'!I44</f>
        <v>0</v>
      </c>
      <c r="G52" s="1060">
        <f>'D6.Deviz ITDCS-CD'!J44</f>
        <v>0</v>
      </c>
      <c r="H52" s="1061">
        <f>'D6.Deviz ITDCS-CD'!K44</f>
        <v>0</v>
      </c>
    </row>
    <row r="53" spans="1:13" ht="12.95" customHeight="1">
      <c r="A53" s="1918" t="s">
        <v>169</v>
      </c>
      <c r="B53" s="1937"/>
      <c r="C53" s="1086">
        <f t="shared" ref="C53:H53" si="4">SUM(C49:C52)</f>
        <v>168564342.40000001</v>
      </c>
      <c r="D53" s="1087">
        <f t="shared" si="4"/>
        <v>33876832.329999998</v>
      </c>
      <c r="E53" s="1086">
        <f t="shared" si="4"/>
        <v>32027225.07</v>
      </c>
      <c r="F53" s="1087">
        <f t="shared" si="4"/>
        <v>6436598.1600000001</v>
      </c>
      <c r="G53" s="1088">
        <f t="shared" si="4"/>
        <v>200591567.47</v>
      </c>
      <c r="H53" s="1089">
        <f t="shared" si="4"/>
        <v>40313430.490000002</v>
      </c>
      <c r="K53" s="1089" t="s">
        <v>9</v>
      </c>
      <c r="L53" s="274" t="s">
        <v>9</v>
      </c>
      <c r="M53" s="274" t="e">
        <f>K53+K47</f>
        <v>#VALUE!</v>
      </c>
    </row>
    <row r="54" spans="1:13" ht="12.95" customHeight="1">
      <c r="A54" s="1090"/>
      <c r="B54" s="1091"/>
      <c r="C54" s="1092"/>
      <c r="D54" s="1092"/>
      <c r="E54" s="1092"/>
      <c r="F54" s="1092"/>
      <c r="G54" s="1092"/>
      <c r="H54" s="1093"/>
      <c r="K54" s="278" t="s">
        <v>9</v>
      </c>
      <c r="L54" s="1102" t="s">
        <v>9</v>
      </c>
    </row>
    <row r="55" spans="1:13" ht="12.75" customHeight="1">
      <c r="A55" s="1938" t="s">
        <v>170</v>
      </c>
      <c r="B55" s="1939"/>
      <c r="C55" s="1939"/>
      <c r="D55" s="1939"/>
      <c r="E55" s="1939"/>
      <c r="F55" s="1939"/>
      <c r="G55" s="1939"/>
      <c r="H55" s="1940"/>
    </row>
    <row r="56" spans="1:13" ht="12.95" customHeight="1">
      <c r="A56" s="1071">
        <v>1</v>
      </c>
      <c r="B56" s="1058" t="s">
        <v>550</v>
      </c>
      <c r="C56" s="1094">
        <f>'D3.Deviz ITDCS-CCU'!F91</f>
        <v>3747738.8</v>
      </c>
      <c r="D56" s="1073">
        <f>'D3.Deviz ITDCS-CCU'!G91</f>
        <v>753193.21</v>
      </c>
      <c r="E56" s="1074">
        <f>'D3.Deviz ITDCS-CCU'!H91</f>
        <v>712070.38</v>
      </c>
      <c r="F56" s="1073">
        <f>'D3.Deviz ITDCS-CCU'!I91</f>
        <v>143106.71</v>
      </c>
      <c r="G56" s="1074">
        <f>'D3.Deviz ITDCS-CCU'!J91</f>
        <v>4459809.18</v>
      </c>
      <c r="H56" s="1075">
        <f>'D3.Deviz ITDCS-CCU'!K91</f>
        <v>896299.92</v>
      </c>
      <c r="K56" s="274" t="s">
        <v>9</v>
      </c>
    </row>
    <row r="57" spans="1:13" ht="12.95" customHeight="1">
      <c r="A57" s="1062">
        <v>2</v>
      </c>
      <c r="B57" s="945" t="s">
        <v>552</v>
      </c>
      <c r="C57" s="1063">
        <f>'D4.Deviz ITDCS-TM'!F92</f>
        <v>3356185</v>
      </c>
      <c r="D57" s="1059">
        <f>'D4.Deviz ITDCS-TM'!G92</f>
        <v>674501.59</v>
      </c>
      <c r="E57" s="1060">
        <f>'D4.Deviz ITDCS-TM'!H92</f>
        <v>637675.15</v>
      </c>
      <c r="F57" s="1059">
        <f>'D4.Deviz ITDCS-TM'!I92</f>
        <v>128155.3</v>
      </c>
      <c r="G57" s="1060">
        <f>'D4.Deviz ITDCS-TM'!J92</f>
        <v>3993860.15</v>
      </c>
      <c r="H57" s="1061">
        <f>'D4.Deviz ITDCS-TM'!K92</f>
        <v>802656.89</v>
      </c>
      <c r="K57" s="274" t="s">
        <v>9</v>
      </c>
    </row>
    <row r="58" spans="1:13" ht="12.95" customHeight="1">
      <c r="A58" s="1062">
        <v>3</v>
      </c>
      <c r="B58" s="945" t="s">
        <v>554</v>
      </c>
      <c r="C58" s="1063">
        <f>'D5.Deviz ITDCS-DA'!F40</f>
        <v>1118728</v>
      </c>
      <c r="D58" s="1059">
        <f>'D5.Deviz ITDCS-DA'!G40</f>
        <v>224833.8</v>
      </c>
      <c r="E58" s="1060">
        <f>'D5.Deviz ITDCS-DA'!H40</f>
        <v>212558.32</v>
      </c>
      <c r="F58" s="1059">
        <f>'D5.Deviz ITDCS-DA'!I40</f>
        <v>42718.42</v>
      </c>
      <c r="G58" s="1060">
        <f>'D5.Deviz ITDCS-DA'!J40</f>
        <v>1331286.32</v>
      </c>
      <c r="H58" s="1061">
        <f>'D5.Deviz ITDCS-DA'!K40</f>
        <v>267552.21999999997</v>
      </c>
      <c r="K58" s="274" t="s">
        <v>9</v>
      </c>
    </row>
    <row r="59" spans="1:13" ht="12.95" customHeight="1">
      <c r="A59" s="1062">
        <v>4</v>
      </c>
      <c r="B59" s="937" t="s">
        <v>556</v>
      </c>
      <c r="C59" s="1063">
        <f>'D6.Deviz ITDCS-CD'!F48</f>
        <v>4055389</v>
      </c>
      <c r="D59" s="1059">
        <f>'D6.Deviz ITDCS-CD'!G48</f>
        <v>815022.5</v>
      </c>
      <c r="E59" s="1060">
        <f>'D6.Deviz ITDCS-CD'!H48</f>
        <v>770523.91</v>
      </c>
      <c r="F59" s="1059">
        <f>'D6.Deviz ITDCS-CD'!I48</f>
        <v>154854.28</v>
      </c>
      <c r="G59" s="1060">
        <f>'D6.Deviz ITDCS-CD'!J48</f>
        <v>4825912.91</v>
      </c>
      <c r="H59" s="1061">
        <f>'D6.Deviz ITDCS-CD'!K48</f>
        <v>969876.78</v>
      </c>
    </row>
    <row r="60" spans="1:13" ht="12.95" customHeight="1">
      <c r="A60" s="1932" t="s">
        <v>174</v>
      </c>
      <c r="B60" s="1933"/>
      <c r="C60" s="1082">
        <f t="shared" ref="C60:H60" si="5">SUM(C56:C59)</f>
        <v>12278040.800000001</v>
      </c>
      <c r="D60" s="1095">
        <f t="shared" si="5"/>
        <v>2467551.1</v>
      </c>
      <c r="E60" s="1082">
        <f t="shared" si="5"/>
        <v>2332827.7599999998</v>
      </c>
      <c r="F60" s="1095">
        <f t="shared" si="5"/>
        <v>468834.71</v>
      </c>
      <c r="G60" s="1096">
        <f t="shared" si="5"/>
        <v>14610868.560000001</v>
      </c>
      <c r="H60" s="1097">
        <f t="shared" si="5"/>
        <v>2936385.81</v>
      </c>
      <c r="K60" s="1097" t="s">
        <v>9</v>
      </c>
    </row>
    <row r="61" spans="1:13">
      <c r="A61" s="1916" t="s">
        <v>175</v>
      </c>
      <c r="B61" s="1791"/>
      <c r="C61" s="1791"/>
      <c r="D61" s="1791"/>
      <c r="E61" s="1791"/>
      <c r="F61" s="1791"/>
      <c r="G61" s="1791"/>
      <c r="H61" s="1917"/>
      <c r="K61" s="278" t="s">
        <v>9</v>
      </c>
      <c r="L61" s="1102" t="s">
        <v>9</v>
      </c>
    </row>
    <row r="62" spans="1:13">
      <c r="A62" s="1071">
        <v>1</v>
      </c>
      <c r="B62" s="1058" t="s">
        <v>550</v>
      </c>
      <c r="C62" s="1094">
        <f>'D3.Deviz ITDCS-CCU'!F94</f>
        <v>13984.1</v>
      </c>
      <c r="D62" s="1073">
        <f>'D3.Deviz ITDCS-CCU'!G94</f>
        <v>2810.42</v>
      </c>
      <c r="E62" s="1074">
        <f>'D3.Deviz ITDCS-CCU'!H94</f>
        <v>2656.98</v>
      </c>
      <c r="F62" s="1073">
        <f>'D3.Deviz ITDCS-CCU'!I94</f>
        <v>533.98</v>
      </c>
      <c r="G62" s="1074">
        <f>'D3.Deviz ITDCS-CCU'!J94</f>
        <v>16641.080000000002</v>
      </c>
      <c r="H62" s="1075">
        <f>'D3.Deviz ITDCS-CCU'!K94</f>
        <v>3344.4</v>
      </c>
    </row>
    <row r="63" spans="1:13">
      <c r="A63" s="1062">
        <v>2</v>
      </c>
      <c r="B63" s="945" t="s">
        <v>552</v>
      </c>
      <c r="C63" s="1063">
        <f>'D4.Deviz ITDCS-TM'!F95</f>
        <v>41952</v>
      </c>
      <c r="D63" s="1059">
        <f>'D4.Deviz ITDCS-TM'!G95</f>
        <v>8431.2099999999991</v>
      </c>
      <c r="E63" s="1060">
        <f>'D4.Deviz ITDCS-TM'!H95</f>
        <v>7970.88</v>
      </c>
      <c r="F63" s="1059">
        <f>'D4.Deviz ITDCS-TM'!I95</f>
        <v>1601.93</v>
      </c>
      <c r="G63" s="1060">
        <f>'D4.Deviz ITDCS-TM'!J95</f>
        <v>49922.879999999997</v>
      </c>
      <c r="H63" s="1061">
        <f>'D4.Deviz ITDCS-TM'!K95</f>
        <v>10033.14</v>
      </c>
    </row>
    <row r="64" spans="1:13">
      <c r="A64" s="1062">
        <v>3</v>
      </c>
      <c r="B64" s="945" t="s">
        <v>554</v>
      </c>
      <c r="C64" s="1063">
        <f>'D5.Deviz ITDCS-DA'!F43</f>
        <v>13984</v>
      </c>
      <c r="D64" s="1059">
        <f>'D5.Deviz ITDCS-DA'!G43</f>
        <v>2810.4</v>
      </c>
      <c r="E64" s="1060">
        <f>'D5.Deviz ITDCS-DA'!H43</f>
        <v>2656.96</v>
      </c>
      <c r="F64" s="1059">
        <f>'D5.Deviz ITDCS-DA'!I43</f>
        <v>533.98</v>
      </c>
      <c r="G64" s="1060">
        <f>'D5.Deviz ITDCS-DA'!J43</f>
        <v>16640.96</v>
      </c>
      <c r="H64" s="1061">
        <f>'D5.Deviz ITDCS-DA'!K43</f>
        <v>3344.38</v>
      </c>
    </row>
    <row r="65" spans="1:15">
      <c r="A65" s="1062">
        <v>4</v>
      </c>
      <c r="B65" s="945" t="s">
        <v>556</v>
      </c>
      <c r="C65" s="1063">
        <f>'D6.Deviz ITDCS-CD'!F51</f>
        <v>0</v>
      </c>
      <c r="D65" s="1059">
        <f>'D6.Deviz ITDCS-CD'!G51</f>
        <v>0</v>
      </c>
      <c r="E65" s="1060">
        <f>'D6.Deviz ITDCS-CD'!H51</f>
        <v>0</v>
      </c>
      <c r="F65" s="1059">
        <f>'D6.Deviz ITDCS-CD'!I51</f>
        <v>0</v>
      </c>
      <c r="G65" s="1060">
        <f>'D6.Deviz ITDCS-CD'!J51</f>
        <v>0</v>
      </c>
      <c r="H65" s="1061">
        <f>'D6.Deviz ITDCS-CD'!K51</f>
        <v>0</v>
      </c>
    </row>
    <row r="66" spans="1:15" ht="14.25" customHeight="1">
      <c r="A66" s="1918" t="s">
        <v>181</v>
      </c>
      <c r="B66" s="1919"/>
      <c r="C66" s="1086">
        <f t="shared" ref="C66:H66" si="6">SUM(C62:C65)</f>
        <v>69920.100000000006</v>
      </c>
      <c r="D66" s="1087">
        <f t="shared" si="6"/>
        <v>14052.03</v>
      </c>
      <c r="E66" s="1086">
        <f t="shared" si="6"/>
        <v>13284.82</v>
      </c>
      <c r="F66" s="1087">
        <f t="shared" si="6"/>
        <v>2669.89</v>
      </c>
      <c r="G66" s="1088">
        <f t="shared" si="6"/>
        <v>83204.92</v>
      </c>
      <c r="H66" s="1089">
        <f t="shared" si="6"/>
        <v>16721.919999999998</v>
      </c>
    </row>
    <row r="67" spans="1:15" ht="14.25" customHeight="1">
      <c r="A67" s="1920" t="s">
        <v>182</v>
      </c>
      <c r="B67" s="1921"/>
      <c r="C67" s="1921"/>
      <c r="D67" s="1921"/>
      <c r="E67" s="1921"/>
      <c r="F67" s="1921"/>
      <c r="G67" s="1921"/>
      <c r="H67" s="1922"/>
    </row>
    <row r="68" spans="1:15" ht="14.25" customHeight="1">
      <c r="A68" s="1103"/>
      <c r="B68" s="1104"/>
      <c r="C68" s="1105">
        <v>0</v>
      </c>
      <c r="D68" s="1105"/>
      <c r="E68" s="1106">
        <v>0</v>
      </c>
      <c r="F68" s="1107"/>
      <c r="G68" s="1107"/>
      <c r="H68" s="1108">
        <v>0</v>
      </c>
    </row>
    <row r="69" spans="1:15" ht="14.25" customHeight="1">
      <c r="A69" s="1923" t="s">
        <v>185</v>
      </c>
      <c r="B69" s="1924"/>
      <c r="C69" s="1109">
        <v>0</v>
      </c>
      <c r="D69" s="1109"/>
      <c r="E69" s="1110">
        <v>0</v>
      </c>
      <c r="F69" s="1111"/>
      <c r="G69" s="1111"/>
      <c r="H69" s="1112">
        <v>0</v>
      </c>
    </row>
    <row r="70" spans="1:15" ht="12.95" customHeight="1">
      <c r="A70" s="1897" t="s">
        <v>186</v>
      </c>
      <c r="B70" s="1898"/>
      <c r="C70" s="1113">
        <f t="shared" ref="C70:H70" si="7">SUM(C40,C47,C53,C60,C66,C69)</f>
        <v>317103126.82499999</v>
      </c>
      <c r="D70" s="1087">
        <f t="shared" si="7"/>
        <v>63729074.060000002</v>
      </c>
      <c r="E70" s="1086">
        <f t="shared" si="7"/>
        <v>60249594.149999999</v>
      </c>
      <c r="F70" s="1087">
        <f t="shared" si="7"/>
        <v>12108524.08</v>
      </c>
      <c r="G70" s="1088">
        <f t="shared" si="7"/>
        <v>377352720.97500002</v>
      </c>
      <c r="H70" s="1089">
        <f t="shared" si="7"/>
        <v>75837598.140000001</v>
      </c>
      <c r="I70" s="1140"/>
      <c r="J70" t="s">
        <v>9</v>
      </c>
      <c r="K70" s="1141" t="s">
        <v>9</v>
      </c>
    </row>
    <row r="71" spans="1:15" ht="12.95" customHeight="1">
      <c r="A71" s="1114"/>
      <c r="B71" s="1115"/>
      <c r="C71" s="1116"/>
      <c r="D71" s="1116"/>
      <c r="E71" s="1116"/>
      <c r="F71" s="1117"/>
      <c r="G71" s="1117"/>
      <c r="H71" s="1118"/>
    </row>
    <row r="72" spans="1:15" ht="16.5" customHeight="1">
      <c r="A72" s="1927" t="s">
        <v>212</v>
      </c>
      <c r="B72" s="1928"/>
      <c r="C72" s="1119">
        <f t="shared" ref="C72:H72" si="8">+C70+C26</f>
        <v>320948754.32499999</v>
      </c>
      <c r="D72" s="1120">
        <f t="shared" si="8"/>
        <v>64501940.229999997</v>
      </c>
      <c r="E72" s="1119">
        <f t="shared" si="8"/>
        <v>60980263.380000003</v>
      </c>
      <c r="F72" s="1120">
        <f t="shared" si="8"/>
        <v>12255368.66</v>
      </c>
      <c r="G72" s="1088">
        <f t="shared" si="8"/>
        <v>381929017.70499998</v>
      </c>
      <c r="H72" s="1089">
        <f t="shared" si="8"/>
        <v>76757308.890000001</v>
      </c>
      <c r="I72" s="1123"/>
      <c r="J72" s="1127" t="s">
        <v>9</v>
      </c>
      <c r="K72" s="1129"/>
    </row>
    <row r="73" spans="1:15" ht="15.75">
      <c r="A73" s="1929" t="s">
        <v>243</v>
      </c>
      <c r="B73" s="1930"/>
      <c r="C73" s="1121">
        <f t="shared" ref="C73:H73" si="9">C40+C47+C26</f>
        <v>140036451.02500001</v>
      </c>
      <c r="D73" s="1120">
        <f t="shared" si="9"/>
        <v>28143504.77</v>
      </c>
      <c r="E73" s="1122">
        <f t="shared" si="9"/>
        <v>26606925.73</v>
      </c>
      <c r="F73" s="1120">
        <f t="shared" si="9"/>
        <v>5347265.9000000004</v>
      </c>
      <c r="G73" s="1088">
        <f t="shared" si="9"/>
        <v>166643376.755</v>
      </c>
      <c r="H73" s="1089">
        <f t="shared" si="9"/>
        <v>33490770.670000002</v>
      </c>
      <c r="I73" s="1135"/>
      <c r="J73" s="1135"/>
      <c r="K73" t="s">
        <v>9</v>
      </c>
      <c r="L73" t="s">
        <v>9</v>
      </c>
      <c r="M73" t="s">
        <v>9</v>
      </c>
      <c r="N73" t="s">
        <v>9</v>
      </c>
      <c r="O73" t="s">
        <v>9</v>
      </c>
    </row>
    <row r="74" spans="1:15" s="58" customFormat="1">
      <c r="A74"/>
      <c r="B74"/>
      <c r="C74"/>
      <c r="D74"/>
      <c r="E74"/>
      <c r="F74"/>
      <c r="G74"/>
      <c r="H74"/>
    </row>
    <row r="75" spans="1:15" s="58" customFormat="1">
      <c r="A75"/>
      <c r="B75" s="585" t="s">
        <v>9</v>
      </c>
      <c r="C75"/>
      <c r="D75"/>
      <c r="E75"/>
      <c r="F75"/>
      <c r="G75"/>
      <c r="H75"/>
    </row>
    <row r="76" spans="1:15" s="58" customFormat="1">
      <c r="A76"/>
      <c r="B76"/>
      <c r="C76"/>
      <c r="D76"/>
      <c r="E76"/>
      <c r="F76"/>
      <c r="G76"/>
      <c r="H76"/>
    </row>
    <row r="77" spans="1:15" s="58" customFormat="1" ht="25.5">
      <c r="A77" s="1123"/>
      <c r="B77" s="1124" t="str">
        <f>'DEVIZ GENERAL'!B168</f>
        <v>In preturi la data de :</v>
      </c>
      <c r="C77" s="1125" t="str">
        <f>'DEVIZ GENERAL'!C168</f>
        <v>inforeuro februarie 2025</v>
      </c>
      <c r="D77" s="1124" t="str">
        <f>'DEVIZ GENERAL'!D168</f>
        <v>1 Euro =</v>
      </c>
      <c r="E77" s="1126">
        <f>'DEVIZ GENERAL'!E168</f>
        <v>4.9757999999999996</v>
      </c>
      <c r="F77"/>
      <c r="G77"/>
      <c r="H77"/>
    </row>
    <row r="78" spans="1:15" s="58" customFormat="1">
      <c r="A78" s="1127"/>
      <c r="B78" s="1124"/>
      <c r="C78" s="1128"/>
      <c r="D78" s="1128"/>
      <c r="E78"/>
      <c r="F78"/>
      <c r="G78"/>
      <c r="H78"/>
    </row>
    <row r="79" spans="1:15" s="58" customFormat="1">
      <c r="A79" s="1127"/>
      <c r="B79" s="1098" t="s">
        <v>222</v>
      </c>
      <c r="C79" s="1128"/>
      <c r="D79" s="1128"/>
      <c r="E79" s="1129" t="s">
        <v>223</v>
      </c>
      <c r="F79" s="1129"/>
      <c r="G79" s="1129"/>
      <c r="H79" s="1129"/>
    </row>
    <row r="80" spans="1:15" s="58" customFormat="1">
      <c r="A80" s="1127"/>
      <c r="B80" s="1130" t="str">
        <f>data_deviz</f>
        <v>31.01.2025</v>
      </c>
      <c r="C80" s="1128"/>
      <c r="D80" s="1128"/>
      <c r="E80" s="1931" t="s">
        <v>225</v>
      </c>
      <c r="F80" s="1931"/>
      <c r="G80" s="1931"/>
      <c r="H80" s="1931"/>
    </row>
    <row r="81" spans="1:13" s="58" customFormat="1">
      <c r="A81"/>
      <c r="B81" s="1098" t="s">
        <v>226</v>
      </c>
      <c r="C81" s="103"/>
      <c r="D81" s="103"/>
      <c r="E81" s="1132"/>
      <c r="F81" s="1132"/>
      <c r="G81" s="1132"/>
      <c r="H81" s="1129"/>
    </row>
    <row r="82" spans="1:13" s="58" customFormat="1">
      <c r="A82"/>
      <c r="B82" s="441" t="s">
        <v>227</v>
      </c>
      <c r="C82"/>
      <c r="D82"/>
      <c r="E82"/>
      <c r="F82"/>
      <c r="G82"/>
      <c r="H82" s="1133" t="s">
        <v>228</v>
      </c>
    </row>
    <row r="83" spans="1:13" s="58" customFormat="1">
      <c r="A83" s="1123"/>
      <c r="B83" s="1127"/>
      <c r="C83" s="1129"/>
      <c r="D83" s="1129"/>
      <c r="E83"/>
      <c r="F83"/>
      <c r="G83"/>
      <c r="H83" s="707" t="s">
        <v>229</v>
      </c>
    </row>
    <row r="84" spans="1:13" s="58" customFormat="1">
      <c r="A84" s="1127"/>
      <c r="B84" s="1134"/>
      <c r="C84" s="1128"/>
      <c r="D84" s="1128"/>
      <c r="E84" s="1132"/>
      <c r="F84" s="1132"/>
      <c r="G84" s="1132"/>
      <c r="H84" s="1129"/>
    </row>
    <row r="85" spans="1:13">
      <c r="A85" s="1127"/>
      <c r="B85" s="1134"/>
      <c r="C85" s="1128"/>
      <c r="D85" s="1128"/>
      <c r="E85" s="1931"/>
      <c r="F85" s="1931"/>
      <c r="G85" s="1931"/>
      <c r="H85" s="1931"/>
    </row>
    <row r="86" spans="1:13">
      <c r="A86" s="1127"/>
      <c r="B86" s="1127"/>
      <c r="C86" s="103"/>
      <c r="D86" s="103"/>
      <c r="E86" s="1132"/>
      <c r="F86" s="1132"/>
      <c r="G86" s="1132"/>
      <c r="H86" s="1129"/>
    </row>
    <row r="87" spans="1:13">
      <c r="A87" s="1791"/>
      <c r="B87" s="1791"/>
    </row>
    <row r="88" spans="1:13" hidden="1">
      <c r="A88" s="1123"/>
      <c r="B88" s="1127" t="s">
        <v>9</v>
      </c>
      <c r="C88" s="1129"/>
      <c r="D88" s="1129"/>
    </row>
    <row r="89" spans="1:13" ht="15.75" hidden="1">
      <c r="A89" s="1135"/>
      <c r="B89" s="1135"/>
      <c r="C89" s="53" t="e">
        <f>#REF!+#REF!+#REF!+C70+C26</f>
        <v>#REF!</v>
      </c>
      <c r="D89" s="53"/>
      <c r="E89" t="s">
        <v>9</v>
      </c>
      <c r="H89" t="s">
        <v>9</v>
      </c>
      <c r="I89" t="s">
        <v>9</v>
      </c>
    </row>
    <row r="90" spans="1:13" hidden="1">
      <c r="C90" s="1136" t="e">
        <f>ROUND(C89/euro,0)</f>
        <v>#REF!</v>
      </c>
      <c r="D90" s="1136"/>
    </row>
    <row r="91" spans="1:13" hidden="1">
      <c r="B91" s="1131"/>
    </row>
    <row r="92" spans="1:13" ht="12.75" customHeight="1">
      <c r="A92" s="1137"/>
      <c r="B92" s="1131"/>
    </row>
    <row r="93" spans="1:13">
      <c r="A93" s="1137"/>
      <c r="B93" s="1138"/>
      <c r="C93" s="1138"/>
      <c r="D93" s="1138"/>
    </row>
    <row r="94" spans="1:13">
      <c r="A94" s="1137"/>
      <c r="B94" s="1138"/>
      <c r="C94" s="1138"/>
      <c r="D94" s="1138"/>
      <c r="M94" s="53"/>
    </row>
    <row r="95" spans="1:13">
      <c r="A95" s="1137"/>
      <c r="B95" s="1138"/>
      <c r="C95" s="1138"/>
      <c r="D95" s="1138"/>
    </row>
    <row r="96" spans="1:13" ht="12.75" customHeight="1">
      <c r="A96" s="1137"/>
      <c r="B96" s="1138"/>
      <c r="C96" s="1138"/>
      <c r="D96" s="1138"/>
    </row>
    <row r="97" spans="1:13" ht="15" customHeight="1">
      <c r="A97" s="1137"/>
      <c r="B97" s="1138"/>
      <c r="C97" s="1138"/>
      <c r="D97" s="1138"/>
    </row>
    <row r="98" spans="1:13">
      <c r="A98" s="1138"/>
      <c r="B98" s="1138"/>
      <c r="C98" s="1138"/>
      <c r="D98" s="1138"/>
    </row>
    <row r="99" spans="1:13" ht="15.75">
      <c r="A99" s="1139"/>
      <c r="B99" s="1139"/>
      <c r="C99" s="1139"/>
      <c r="D99" s="1139"/>
    </row>
    <row r="100" spans="1:13" ht="15" customHeight="1">
      <c r="A100" s="1137"/>
      <c r="B100" s="1138"/>
      <c r="C100" s="1138"/>
      <c r="D100" s="1138"/>
    </row>
    <row r="102" spans="1:13">
      <c r="M102" s="53"/>
    </row>
  </sheetData>
  <mergeCells count="34">
    <mergeCell ref="B1:H3"/>
    <mergeCell ref="A72:B72"/>
    <mergeCell ref="A73:B73"/>
    <mergeCell ref="E80:H80"/>
    <mergeCell ref="E85:H85"/>
    <mergeCell ref="A47:B47"/>
    <mergeCell ref="A48:H48"/>
    <mergeCell ref="A53:B53"/>
    <mergeCell ref="A55:H55"/>
    <mergeCell ref="A60:B60"/>
    <mergeCell ref="A28:H28"/>
    <mergeCell ref="B29:H29"/>
    <mergeCell ref="A34:H34"/>
    <mergeCell ref="A40:B40"/>
    <mergeCell ref="A41:H41"/>
    <mergeCell ref="A11:H11"/>
    <mergeCell ref="A87:B87"/>
    <mergeCell ref="A61:H61"/>
    <mergeCell ref="A66:B66"/>
    <mergeCell ref="A67:H67"/>
    <mergeCell ref="A69:B69"/>
    <mergeCell ref="A70:B70"/>
    <mergeCell ref="A22:B22"/>
    <mergeCell ref="A23:H23"/>
    <mergeCell ref="A26:B26"/>
    <mergeCell ref="A27:H27"/>
    <mergeCell ref="A5:H5"/>
    <mergeCell ref="A6:J6"/>
    <mergeCell ref="A7:H7"/>
    <mergeCell ref="C8:D8"/>
    <mergeCell ref="E8:F8"/>
    <mergeCell ref="G8:H8"/>
    <mergeCell ref="A8:A9"/>
    <mergeCell ref="B8:B9"/>
  </mergeCells>
  <pageMargins left="0.59055118110236204" right="0.59055118110236204" top="0.39370078740157499" bottom="0.39370078740157499" header="0.31496062992126" footer="0.31496062992126"/>
  <pageSetup paperSize="9" scale="44" orientation="portrait" r:id="rId1"/>
  <headerFooter alignWithMargins="0"/>
  <rowBreaks count="1" manualBreakCount="1">
    <brk id="84" max="4" man="1"/>
  </rowBreaks>
  <colBreaks count="1" manualBreakCount="1">
    <brk id="8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20</vt:i4>
      </vt:variant>
    </vt:vector>
  </HeadingPairs>
  <TitlesOfParts>
    <vt:vector size="50" baseType="lpstr">
      <vt:lpstr>Info gen</vt:lpstr>
      <vt:lpstr>DEVIZ GENERAL</vt:lpstr>
      <vt:lpstr>Deviz general curente</vt:lpstr>
      <vt:lpstr>esalonare investitie</vt:lpstr>
      <vt:lpstr>Finantare</vt:lpstr>
      <vt:lpstr>Schema Echiv_DB cst</vt:lpstr>
      <vt:lpstr>Schema Echiv_DB cu p.a.</vt:lpstr>
      <vt:lpstr>tabele SF</vt:lpstr>
      <vt:lpstr>D2.Deviz ITDCS-summary </vt:lpstr>
      <vt:lpstr>D3.Deviz ITDCS-CCU</vt:lpstr>
      <vt:lpstr>D4.Deviz ITDCS-TM</vt:lpstr>
      <vt:lpstr>D5.Deviz ITDCS-DA</vt:lpstr>
      <vt:lpstr>D6.Deviz ITDCS-CD</vt:lpstr>
      <vt:lpstr>D7.C&amp;T</vt:lpstr>
      <vt:lpstr>C&amp;T operator</vt:lpstr>
      <vt:lpstr>Sheet1</vt:lpstr>
      <vt:lpstr>D8.compostoare individuale</vt:lpstr>
      <vt:lpstr>B.2 Bugetul proiectului</vt:lpstr>
      <vt:lpstr>centralizator contracte</vt:lpstr>
      <vt:lpstr>planul achizitii</vt:lpstr>
      <vt:lpstr>Deviz CST Sotanga-op</vt:lpstr>
      <vt:lpstr>comparativ</vt:lpstr>
      <vt:lpstr>valoare AFM actualizata</vt:lpstr>
      <vt:lpstr>Bugetul</vt:lpstr>
      <vt:lpstr>G.1.2 plan anual</vt:lpstr>
      <vt:lpstr>contracte servicii</vt:lpstr>
      <vt:lpstr>contract furnizare</vt:lpstr>
      <vt:lpstr>Contract DBO</vt:lpstr>
      <vt:lpstr>contract lucrari</vt:lpstr>
      <vt:lpstr>Inv pe comp const</vt:lpstr>
      <vt:lpstr>coef</vt:lpstr>
      <vt:lpstr>crinv</vt:lpstr>
      <vt:lpstr>data_deviz</vt:lpstr>
      <vt:lpstr>data_valuta</vt:lpstr>
      <vt:lpstr>euro</vt:lpstr>
      <vt:lpstr>IPC</vt:lpstr>
      <vt:lpstr>'C&amp;T operator'!Print_Area</vt:lpstr>
      <vt:lpstr>'D2.Deviz ITDCS-summary '!Print_Area</vt:lpstr>
      <vt:lpstr>'D3.Deviz ITDCS-CCU'!Print_Area</vt:lpstr>
      <vt:lpstr>'D5.Deviz ITDCS-DA'!Print_Area</vt:lpstr>
      <vt:lpstr>'D6.Deviz ITDCS-CD'!Print_Area</vt:lpstr>
      <vt:lpstr>'D7.C&amp;T'!Print_Area</vt:lpstr>
      <vt:lpstr>'DEVIZ GENERAL'!Print_Area</vt:lpstr>
      <vt:lpstr>'Deviz general curente'!Print_Area</vt:lpstr>
      <vt:lpstr>'esalonare investitie'!Print_Area</vt:lpstr>
      <vt:lpstr>'Inv pe comp const'!Print_Area</vt:lpstr>
      <vt:lpstr>'Schema Echiv_DB cst'!Print_Area</vt:lpstr>
      <vt:lpstr>'Schema Echiv_DB cu p.a.'!Print_Area</vt:lpstr>
      <vt:lpstr>'tabele SF'!Print_Area</vt:lpstr>
      <vt:lpstr>TVA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Garlea</dc:creator>
  <cp:lastModifiedBy>Luminita Dragomir</cp:lastModifiedBy>
  <cp:lastPrinted>2025-06-26T09:01:05Z</cp:lastPrinted>
  <dcterms:created xsi:type="dcterms:W3CDTF">1996-10-14T23:33:00Z</dcterms:created>
  <dcterms:modified xsi:type="dcterms:W3CDTF">2025-06-26T09:04:12Z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96CC7A88D1CC45B3841E17686B6904A2_13</vt:lpwstr>
  </property>
  <property fmtid="{D5CDD505-2E9C-101B-9397-08002B2CF9AE}" pid="3" name="KSOProductBuildVer">
    <vt:lpwstr>1033-12.2.0.21546</vt:lpwstr>
  </property>
</Properties>
</file>