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00" firstSheet="3" activeTab="3"/>
  </bookViews>
  <sheets>
    <sheet name="CHIRIA 2024 10.4 (2)" sheetId="1" state="hidden" r:id="rId1"/>
    <sheet name="CHIRIA 2024 10.4" sheetId="2" state="hidden" r:id="rId2"/>
    <sheet name="Calcul chirie 2024 (supr. m" sheetId="4" state="hidden" r:id="rId3"/>
    <sheet name="Chirii_ 2026" sheetId="6" r:id="rId4"/>
    <sheet name="Chirii pe grupă de vârstă_2026" sheetId="10" r:id="rId5"/>
    <sheet name="Chirii_ 2026_Amortizare" sheetId="12" r:id="rId6"/>
    <sheet name="Chirii_ 2026_Novac" sheetId="8" r:id="rId7"/>
    <sheet name="Chirii_ 2026 Fătu" sheetId="9" r:id="rId8"/>
    <sheet name="Sheet1" sheetId="7" r:id="rId9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7" i="12" l="1"/>
  <c r="U227" i="12"/>
  <c r="T227" i="12"/>
  <c r="S227" i="12"/>
  <c r="O227" i="12"/>
  <c r="H227" i="12"/>
  <c r="F227" i="12"/>
  <c r="E227" i="12"/>
  <c r="G226" i="12"/>
  <c r="G227" i="12" s="1"/>
  <c r="F226" i="12"/>
  <c r="I226" i="12" s="1"/>
  <c r="I227" i="12" s="1"/>
  <c r="V220" i="12"/>
  <c r="I220" i="12"/>
  <c r="E220" i="12"/>
  <c r="S219" i="12"/>
  <c r="F219" i="12"/>
  <c r="H219" i="12" s="1"/>
  <c r="T218" i="12"/>
  <c r="G218" i="12"/>
  <c r="AE218" i="12" s="1"/>
  <c r="F218" i="12"/>
  <c r="H218" i="12" s="1"/>
  <c r="U217" i="12"/>
  <c r="U220" i="12" s="1"/>
  <c r="R217" i="12"/>
  <c r="G217" i="12"/>
  <c r="AE217" i="12" s="1"/>
  <c r="F217" i="12"/>
  <c r="H217" i="12" s="1"/>
  <c r="S216" i="12"/>
  <c r="AD216" i="12" s="1"/>
  <c r="F216" i="12"/>
  <c r="H216" i="12" s="1"/>
  <c r="F215" i="12"/>
  <c r="H215" i="12" s="1"/>
  <c r="T214" i="12"/>
  <c r="T220" i="12" s="1"/>
  <c r="F214" i="12"/>
  <c r="H214" i="12" s="1"/>
  <c r="F213" i="12"/>
  <c r="H213" i="12" s="1"/>
  <c r="F212" i="12"/>
  <c r="H212" i="12" s="1"/>
  <c r="X211" i="12"/>
  <c r="AB211" i="12" s="1"/>
  <c r="S211" i="12"/>
  <c r="S220" i="12" s="1"/>
  <c r="F211" i="12"/>
  <c r="F220" i="12" s="1"/>
  <c r="V200" i="12"/>
  <c r="U200" i="12"/>
  <c r="T200" i="12"/>
  <c r="E200" i="12"/>
  <c r="AE199" i="12"/>
  <c r="M199" i="12"/>
  <c r="K199" i="12"/>
  <c r="AC199" i="12" s="1"/>
  <c r="AF199" i="12" s="1"/>
  <c r="F199" i="12"/>
  <c r="H199" i="12" s="1"/>
  <c r="W198" i="12"/>
  <c r="X198" i="12" s="1"/>
  <c r="Y198" i="12" s="1"/>
  <c r="Z198" i="12" s="1"/>
  <c r="AA198" i="12" s="1"/>
  <c r="AB198" i="12" s="1"/>
  <c r="AD198" i="12" s="1"/>
  <c r="Q198" i="12"/>
  <c r="P198" i="12"/>
  <c r="O198" i="12"/>
  <c r="F198" i="12"/>
  <c r="H198" i="12" s="1"/>
  <c r="S197" i="12"/>
  <c r="AD197" i="12" s="1"/>
  <c r="F197" i="12"/>
  <c r="G197" i="12" s="1"/>
  <c r="AE197" i="12" s="1"/>
  <c r="AE196" i="12"/>
  <c r="W196" i="12"/>
  <c r="X196" i="12" s="1"/>
  <c r="Q196" i="12"/>
  <c r="P196" i="12"/>
  <c r="O196" i="12"/>
  <c r="H196" i="12"/>
  <c r="J196" i="12" s="1"/>
  <c r="F196" i="12"/>
  <c r="I196" i="12" s="1"/>
  <c r="AA195" i="12"/>
  <c r="AB195" i="12" s="1"/>
  <c r="S195" i="12"/>
  <c r="F195" i="12"/>
  <c r="I195" i="12" s="1"/>
  <c r="Z189" i="12"/>
  <c r="Y189" i="12"/>
  <c r="V189" i="12"/>
  <c r="U189" i="12"/>
  <c r="T189" i="12"/>
  <c r="S189" i="12"/>
  <c r="I189" i="12"/>
  <c r="E189" i="12"/>
  <c r="F188" i="12"/>
  <c r="F189" i="12" s="1"/>
  <c r="V179" i="12"/>
  <c r="U179" i="12"/>
  <c r="E179" i="12"/>
  <c r="X178" i="12"/>
  <c r="Y178" i="12" s="1"/>
  <c r="Z178" i="12" s="1"/>
  <c r="AA178" i="12" s="1"/>
  <c r="AB178" i="12" s="1"/>
  <c r="S178" i="12"/>
  <c r="AD178" i="12" s="1"/>
  <c r="F178" i="12"/>
  <c r="H178" i="12" s="1"/>
  <c r="S177" i="12"/>
  <c r="AD177" i="12" s="1"/>
  <c r="F177" i="12"/>
  <c r="H177" i="12" s="1"/>
  <c r="T176" i="12"/>
  <c r="T179" i="12" s="1"/>
  <c r="F176" i="12"/>
  <c r="H176" i="12" s="1"/>
  <c r="S175" i="12"/>
  <c r="AD175" i="12" s="1"/>
  <c r="F175" i="12"/>
  <c r="H175" i="12" s="1"/>
  <c r="F174" i="12"/>
  <c r="H174" i="12" s="1"/>
  <c r="S173" i="12"/>
  <c r="AD173" i="12" s="1"/>
  <c r="F173" i="12"/>
  <c r="H173" i="12" s="1"/>
  <c r="S172" i="12"/>
  <c r="AD172" i="12" s="1"/>
  <c r="G172" i="12"/>
  <c r="F172" i="12"/>
  <c r="H172" i="12" s="1"/>
  <c r="S171" i="12"/>
  <c r="F171" i="12"/>
  <c r="H171" i="12" s="1"/>
  <c r="S170" i="12"/>
  <c r="F170" i="12"/>
  <c r="H170" i="12" s="1"/>
  <c r="F169" i="12"/>
  <c r="F179" i="12" s="1"/>
  <c r="V162" i="12"/>
  <c r="U162" i="12"/>
  <c r="E162" i="12"/>
  <c r="S161" i="12"/>
  <c r="AD161" i="12" s="1"/>
  <c r="M161" i="12"/>
  <c r="K161" i="12"/>
  <c r="AC161" i="12" s="1"/>
  <c r="F161" i="12"/>
  <c r="H161" i="12" s="1"/>
  <c r="S160" i="12"/>
  <c r="S162" i="12" s="1"/>
  <c r="M160" i="12"/>
  <c r="K160" i="12"/>
  <c r="AC160" i="12" s="1"/>
  <c r="F160" i="12"/>
  <c r="H160" i="12" s="1"/>
  <c r="T159" i="12"/>
  <c r="T162" i="12" s="1"/>
  <c r="F159" i="12"/>
  <c r="H159" i="12" s="1"/>
  <c r="AD158" i="12"/>
  <c r="X158" i="12"/>
  <c r="Y158" i="12" s="1"/>
  <c r="Z158" i="12" s="1"/>
  <c r="AA158" i="12" s="1"/>
  <c r="AB158" i="12" s="1"/>
  <c r="F158" i="12"/>
  <c r="H158" i="12" s="1"/>
  <c r="M157" i="12"/>
  <c r="K157" i="12"/>
  <c r="AC157" i="12" s="1"/>
  <c r="F157" i="12"/>
  <c r="H157" i="12" s="1"/>
  <c r="G156" i="12"/>
  <c r="F156" i="12"/>
  <c r="AD149" i="12"/>
  <c r="V149" i="12"/>
  <c r="U149" i="12"/>
  <c r="T149" i="12"/>
  <c r="E149" i="12"/>
  <c r="S148" i="12"/>
  <c r="F148" i="12"/>
  <c r="G148" i="12" s="1"/>
  <c r="S147" i="12"/>
  <c r="S149" i="12" s="1"/>
  <c r="F147" i="12"/>
  <c r="I147" i="12" s="1"/>
  <c r="I149" i="12" s="1"/>
  <c r="V134" i="12"/>
  <c r="T134" i="12"/>
  <c r="E134" i="12"/>
  <c r="F133" i="12"/>
  <c r="H133" i="12" s="1"/>
  <c r="U132" i="12"/>
  <c r="U134" i="12" s="1"/>
  <c r="F132" i="12"/>
  <c r="H132" i="12" s="1"/>
  <c r="S131" i="12"/>
  <c r="S134" i="12" s="1"/>
  <c r="F131" i="12"/>
  <c r="F134" i="12" s="1"/>
  <c r="V123" i="12"/>
  <c r="U123" i="12"/>
  <c r="T123" i="12"/>
  <c r="I123" i="12"/>
  <c r="S122" i="12"/>
  <c r="AD122" i="12" s="1"/>
  <c r="F122" i="12"/>
  <c r="F123" i="12" s="1"/>
  <c r="V114" i="12"/>
  <c r="U114" i="12"/>
  <c r="T114" i="12"/>
  <c r="E114" i="12"/>
  <c r="F113" i="12"/>
  <c r="H113" i="12" s="1"/>
  <c r="S112" i="12"/>
  <c r="AD112" i="12" s="1"/>
  <c r="F112" i="12"/>
  <c r="H112" i="12" s="1"/>
  <c r="S111" i="12"/>
  <c r="AD111" i="12" s="1"/>
  <c r="F111" i="12"/>
  <c r="H111" i="12" s="1"/>
  <c r="X110" i="12"/>
  <c r="Y110" i="12" s="1"/>
  <c r="Z110" i="12" s="1"/>
  <c r="AA110" i="12" s="1"/>
  <c r="AB110" i="12" s="1"/>
  <c r="AD110" i="12" s="1"/>
  <c r="S110" i="12"/>
  <c r="F110" i="12"/>
  <c r="H110" i="12" s="1"/>
  <c r="G109" i="12"/>
  <c r="AE109" i="12" s="1"/>
  <c r="F109" i="12"/>
  <c r="H109" i="12" s="1"/>
  <c r="S108" i="12"/>
  <c r="AD108" i="12" s="1"/>
  <c r="F108" i="12"/>
  <c r="H108" i="12" s="1"/>
  <c r="V99" i="12"/>
  <c r="U99" i="12"/>
  <c r="T99" i="12"/>
  <c r="I99" i="12"/>
  <c r="E99" i="12"/>
  <c r="S98" i="12"/>
  <c r="S99" i="12" s="1"/>
  <c r="F98" i="12"/>
  <c r="H98" i="12" s="1"/>
  <c r="AD97" i="12"/>
  <c r="X97" i="12"/>
  <c r="F97" i="12"/>
  <c r="F99" i="12" s="1"/>
  <c r="V88" i="12"/>
  <c r="T88" i="12"/>
  <c r="E88" i="12"/>
  <c r="S87" i="12"/>
  <c r="Q87" i="12"/>
  <c r="P87" i="12"/>
  <c r="O87" i="12"/>
  <c r="W87" i="12" s="1"/>
  <c r="X87" i="12" s="1"/>
  <c r="Y87" i="12" s="1"/>
  <c r="Z87" i="12" s="1"/>
  <c r="AA87" i="12" s="1"/>
  <c r="AB87" i="12" s="1"/>
  <c r="F87" i="12"/>
  <c r="U86" i="12"/>
  <c r="U88" i="12" s="1"/>
  <c r="G86" i="12"/>
  <c r="AE86" i="12" s="1"/>
  <c r="F86" i="12"/>
  <c r="H86" i="12" s="1"/>
  <c r="S85" i="12"/>
  <c r="AD85" i="12" s="1"/>
  <c r="Q85" i="12"/>
  <c r="P85" i="12"/>
  <c r="O85" i="12"/>
  <c r="W85" i="12" s="1"/>
  <c r="X85" i="12" s="1"/>
  <c r="Y85" i="12" s="1"/>
  <c r="Z85" i="12" s="1"/>
  <c r="AA85" i="12" s="1"/>
  <c r="AB85" i="12" s="1"/>
  <c r="G85" i="12"/>
  <c r="AE85" i="12" s="1"/>
  <c r="F85" i="12"/>
  <c r="H85" i="12" s="1"/>
  <c r="F84" i="12"/>
  <c r="H84" i="12" s="1"/>
  <c r="S83" i="12"/>
  <c r="S88" i="12" s="1"/>
  <c r="F83" i="12"/>
  <c r="H83" i="12" s="1"/>
  <c r="V76" i="12"/>
  <c r="U76" i="12"/>
  <c r="I76" i="12"/>
  <c r="E76" i="12"/>
  <c r="S75" i="12"/>
  <c r="AD75" i="12" s="1"/>
  <c r="F75" i="12"/>
  <c r="H75" i="12" s="1"/>
  <c r="S74" i="12"/>
  <c r="AD74" i="12" s="1"/>
  <c r="F74" i="12"/>
  <c r="H74" i="12" s="1"/>
  <c r="T73" i="12"/>
  <c r="T76" i="12" s="1"/>
  <c r="F73" i="12"/>
  <c r="H73" i="12" s="1"/>
  <c r="S72" i="12"/>
  <c r="F72" i="12"/>
  <c r="H72" i="12" s="1"/>
  <c r="H76" i="12" s="1"/>
  <c r="V64" i="12"/>
  <c r="U64" i="12"/>
  <c r="T64" i="12"/>
  <c r="E64" i="12"/>
  <c r="S63" i="12"/>
  <c r="AD63" i="12" s="1"/>
  <c r="F63" i="12"/>
  <c r="H63" i="12" s="1"/>
  <c r="S62" i="12"/>
  <c r="AD62" i="12" s="1"/>
  <c r="H62" i="12"/>
  <c r="F62" i="12"/>
  <c r="S61" i="12"/>
  <c r="AD61" i="12" s="1"/>
  <c r="M61" i="12"/>
  <c r="K61" i="12"/>
  <c r="AC61" i="12" s="1"/>
  <c r="F61" i="12"/>
  <c r="H61" i="12" s="1"/>
  <c r="S60" i="12"/>
  <c r="H60" i="12"/>
  <c r="F60" i="12"/>
  <c r="S59" i="12"/>
  <c r="AD59" i="12" s="1"/>
  <c r="G59" i="12"/>
  <c r="F59" i="12"/>
  <c r="H59" i="12" s="1"/>
  <c r="S58" i="12"/>
  <c r="AD58" i="12" s="1"/>
  <c r="F58" i="12"/>
  <c r="H58" i="12" s="1"/>
  <c r="S57" i="12"/>
  <c r="AD57" i="12" s="1"/>
  <c r="M57" i="12"/>
  <c r="K57" i="12"/>
  <c r="AC57" i="12" s="1"/>
  <c r="F57" i="12"/>
  <c r="H57" i="12" s="1"/>
  <c r="AD56" i="12"/>
  <c r="X56" i="12"/>
  <c r="Y56" i="12" s="1"/>
  <c r="Z56" i="12" s="1"/>
  <c r="AA56" i="12" s="1"/>
  <c r="AB56" i="12" s="1"/>
  <c r="G56" i="12"/>
  <c r="F56" i="12"/>
  <c r="H56" i="12" s="1"/>
  <c r="S55" i="12"/>
  <c r="G55" i="12"/>
  <c r="AE55" i="12" s="1"/>
  <c r="F55" i="12"/>
  <c r="H55" i="12" s="1"/>
  <c r="Y41" i="12"/>
  <c r="V41" i="12"/>
  <c r="U41" i="12"/>
  <c r="T41" i="12"/>
  <c r="E41" i="12"/>
  <c r="S40" i="12"/>
  <c r="AD40" i="12" s="1"/>
  <c r="F40" i="12"/>
  <c r="H40" i="12" s="1"/>
  <c r="AD39" i="12"/>
  <c r="S39" i="12"/>
  <c r="F39" i="12"/>
  <c r="H39" i="12" s="1"/>
  <c r="S38" i="12"/>
  <c r="F38" i="12"/>
  <c r="H38" i="12" s="1"/>
  <c r="S37" i="12"/>
  <c r="AD37" i="12" s="1"/>
  <c r="Q37" i="12"/>
  <c r="P37" i="12"/>
  <c r="O37" i="12"/>
  <c r="W37" i="12" s="1"/>
  <c r="X37" i="12" s="1"/>
  <c r="Z37" i="12" s="1"/>
  <c r="AA37" i="12" s="1"/>
  <c r="AB37" i="12" s="1"/>
  <c r="G37" i="12"/>
  <c r="AE37" i="12" s="1"/>
  <c r="F37" i="12"/>
  <c r="H37" i="12" s="1"/>
  <c r="S36" i="12"/>
  <c r="G36" i="12"/>
  <c r="AE36" i="12" s="1"/>
  <c r="F36" i="12"/>
  <c r="H36" i="12" s="1"/>
  <c r="S35" i="12"/>
  <c r="F35" i="12"/>
  <c r="H35" i="12" s="1"/>
  <c r="S34" i="12"/>
  <c r="G34" i="12"/>
  <c r="AE34" i="12" s="1"/>
  <c r="F34" i="12"/>
  <c r="H34" i="12" s="1"/>
  <c r="AD33" i="12"/>
  <c r="X33" i="12"/>
  <c r="Z33" i="12" s="1"/>
  <c r="AA33" i="12" s="1"/>
  <c r="AB33" i="12" s="1"/>
  <c r="F33" i="12"/>
  <c r="H33" i="12" s="1"/>
  <c r="S32" i="12"/>
  <c r="S41" i="12" s="1"/>
  <c r="F32" i="12"/>
  <c r="F41" i="12" s="1"/>
  <c r="Y20" i="12"/>
  <c r="V20" i="12"/>
  <c r="U20" i="12"/>
  <c r="E20" i="12"/>
  <c r="S19" i="12"/>
  <c r="AD19" i="12" s="1"/>
  <c r="G19" i="12"/>
  <c r="J19" i="12" s="1"/>
  <c r="F19" i="12"/>
  <c r="H19" i="12" s="1"/>
  <c r="T18" i="12"/>
  <c r="F18" i="12"/>
  <c r="G18" i="12" s="1"/>
  <c r="S17" i="12"/>
  <c r="AD17" i="12" s="1"/>
  <c r="F17" i="12"/>
  <c r="H17" i="12" s="1"/>
  <c r="F16" i="12"/>
  <c r="H16" i="12" s="1"/>
  <c r="S15" i="12"/>
  <c r="F15" i="12"/>
  <c r="H15" i="12" s="1"/>
  <c r="T14" i="12"/>
  <c r="T20" i="12" s="1"/>
  <c r="F14" i="12"/>
  <c r="H14" i="12" s="1"/>
  <c r="S13" i="12"/>
  <c r="G13" i="12"/>
  <c r="AE13" i="12" s="1"/>
  <c r="F13" i="12"/>
  <c r="H13" i="12" s="1"/>
  <c r="S20" i="12" l="1"/>
  <c r="G16" i="12"/>
  <c r="AE16" i="12" s="1"/>
  <c r="G17" i="12"/>
  <c r="AE17" i="12" s="1"/>
  <c r="H18" i="12"/>
  <c r="G32" i="12"/>
  <c r="G33" i="12"/>
  <c r="I34" i="12"/>
  <c r="I36" i="12"/>
  <c r="I37" i="12"/>
  <c r="G74" i="12"/>
  <c r="AE74" i="12" s="1"/>
  <c r="I83" i="12"/>
  <c r="I84" i="12"/>
  <c r="I86" i="12"/>
  <c r="J86" i="12" s="1"/>
  <c r="F88" i="12"/>
  <c r="I109" i="12"/>
  <c r="J109" i="12" s="1"/>
  <c r="G110" i="12"/>
  <c r="AE110" i="12" s="1"/>
  <c r="S114" i="12"/>
  <c r="G111" i="12"/>
  <c r="AE111" i="12" s="1"/>
  <c r="G113" i="12"/>
  <c r="AE113" i="12" s="1"/>
  <c r="I132" i="12"/>
  <c r="I161" i="12"/>
  <c r="L161" i="12" s="1"/>
  <c r="G170" i="12"/>
  <c r="I172" i="12"/>
  <c r="I174" i="12"/>
  <c r="G175" i="12"/>
  <c r="I177" i="12"/>
  <c r="G188" i="12"/>
  <c r="G189" i="12" s="1"/>
  <c r="G195" i="12"/>
  <c r="S200" i="12"/>
  <c r="G211" i="12"/>
  <c r="G212" i="12"/>
  <c r="AE212" i="12" s="1"/>
  <c r="G213" i="12"/>
  <c r="AE213" i="12" s="1"/>
  <c r="G214" i="12"/>
  <c r="AE214" i="12" s="1"/>
  <c r="G215" i="12"/>
  <c r="AE215" i="12" s="1"/>
  <c r="G216" i="12"/>
  <c r="AE216" i="12" s="1"/>
  <c r="J217" i="12"/>
  <c r="G219" i="12"/>
  <c r="AE219" i="12" s="1"/>
  <c r="H20" i="12"/>
  <c r="G14" i="12"/>
  <c r="AE14" i="12" s="1"/>
  <c r="I32" i="12"/>
  <c r="I33" i="12"/>
  <c r="J33" i="12" s="1"/>
  <c r="H64" i="12"/>
  <c r="I55" i="12"/>
  <c r="I56" i="12"/>
  <c r="I59" i="12"/>
  <c r="G73" i="12"/>
  <c r="AE73" i="12" s="1"/>
  <c r="J74" i="12"/>
  <c r="K74" i="12" s="1"/>
  <c r="G75" i="12"/>
  <c r="J75" i="12" s="1"/>
  <c r="G83" i="12"/>
  <c r="AE83" i="12" s="1"/>
  <c r="G84" i="12"/>
  <c r="AE84" i="12" s="1"/>
  <c r="I85" i="12"/>
  <c r="I110" i="12"/>
  <c r="I111" i="12"/>
  <c r="J111" i="12" s="1"/>
  <c r="I113" i="12"/>
  <c r="G132" i="12"/>
  <c r="AE132" i="12" s="1"/>
  <c r="F162" i="12"/>
  <c r="I156" i="12"/>
  <c r="G161" i="12"/>
  <c r="AE161" i="12" s="1"/>
  <c r="AF161" i="12" s="1"/>
  <c r="N161" i="12"/>
  <c r="P161" i="12" s="1"/>
  <c r="I170" i="12"/>
  <c r="G174" i="12"/>
  <c r="J174" i="12" s="1"/>
  <c r="M174" i="12" s="1"/>
  <c r="I175" i="12"/>
  <c r="G177" i="12"/>
  <c r="AE177" i="12" s="1"/>
  <c r="J215" i="12"/>
  <c r="M215" i="12" s="1"/>
  <c r="J18" i="12"/>
  <c r="AE18" i="12"/>
  <c r="K19" i="12"/>
  <c r="M19" i="12"/>
  <c r="J55" i="12"/>
  <c r="M74" i="12"/>
  <c r="J13" i="12"/>
  <c r="J16" i="12"/>
  <c r="AE19" i="12"/>
  <c r="F20" i="12"/>
  <c r="AE32" i="12"/>
  <c r="AE33" i="12"/>
  <c r="G15" i="12"/>
  <c r="AD15" i="12"/>
  <c r="G20" i="12"/>
  <c r="H32" i="12"/>
  <c r="H41" i="12" s="1"/>
  <c r="J32" i="12"/>
  <c r="AD32" i="12"/>
  <c r="J34" i="12"/>
  <c r="G35" i="12"/>
  <c r="I35" i="12"/>
  <c r="J36" i="12"/>
  <c r="K36" i="12" s="1"/>
  <c r="J37" i="12"/>
  <c r="G38" i="12"/>
  <c r="I38" i="12"/>
  <c r="G39" i="12"/>
  <c r="I39" i="12"/>
  <c r="G40" i="12"/>
  <c r="I40" i="12"/>
  <c r="S64" i="12"/>
  <c r="AD55" i="12"/>
  <c r="I60" i="12"/>
  <c r="G60" i="12"/>
  <c r="I61" i="12"/>
  <c r="G61" i="12"/>
  <c r="AE61" i="12" s="1"/>
  <c r="AF61" i="12" s="1"/>
  <c r="AG61" i="12" s="1"/>
  <c r="N61" i="12"/>
  <c r="I62" i="12"/>
  <c r="J62" i="12" s="1"/>
  <c r="K62" i="12" s="1"/>
  <c r="G62" i="12"/>
  <c r="AE62" i="12" s="1"/>
  <c r="S76" i="12"/>
  <c r="AD72" i="12"/>
  <c r="J73" i="12"/>
  <c r="H114" i="12"/>
  <c r="AE56" i="12"/>
  <c r="J56" i="12"/>
  <c r="I57" i="12"/>
  <c r="I64" i="12" s="1"/>
  <c r="G57" i="12"/>
  <c r="AE57" i="12" s="1"/>
  <c r="AF57" i="12" s="1"/>
  <c r="AG57" i="12" s="1"/>
  <c r="N57" i="12"/>
  <c r="I58" i="12"/>
  <c r="G58" i="12"/>
  <c r="AE59" i="12"/>
  <c r="J59" i="12"/>
  <c r="I63" i="12"/>
  <c r="G63" i="12"/>
  <c r="F64" i="12"/>
  <c r="F76" i="12"/>
  <c r="G72" i="12"/>
  <c r="M75" i="12"/>
  <c r="K75" i="12"/>
  <c r="AD123" i="12"/>
  <c r="AE75" i="12"/>
  <c r="J83" i="12"/>
  <c r="J84" i="12"/>
  <c r="J85" i="12"/>
  <c r="G87" i="12"/>
  <c r="I87" i="12"/>
  <c r="G88" i="12"/>
  <c r="G97" i="12"/>
  <c r="Y97" i="12"/>
  <c r="G98" i="12"/>
  <c r="AD98" i="12"/>
  <c r="AD99" i="12" s="1"/>
  <c r="G108" i="12"/>
  <c r="I108" i="12"/>
  <c r="I114" i="12" s="1"/>
  <c r="J110" i="12"/>
  <c r="G112" i="12"/>
  <c r="I112" i="12"/>
  <c r="J113" i="12"/>
  <c r="F114" i="12"/>
  <c r="G122" i="12"/>
  <c r="S123" i="12"/>
  <c r="G131" i="12"/>
  <c r="I131" i="12"/>
  <c r="AD131" i="12"/>
  <c r="AE148" i="12"/>
  <c r="AG161" i="12"/>
  <c r="H87" i="12"/>
  <c r="H88" i="12" s="1"/>
  <c r="H97" i="12"/>
  <c r="H99" i="12" s="1"/>
  <c r="H122" i="12"/>
  <c r="H123" i="12" s="1"/>
  <c r="H131" i="12"/>
  <c r="H134" i="12" s="1"/>
  <c r="J132" i="12"/>
  <c r="G133" i="12"/>
  <c r="I133" i="12"/>
  <c r="H147" i="12"/>
  <c r="H148" i="12"/>
  <c r="J148" i="12" s="1"/>
  <c r="F149" i="12"/>
  <c r="H156" i="12"/>
  <c r="H162" i="12" s="1"/>
  <c r="L156" i="12"/>
  <c r="AE156" i="12"/>
  <c r="G157" i="12"/>
  <c r="AE157" i="12" s="1"/>
  <c r="AF157" i="12" s="1"/>
  <c r="I157" i="12"/>
  <c r="L157" i="12" s="1"/>
  <c r="N157" i="12"/>
  <c r="G158" i="12"/>
  <c r="I158" i="12"/>
  <c r="L158" i="12" s="1"/>
  <c r="G159" i="12"/>
  <c r="I159" i="12"/>
  <c r="L159" i="12" s="1"/>
  <c r="G160" i="12"/>
  <c r="AE160" i="12" s="1"/>
  <c r="AF160" i="12" s="1"/>
  <c r="I160" i="12"/>
  <c r="L160" i="12" s="1"/>
  <c r="N160" i="12"/>
  <c r="AD160" i="12"/>
  <c r="Q161" i="12"/>
  <c r="G169" i="12"/>
  <c r="I169" i="12"/>
  <c r="S179" i="12"/>
  <c r="AD170" i="12"/>
  <c r="I171" i="12"/>
  <c r="G171" i="12"/>
  <c r="AE172" i="12"/>
  <c r="J172" i="12"/>
  <c r="I176" i="12"/>
  <c r="G176" i="12"/>
  <c r="AF196" i="12"/>
  <c r="G147" i="12"/>
  <c r="H169" i="12"/>
  <c r="H179" i="12" s="1"/>
  <c r="AE170" i="12"/>
  <c r="J170" i="12"/>
  <c r="I173" i="12"/>
  <c r="G173" i="12"/>
  <c r="AE175" i="12"/>
  <c r="J175" i="12"/>
  <c r="M196" i="12"/>
  <c r="K196" i="12"/>
  <c r="AC196" i="12" s="1"/>
  <c r="Y196" i="12"/>
  <c r="G178" i="12"/>
  <c r="I178" i="12"/>
  <c r="H188" i="12"/>
  <c r="H189" i="12" s="1"/>
  <c r="AE188" i="12"/>
  <c r="F200" i="12"/>
  <c r="H195" i="12"/>
  <c r="H200" i="12" s="1"/>
  <c r="AD195" i="12"/>
  <c r="J197" i="12"/>
  <c r="G198" i="12"/>
  <c r="I198" i="12"/>
  <c r="I199" i="12"/>
  <c r="I200" i="12" s="1"/>
  <c r="AD211" i="12"/>
  <c r="K217" i="12"/>
  <c r="M217" i="12"/>
  <c r="G200" i="12"/>
  <c r="AE195" i="12"/>
  <c r="K215" i="12"/>
  <c r="N199" i="12"/>
  <c r="H211" i="12"/>
  <c r="H220" i="12" s="1"/>
  <c r="J216" i="12"/>
  <c r="J218" i="12"/>
  <c r="AE226" i="12"/>
  <c r="J211" i="12"/>
  <c r="AE211" i="12"/>
  <c r="J212" i="12"/>
  <c r="J213" i="12"/>
  <c r="J226" i="12"/>
  <c r="I290" i="10"/>
  <c r="E290" i="10"/>
  <c r="E88" i="6"/>
  <c r="E64" i="6"/>
  <c r="AG290" i="10"/>
  <c r="AF290" i="10"/>
  <c r="AE290" i="10"/>
  <c r="AD290" i="10"/>
  <c r="AC290" i="10"/>
  <c r="AB290" i="10"/>
  <c r="AA290" i="10"/>
  <c r="Z290" i="10"/>
  <c r="Y290" i="10"/>
  <c r="X290" i="10"/>
  <c r="W290" i="10"/>
  <c r="Q290" i="10"/>
  <c r="P290" i="10"/>
  <c r="O290" i="10"/>
  <c r="N290" i="10"/>
  <c r="K290" i="10"/>
  <c r="J290" i="10"/>
  <c r="H290" i="10"/>
  <c r="G290" i="10"/>
  <c r="F290" i="10"/>
  <c r="AE41" i="10"/>
  <c r="AD41" i="10"/>
  <c r="AC41" i="10"/>
  <c r="AB41" i="10"/>
  <c r="AA41" i="10"/>
  <c r="Z41" i="10"/>
  <c r="Y41" i="10"/>
  <c r="X41" i="10"/>
  <c r="W41" i="10"/>
  <c r="AG41" i="10"/>
  <c r="AF41" i="10"/>
  <c r="U41" i="10"/>
  <c r="T41" i="10"/>
  <c r="S41" i="10"/>
  <c r="Q41" i="10"/>
  <c r="P41" i="10"/>
  <c r="O41" i="10"/>
  <c r="N41" i="10"/>
  <c r="K41" i="10"/>
  <c r="J41" i="10"/>
  <c r="H41" i="10"/>
  <c r="G41" i="10"/>
  <c r="F41" i="10"/>
  <c r="E41" i="10"/>
  <c r="V290" i="10"/>
  <c r="U290" i="10"/>
  <c r="T290" i="10"/>
  <c r="S290" i="10"/>
  <c r="V41" i="10"/>
  <c r="I41" i="10"/>
  <c r="V20" i="6"/>
  <c r="AG101" i="10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Q101" i="10"/>
  <c r="P101" i="10"/>
  <c r="O101" i="10"/>
  <c r="N101" i="10"/>
  <c r="K101" i="10"/>
  <c r="J101" i="10"/>
  <c r="I101" i="10"/>
  <c r="H101" i="10"/>
  <c r="G101" i="10"/>
  <c r="F101" i="10"/>
  <c r="E101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Q39" i="10"/>
  <c r="P39" i="10"/>
  <c r="O39" i="10"/>
  <c r="N39" i="10"/>
  <c r="K39" i="10"/>
  <c r="J39" i="10"/>
  <c r="H39" i="10"/>
  <c r="G39" i="10"/>
  <c r="F39" i="10"/>
  <c r="E39" i="10"/>
  <c r="M39" i="10"/>
  <c r="I39" i="10"/>
  <c r="M101" i="10"/>
  <c r="E118" i="10"/>
  <c r="T118" i="10"/>
  <c r="U118" i="10"/>
  <c r="V118" i="10"/>
  <c r="E130" i="10"/>
  <c r="I130" i="10"/>
  <c r="U130" i="10"/>
  <c r="V130" i="10"/>
  <c r="E142" i="10"/>
  <c r="T142" i="10"/>
  <c r="V142" i="10"/>
  <c r="E153" i="10"/>
  <c r="I153" i="10"/>
  <c r="T153" i="10"/>
  <c r="U153" i="10"/>
  <c r="V153" i="10"/>
  <c r="E171" i="10"/>
  <c r="T171" i="10"/>
  <c r="U171" i="10"/>
  <c r="V171" i="10"/>
  <c r="I180" i="10"/>
  <c r="T180" i="10"/>
  <c r="U180" i="10"/>
  <c r="V180" i="10"/>
  <c r="E191" i="10"/>
  <c r="T191" i="10"/>
  <c r="V191" i="10"/>
  <c r="E206" i="10"/>
  <c r="T206" i="10"/>
  <c r="U206" i="10"/>
  <c r="V206" i="10"/>
  <c r="AD206" i="10"/>
  <c r="E220" i="10"/>
  <c r="U220" i="10"/>
  <c r="V220" i="10"/>
  <c r="E238" i="10"/>
  <c r="U238" i="10"/>
  <c r="V238" i="10"/>
  <c r="E249" i="10"/>
  <c r="I249" i="10"/>
  <c r="S249" i="10"/>
  <c r="T249" i="10"/>
  <c r="U249" i="10"/>
  <c r="V249" i="10"/>
  <c r="Y249" i="10"/>
  <c r="Z249" i="10"/>
  <c r="E260" i="10"/>
  <c r="T260" i="10"/>
  <c r="U260" i="10"/>
  <c r="V260" i="10"/>
  <c r="E280" i="10"/>
  <c r="I280" i="10"/>
  <c r="V280" i="10"/>
  <c r="E287" i="10"/>
  <c r="H287" i="10"/>
  <c r="O287" i="10"/>
  <c r="S287" i="10"/>
  <c r="T287" i="10"/>
  <c r="U287" i="10"/>
  <c r="V287" i="10"/>
  <c r="F100" i="10"/>
  <c r="I100" i="10" s="1"/>
  <c r="I287" i="10" s="1"/>
  <c r="S38" i="10"/>
  <c r="F38" i="10"/>
  <c r="H38" i="10" s="1"/>
  <c r="T37" i="10"/>
  <c r="F37" i="10"/>
  <c r="H37" i="10" s="1"/>
  <c r="R36" i="10"/>
  <c r="U36" i="10" s="1"/>
  <c r="U280" i="10" s="1"/>
  <c r="F36" i="10"/>
  <c r="H36" i="10" s="1"/>
  <c r="S35" i="10"/>
  <c r="AD35" i="10" s="1"/>
  <c r="F35" i="10"/>
  <c r="H35" i="10" s="1"/>
  <c r="F34" i="10"/>
  <c r="H34" i="10" s="1"/>
  <c r="T33" i="10"/>
  <c r="T280" i="10" s="1"/>
  <c r="F33" i="10"/>
  <c r="H33" i="10" s="1"/>
  <c r="F32" i="10"/>
  <c r="H32" i="10" s="1"/>
  <c r="F31" i="10"/>
  <c r="H31" i="10" s="1"/>
  <c r="X30" i="10"/>
  <c r="AB30" i="10" s="1"/>
  <c r="S30" i="10"/>
  <c r="S280" i="10" s="1"/>
  <c r="F30" i="10"/>
  <c r="G30" i="10" s="1"/>
  <c r="AE99" i="10"/>
  <c r="M99" i="10"/>
  <c r="K99" i="10"/>
  <c r="AC99" i="10" s="1"/>
  <c r="AF99" i="10" s="1"/>
  <c r="F99" i="10"/>
  <c r="H99" i="10" s="1"/>
  <c r="W98" i="10"/>
  <c r="X98" i="10" s="1"/>
  <c r="Y98" i="10" s="1"/>
  <c r="Z98" i="10" s="1"/>
  <c r="AA98" i="10" s="1"/>
  <c r="AB98" i="10" s="1"/>
  <c r="AD98" i="10" s="1"/>
  <c r="Q98" i="10"/>
  <c r="P98" i="10"/>
  <c r="O98" i="10"/>
  <c r="F98" i="10"/>
  <c r="H98" i="10" s="1"/>
  <c r="S97" i="10"/>
  <c r="AD97" i="10" s="1"/>
  <c r="F97" i="10"/>
  <c r="G97" i="10" s="1"/>
  <c r="AE97" i="10" s="1"/>
  <c r="AE96" i="10"/>
  <c r="W96" i="10"/>
  <c r="X96" i="10" s="1"/>
  <c r="Q96" i="10"/>
  <c r="P96" i="10"/>
  <c r="O96" i="10"/>
  <c r="F96" i="10"/>
  <c r="H96" i="10" s="1"/>
  <c r="AA95" i="10"/>
  <c r="AB95" i="10" s="1"/>
  <c r="S95" i="10"/>
  <c r="S260" i="10" s="1"/>
  <c r="F95" i="10"/>
  <c r="H95" i="10" s="1"/>
  <c r="F29" i="10"/>
  <c r="G29" i="10" s="1"/>
  <c r="G249" i="10" s="1"/>
  <c r="X94" i="10"/>
  <c r="Y94" i="10" s="1"/>
  <c r="Z94" i="10" s="1"/>
  <c r="AA94" i="10" s="1"/>
  <c r="AB94" i="10" s="1"/>
  <c r="S94" i="10"/>
  <c r="AD94" i="10" s="1"/>
  <c r="F94" i="10"/>
  <c r="H94" i="10" s="1"/>
  <c r="S93" i="10"/>
  <c r="AD93" i="10" s="1"/>
  <c r="F93" i="10"/>
  <c r="H93" i="10" s="1"/>
  <c r="T92" i="10"/>
  <c r="T238" i="10" s="1"/>
  <c r="F92" i="10"/>
  <c r="H92" i="10" s="1"/>
  <c r="S91" i="10"/>
  <c r="AD91" i="10" s="1"/>
  <c r="F91" i="10"/>
  <c r="H91" i="10" s="1"/>
  <c r="F90" i="10"/>
  <c r="H90" i="10" s="1"/>
  <c r="S89" i="10"/>
  <c r="AD89" i="10" s="1"/>
  <c r="F89" i="10"/>
  <c r="H89" i="10" s="1"/>
  <c r="S88" i="10"/>
  <c r="AD88" i="10" s="1"/>
  <c r="F88" i="10"/>
  <c r="H88" i="10" s="1"/>
  <c r="S87" i="10"/>
  <c r="F87" i="10"/>
  <c r="S86" i="10"/>
  <c r="S238" i="10" s="1"/>
  <c r="F86" i="10"/>
  <c r="H86" i="10" s="1"/>
  <c r="F85" i="10"/>
  <c r="S84" i="10"/>
  <c r="AD84" i="10" s="1"/>
  <c r="M84" i="10"/>
  <c r="K84" i="10"/>
  <c r="N84" i="10" s="1"/>
  <c r="P84" i="10" s="1"/>
  <c r="F84" i="10"/>
  <c r="H84" i="10" s="1"/>
  <c r="S83" i="10"/>
  <c r="S220" i="10" s="1"/>
  <c r="M83" i="10"/>
  <c r="K83" i="10"/>
  <c r="AC83" i="10" s="1"/>
  <c r="F83" i="10"/>
  <c r="H83" i="10" s="1"/>
  <c r="T82" i="10"/>
  <c r="T220" i="10" s="1"/>
  <c r="F82" i="10"/>
  <c r="H82" i="10" s="1"/>
  <c r="AD81" i="10"/>
  <c r="X81" i="10"/>
  <c r="Y81" i="10" s="1"/>
  <c r="Z81" i="10" s="1"/>
  <c r="AA81" i="10" s="1"/>
  <c r="AB81" i="10" s="1"/>
  <c r="F81" i="10"/>
  <c r="H81" i="10" s="1"/>
  <c r="M80" i="10"/>
  <c r="K80" i="10"/>
  <c r="N80" i="10" s="1"/>
  <c r="P80" i="10" s="1"/>
  <c r="F80" i="10"/>
  <c r="H80" i="10" s="1"/>
  <c r="F79" i="10"/>
  <c r="S28" i="10"/>
  <c r="F28" i="10"/>
  <c r="G28" i="10" s="1"/>
  <c r="AE28" i="10" s="1"/>
  <c r="S27" i="10"/>
  <c r="S206" i="10" s="1"/>
  <c r="F27" i="10"/>
  <c r="F78" i="10"/>
  <c r="H78" i="10" s="1"/>
  <c r="U77" i="10"/>
  <c r="U191" i="10" s="1"/>
  <c r="F77" i="10"/>
  <c r="H77" i="10" s="1"/>
  <c r="S76" i="10"/>
  <c r="S191" i="10" s="1"/>
  <c r="F76" i="10"/>
  <c r="S26" i="10"/>
  <c r="F26" i="10"/>
  <c r="F180" i="10" s="1"/>
  <c r="F75" i="10"/>
  <c r="H75" i="10" s="1"/>
  <c r="S74" i="10"/>
  <c r="AD74" i="10" s="1"/>
  <c r="F74" i="10"/>
  <c r="H74" i="10" s="1"/>
  <c r="S73" i="10"/>
  <c r="AD73" i="10" s="1"/>
  <c r="F73" i="10"/>
  <c r="H73" i="10" s="1"/>
  <c r="X72" i="10"/>
  <c r="Y72" i="10" s="1"/>
  <c r="Z72" i="10" s="1"/>
  <c r="AA72" i="10" s="1"/>
  <c r="AB72" i="10" s="1"/>
  <c r="AD72" i="10" s="1"/>
  <c r="S72" i="10"/>
  <c r="F72" i="10"/>
  <c r="H72" i="10" s="1"/>
  <c r="F71" i="10"/>
  <c r="H71" i="10" s="1"/>
  <c r="S70" i="10"/>
  <c r="F70" i="10"/>
  <c r="S25" i="10"/>
  <c r="S153" i="10" s="1"/>
  <c r="F25" i="10"/>
  <c r="H25" i="10" s="1"/>
  <c r="AD24" i="10"/>
  <c r="X24" i="10"/>
  <c r="F24" i="10"/>
  <c r="S69" i="10"/>
  <c r="Q69" i="10"/>
  <c r="P69" i="10"/>
  <c r="O69" i="10"/>
  <c r="W69" i="10" s="1"/>
  <c r="X69" i="10" s="1"/>
  <c r="Y69" i="10" s="1"/>
  <c r="Z69" i="10" s="1"/>
  <c r="AA69" i="10" s="1"/>
  <c r="AB69" i="10" s="1"/>
  <c r="F69" i="10"/>
  <c r="H69" i="10" s="1"/>
  <c r="U68" i="10"/>
  <c r="U142" i="10" s="1"/>
  <c r="F68" i="10"/>
  <c r="H68" i="10" s="1"/>
  <c r="S67" i="10"/>
  <c r="Q67" i="10"/>
  <c r="P67" i="10"/>
  <c r="O67" i="10"/>
  <c r="W67" i="10" s="1"/>
  <c r="X67" i="10" s="1"/>
  <c r="Y67" i="10" s="1"/>
  <c r="Z67" i="10" s="1"/>
  <c r="AA67" i="10" s="1"/>
  <c r="AB67" i="10" s="1"/>
  <c r="F67" i="10"/>
  <c r="H67" i="10" s="1"/>
  <c r="F66" i="10"/>
  <c r="H66" i="10" s="1"/>
  <c r="S65" i="10"/>
  <c r="S142" i="10" s="1"/>
  <c r="F65" i="10"/>
  <c r="S23" i="10"/>
  <c r="AD23" i="10" s="1"/>
  <c r="F23" i="10"/>
  <c r="H23" i="10" s="1"/>
  <c r="S22" i="10"/>
  <c r="AD22" i="10" s="1"/>
  <c r="F22" i="10"/>
  <c r="H22" i="10" s="1"/>
  <c r="T21" i="10"/>
  <c r="T130" i="10" s="1"/>
  <c r="F21" i="10"/>
  <c r="S20" i="10"/>
  <c r="F20" i="10"/>
  <c r="S64" i="10"/>
  <c r="AD64" i="10" s="1"/>
  <c r="F64" i="10"/>
  <c r="H64" i="10" s="1"/>
  <c r="S63" i="10"/>
  <c r="AD63" i="10" s="1"/>
  <c r="F63" i="10"/>
  <c r="H63" i="10" s="1"/>
  <c r="S62" i="10"/>
  <c r="AD62" i="10" s="1"/>
  <c r="M62" i="10"/>
  <c r="K62" i="10"/>
  <c r="N62" i="10" s="1"/>
  <c r="F62" i="10"/>
  <c r="H62" i="10" s="1"/>
  <c r="S61" i="10"/>
  <c r="F61" i="10"/>
  <c r="H61" i="10" s="1"/>
  <c r="S60" i="10"/>
  <c r="AD60" i="10" s="1"/>
  <c r="F60" i="10"/>
  <c r="H60" i="10" s="1"/>
  <c r="S59" i="10"/>
  <c r="AD59" i="10" s="1"/>
  <c r="F59" i="10"/>
  <c r="H59" i="10" s="1"/>
  <c r="S58" i="10"/>
  <c r="AD58" i="10" s="1"/>
  <c r="M58" i="10"/>
  <c r="K58" i="10"/>
  <c r="N58" i="10" s="1"/>
  <c r="P58" i="10" s="1"/>
  <c r="F58" i="10"/>
  <c r="H58" i="10" s="1"/>
  <c r="AD57" i="10"/>
  <c r="X57" i="10"/>
  <c r="Y57" i="10" s="1"/>
  <c r="Z57" i="10" s="1"/>
  <c r="AA57" i="10" s="1"/>
  <c r="AB57" i="10" s="1"/>
  <c r="F57" i="10"/>
  <c r="H57" i="10" s="1"/>
  <c r="S56" i="10"/>
  <c r="F56" i="10"/>
  <c r="F118" i="10" s="1"/>
  <c r="S55" i="10"/>
  <c r="AD55" i="10" s="1"/>
  <c r="F55" i="10"/>
  <c r="H55" i="10" s="1"/>
  <c r="S54" i="10"/>
  <c r="AD54" i="10" s="1"/>
  <c r="F54" i="10"/>
  <c r="H54" i="10" s="1"/>
  <c r="S53" i="10"/>
  <c r="F53" i="10"/>
  <c r="H53" i="10" s="1"/>
  <c r="S52" i="10"/>
  <c r="AD52" i="10" s="1"/>
  <c r="Q52" i="10"/>
  <c r="P52" i="10"/>
  <c r="O52" i="10"/>
  <c r="W52" i="10" s="1"/>
  <c r="X52" i="10" s="1"/>
  <c r="Z52" i="10" s="1"/>
  <c r="AA52" i="10" s="1"/>
  <c r="AB52" i="10" s="1"/>
  <c r="F52" i="10"/>
  <c r="H52" i="10" s="1"/>
  <c r="S51" i="10"/>
  <c r="F51" i="10"/>
  <c r="H51" i="10" s="1"/>
  <c r="S50" i="10"/>
  <c r="F50" i="10"/>
  <c r="H50" i="10" s="1"/>
  <c r="S49" i="10"/>
  <c r="F49" i="10"/>
  <c r="AD48" i="10"/>
  <c r="X48" i="10"/>
  <c r="Z48" i="10" s="1"/>
  <c r="AA48" i="10" s="1"/>
  <c r="AB48" i="10" s="1"/>
  <c r="F48" i="10"/>
  <c r="H48" i="10" s="1"/>
  <c r="S47" i="10"/>
  <c r="AD47" i="10" s="1"/>
  <c r="F47" i="10"/>
  <c r="H47" i="10" s="1"/>
  <c r="S19" i="10"/>
  <c r="AD19" i="10" s="1"/>
  <c r="F19" i="10"/>
  <c r="G19" i="10" s="1"/>
  <c r="T18" i="10"/>
  <c r="F18" i="10"/>
  <c r="H18" i="10" s="1"/>
  <c r="S17" i="10"/>
  <c r="AD17" i="10" s="1"/>
  <c r="F17" i="10"/>
  <c r="G17" i="10" s="1"/>
  <c r="F16" i="10"/>
  <c r="G16" i="10" s="1"/>
  <c r="S15" i="10"/>
  <c r="AD15" i="10" s="1"/>
  <c r="F15" i="10"/>
  <c r="H15" i="10" s="1"/>
  <c r="T14" i="10"/>
  <c r="F14" i="10"/>
  <c r="H14" i="10" s="1"/>
  <c r="S13" i="10"/>
  <c r="F13" i="10"/>
  <c r="J177" i="12" l="1"/>
  <c r="K174" i="12"/>
  <c r="N174" i="12" s="1"/>
  <c r="AE174" i="12"/>
  <c r="O161" i="12"/>
  <c r="W161" i="12" s="1"/>
  <c r="X161" i="12" s="1"/>
  <c r="Y161" i="12" s="1"/>
  <c r="Z161" i="12" s="1"/>
  <c r="AA161" i="12" s="1"/>
  <c r="AB161" i="12" s="1"/>
  <c r="J156" i="12"/>
  <c r="H149" i="12"/>
  <c r="I88" i="12"/>
  <c r="J17" i="12"/>
  <c r="M17" i="12" s="1"/>
  <c r="J14" i="12"/>
  <c r="J219" i="12"/>
  <c r="J214" i="12"/>
  <c r="G220" i="12"/>
  <c r="I41" i="12"/>
  <c r="M148" i="12"/>
  <c r="K148" i="12"/>
  <c r="M212" i="12"/>
  <c r="K212" i="12"/>
  <c r="AE227" i="12"/>
  <c r="K216" i="12"/>
  <c r="M216" i="12"/>
  <c r="W199" i="12"/>
  <c r="X199" i="12" s="1"/>
  <c r="Y199" i="12" s="1"/>
  <c r="Z199" i="12" s="1"/>
  <c r="AA199" i="12" s="1"/>
  <c r="AB199" i="12" s="1"/>
  <c r="AD199" i="12" s="1"/>
  <c r="AG199" i="12" s="1"/>
  <c r="P199" i="12"/>
  <c r="O199" i="12"/>
  <c r="Q199" i="12"/>
  <c r="J188" i="12"/>
  <c r="N217" i="12"/>
  <c r="AC217" i="12"/>
  <c r="AF217" i="12" s="1"/>
  <c r="K197" i="12"/>
  <c r="M197" i="12"/>
  <c r="AE189" i="12"/>
  <c r="K177" i="12"/>
  <c r="M177" i="12"/>
  <c r="Z196" i="12"/>
  <c r="M175" i="12"/>
  <c r="K175" i="12"/>
  <c r="AC174" i="12"/>
  <c r="AF174" i="12" s="1"/>
  <c r="G149" i="12"/>
  <c r="AE147" i="12"/>
  <c r="J147" i="12"/>
  <c r="J195" i="12"/>
  <c r="M172" i="12"/>
  <c r="K172" i="12"/>
  <c r="AE171" i="12"/>
  <c r="J171" i="12"/>
  <c r="I179" i="12"/>
  <c r="AG160" i="12"/>
  <c r="Q157" i="12"/>
  <c r="O157" i="12"/>
  <c r="W157" i="12"/>
  <c r="X157" i="12" s="1"/>
  <c r="Y157" i="12" s="1"/>
  <c r="Z157" i="12" s="1"/>
  <c r="AA157" i="12" s="1"/>
  <c r="AB157" i="12" s="1"/>
  <c r="AD157" i="12" s="1"/>
  <c r="AG157" i="12" s="1"/>
  <c r="P157" i="12"/>
  <c r="L162" i="12"/>
  <c r="K132" i="12"/>
  <c r="M132" i="12"/>
  <c r="G162" i="12"/>
  <c r="I134" i="12"/>
  <c r="K111" i="12"/>
  <c r="M111" i="12"/>
  <c r="K109" i="12"/>
  <c r="M109" i="12"/>
  <c r="G114" i="12"/>
  <c r="AE108" i="12"/>
  <c r="J108" i="12"/>
  <c r="AE98" i="12"/>
  <c r="J98" i="12"/>
  <c r="K98" i="12" s="1"/>
  <c r="Z97" i="12"/>
  <c r="Y99" i="12"/>
  <c r="AE87" i="12"/>
  <c r="J87" i="12"/>
  <c r="J88" i="12" s="1"/>
  <c r="K85" i="12"/>
  <c r="AC85" i="12" s="1"/>
  <c r="AF85" i="12" s="1"/>
  <c r="AG85" i="12" s="1"/>
  <c r="M85" i="12"/>
  <c r="K83" i="12"/>
  <c r="M83" i="12"/>
  <c r="AC75" i="12"/>
  <c r="AF75" i="12" s="1"/>
  <c r="AG75" i="12" s="1"/>
  <c r="N75" i="12"/>
  <c r="J63" i="12"/>
  <c r="AE63" i="12"/>
  <c r="M59" i="12"/>
  <c r="K59" i="12"/>
  <c r="J58" i="12"/>
  <c r="AE58" i="12"/>
  <c r="Q57" i="12"/>
  <c r="O57" i="12"/>
  <c r="W57" i="12" s="1"/>
  <c r="X57" i="12" s="1"/>
  <c r="Y57" i="12" s="1"/>
  <c r="Z57" i="12" s="1"/>
  <c r="AA57" i="12" s="1"/>
  <c r="AB57" i="12" s="1"/>
  <c r="P57" i="12"/>
  <c r="M56" i="12"/>
  <c r="K56" i="12"/>
  <c r="Q61" i="12"/>
  <c r="O61" i="12"/>
  <c r="W61" i="12" s="1"/>
  <c r="X61" i="12" s="1"/>
  <c r="Y61" i="12" s="1"/>
  <c r="Z61" i="12" s="1"/>
  <c r="AA61" i="12" s="1"/>
  <c r="AB61" i="12" s="1"/>
  <c r="P61" i="12"/>
  <c r="J40" i="12"/>
  <c r="AE40" i="12"/>
  <c r="J39" i="12"/>
  <c r="AE39" i="12"/>
  <c r="J38" i="12"/>
  <c r="K38" i="12" s="1"/>
  <c r="AE38" i="12"/>
  <c r="AC36" i="12"/>
  <c r="AF36" i="12" s="1"/>
  <c r="AG36" i="12" s="1"/>
  <c r="N36" i="12"/>
  <c r="AE35" i="12"/>
  <c r="J35" i="12"/>
  <c r="AD41" i="12"/>
  <c r="K17" i="12"/>
  <c r="M14" i="12"/>
  <c r="K14" i="12"/>
  <c r="G41" i="12"/>
  <c r="N74" i="12"/>
  <c r="AC74" i="12"/>
  <c r="AF74" i="12" s="1"/>
  <c r="AG74" i="12" s="1"/>
  <c r="J64" i="12"/>
  <c r="K55" i="12"/>
  <c r="AC19" i="12"/>
  <c r="AF19" i="12" s="1"/>
  <c r="AG19" i="12" s="1"/>
  <c r="N19" i="12"/>
  <c r="M18" i="12"/>
  <c r="K18" i="12"/>
  <c r="K226" i="12"/>
  <c r="J227" i="12"/>
  <c r="M226" i="12"/>
  <c r="M227" i="12" s="1"/>
  <c r="M213" i="12"/>
  <c r="K213" i="12"/>
  <c r="AE220" i="12"/>
  <c r="J220" i="12"/>
  <c r="M211" i="12"/>
  <c r="K211" i="12"/>
  <c r="K218" i="12"/>
  <c r="M218" i="12"/>
  <c r="N215" i="12"/>
  <c r="AC215" i="12"/>
  <c r="AF215" i="12" s="1"/>
  <c r="AE198" i="12"/>
  <c r="J198" i="12"/>
  <c r="J178" i="12"/>
  <c r="AE178" i="12"/>
  <c r="J173" i="12"/>
  <c r="AE173" i="12"/>
  <c r="M170" i="12"/>
  <c r="K170" i="12"/>
  <c r="AE176" i="12"/>
  <c r="J176" i="12"/>
  <c r="G179" i="12"/>
  <c r="J169" i="12"/>
  <c r="AE169" i="12"/>
  <c r="Q160" i="12"/>
  <c r="O160" i="12"/>
  <c r="W160" i="12" s="1"/>
  <c r="X160" i="12" s="1"/>
  <c r="Y160" i="12" s="1"/>
  <c r="Z160" i="12" s="1"/>
  <c r="AA160" i="12" s="1"/>
  <c r="AB160" i="12" s="1"/>
  <c r="P160" i="12"/>
  <c r="J159" i="12"/>
  <c r="AE159" i="12"/>
  <c r="J158" i="12"/>
  <c r="J162" i="12" s="1"/>
  <c r="AE158" i="12"/>
  <c r="AE162" i="12"/>
  <c r="M156" i="12"/>
  <c r="K156" i="12"/>
  <c r="J133" i="12"/>
  <c r="AE133" i="12"/>
  <c r="I162" i="12"/>
  <c r="G134" i="12"/>
  <c r="AE131" i="12"/>
  <c r="J131" i="12"/>
  <c r="G123" i="12"/>
  <c r="AE122" i="12"/>
  <c r="J122" i="12"/>
  <c r="K113" i="12"/>
  <c r="M113" i="12"/>
  <c r="AE112" i="12"/>
  <c r="J112" i="12"/>
  <c r="K110" i="12"/>
  <c r="M110" i="12"/>
  <c r="G99" i="12"/>
  <c r="AE97" i="12"/>
  <c r="J97" i="12"/>
  <c r="K86" i="12"/>
  <c r="M86" i="12"/>
  <c r="K84" i="12"/>
  <c r="M84" i="12"/>
  <c r="G76" i="12"/>
  <c r="J72" i="12"/>
  <c r="AE72" i="12"/>
  <c r="G64" i="12"/>
  <c r="K73" i="12"/>
  <c r="M73" i="12"/>
  <c r="AC62" i="12"/>
  <c r="AF62" i="12" s="1"/>
  <c r="AG62" i="12" s="1"/>
  <c r="N62" i="12"/>
  <c r="AE60" i="12"/>
  <c r="J60" i="12"/>
  <c r="AD64" i="12"/>
  <c r="K37" i="12"/>
  <c r="AC37" i="12" s="1"/>
  <c r="AF37" i="12" s="1"/>
  <c r="AG37" i="12" s="1"/>
  <c r="M37" i="12"/>
  <c r="M34" i="12"/>
  <c r="K34" i="12"/>
  <c r="K32" i="12"/>
  <c r="M32" i="12"/>
  <c r="AE15" i="12"/>
  <c r="J15" i="12"/>
  <c r="J20" i="12" s="1"/>
  <c r="M16" i="12"/>
  <c r="K16" i="12"/>
  <c r="M13" i="12"/>
  <c r="K13" i="12"/>
  <c r="M33" i="12"/>
  <c r="K33" i="12"/>
  <c r="F142" i="10"/>
  <c r="F171" i="10"/>
  <c r="G94" i="10"/>
  <c r="H260" i="10"/>
  <c r="S118" i="10"/>
  <c r="H20" i="10"/>
  <c r="F130" i="10"/>
  <c r="Y24" i="10"/>
  <c r="Y153" i="10" s="1"/>
  <c r="AD26" i="10"/>
  <c r="AD180" i="10" s="1"/>
  <c r="S180" i="10"/>
  <c r="H27" i="10"/>
  <c r="F206" i="10"/>
  <c r="H79" i="10"/>
  <c r="H220" i="10" s="1"/>
  <c r="F220" i="10"/>
  <c r="G38" i="10"/>
  <c r="AE38" i="10" s="1"/>
  <c r="F287" i="10"/>
  <c r="F260" i="10"/>
  <c r="AD20" i="10"/>
  <c r="S130" i="10"/>
  <c r="G24" i="10"/>
  <c r="F153" i="10"/>
  <c r="AD70" i="10"/>
  <c r="S171" i="10"/>
  <c r="H76" i="10"/>
  <c r="H191" i="10" s="1"/>
  <c r="F191" i="10"/>
  <c r="H85" i="10"/>
  <c r="F238" i="10"/>
  <c r="F280" i="10"/>
  <c r="F249" i="10"/>
  <c r="G100" i="10"/>
  <c r="G287" i="10" s="1"/>
  <c r="G54" i="10"/>
  <c r="AE54" i="10" s="1"/>
  <c r="G58" i="10"/>
  <c r="AE58" i="10" s="1"/>
  <c r="G61" i="10"/>
  <c r="AE61" i="10" s="1"/>
  <c r="G76" i="10"/>
  <c r="G80" i="10"/>
  <c r="AE80" i="10" s="1"/>
  <c r="G81" i="10"/>
  <c r="AE81" i="10" s="1"/>
  <c r="G83" i="10"/>
  <c r="AE83" i="10" s="1"/>
  <c r="AF83" i="10" s="1"/>
  <c r="G85" i="10"/>
  <c r="G98" i="10"/>
  <c r="G59" i="10"/>
  <c r="AE59" i="10" s="1"/>
  <c r="G62" i="10"/>
  <c r="AE62" i="10" s="1"/>
  <c r="AD95" i="10"/>
  <c r="G50" i="10"/>
  <c r="AE50" i="10" s="1"/>
  <c r="G31" i="10"/>
  <c r="AE31" i="10" s="1"/>
  <c r="G32" i="10"/>
  <c r="AE32" i="10" s="1"/>
  <c r="G33" i="10"/>
  <c r="J33" i="10" s="1"/>
  <c r="G35" i="10"/>
  <c r="AE35" i="10" s="1"/>
  <c r="I50" i="10"/>
  <c r="G53" i="10"/>
  <c r="AE53" i="10" s="1"/>
  <c r="I54" i="10"/>
  <c r="G55" i="10"/>
  <c r="AE55" i="10" s="1"/>
  <c r="I58" i="10"/>
  <c r="I59" i="10"/>
  <c r="I61" i="10"/>
  <c r="I62" i="10"/>
  <c r="AC62" i="10"/>
  <c r="G63" i="10"/>
  <c r="AE63" i="10" s="1"/>
  <c r="G64" i="10"/>
  <c r="AE64" i="10" s="1"/>
  <c r="G20" i="10"/>
  <c r="G69" i="10"/>
  <c r="AE69" i="10" s="1"/>
  <c r="G70" i="10"/>
  <c r="G74" i="10"/>
  <c r="AE74" i="10" s="1"/>
  <c r="I76" i="10"/>
  <c r="G78" i="10"/>
  <c r="AE78" i="10" s="1"/>
  <c r="I80" i="10"/>
  <c r="L80" i="10" s="1"/>
  <c r="AC80" i="10"/>
  <c r="I81" i="10"/>
  <c r="L81" i="10" s="1"/>
  <c r="G82" i="10"/>
  <c r="AE82" i="10" s="1"/>
  <c r="I83" i="10"/>
  <c r="L83" i="10" s="1"/>
  <c r="I85" i="10"/>
  <c r="G86" i="10"/>
  <c r="G88" i="10"/>
  <c r="AE88" i="10" s="1"/>
  <c r="G92" i="10"/>
  <c r="AE92" i="10" s="1"/>
  <c r="I94" i="10"/>
  <c r="J94" i="10" s="1"/>
  <c r="J97" i="10"/>
  <c r="K97" i="10" s="1"/>
  <c r="N97" i="10" s="1"/>
  <c r="P97" i="10" s="1"/>
  <c r="I98" i="10"/>
  <c r="G36" i="10"/>
  <c r="AE36" i="10" s="1"/>
  <c r="G37" i="10"/>
  <c r="AE37" i="10" s="1"/>
  <c r="I53" i="10"/>
  <c r="I55" i="10"/>
  <c r="Q58" i="10"/>
  <c r="AC58" i="10"/>
  <c r="AF58" i="10" s="1"/>
  <c r="AG58" i="10" s="1"/>
  <c r="I63" i="10"/>
  <c r="J63" i="10" s="1"/>
  <c r="K63" i="10" s="1"/>
  <c r="I64" i="10"/>
  <c r="I70" i="10"/>
  <c r="I74" i="10"/>
  <c r="I78" i="10"/>
  <c r="I82" i="10"/>
  <c r="L82" i="10" s="1"/>
  <c r="N83" i="10"/>
  <c r="P83" i="10" s="1"/>
  <c r="I86" i="10"/>
  <c r="I88" i="10"/>
  <c r="I92" i="10"/>
  <c r="G18" i="10"/>
  <c r="AE18" i="10" s="1"/>
  <c r="G26" i="10"/>
  <c r="G25" i="10"/>
  <c r="AE25" i="10" s="1"/>
  <c r="G15" i="10"/>
  <c r="AE15" i="10" s="1"/>
  <c r="H19" i="10"/>
  <c r="J19" i="10" s="1"/>
  <c r="AE17" i="10"/>
  <c r="AE16" i="10"/>
  <c r="H13" i="10"/>
  <c r="H16" i="10"/>
  <c r="J16" i="10" s="1"/>
  <c r="H17" i="10"/>
  <c r="J17" i="10" s="1"/>
  <c r="I49" i="10"/>
  <c r="G49" i="10"/>
  <c r="I56" i="10"/>
  <c r="G56" i="10"/>
  <c r="G13" i="10"/>
  <c r="G14" i="10"/>
  <c r="AE19" i="10"/>
  <c r="I47" i="10"/>
  <c r="G47" i="10"/>
  <c r="I48" i="10"/>
  <c r="G48" i="10"/>
  <c r="H49" i="10"/>
  <c r="I51" i="10"/>
  <c r="G51" i="10"/>
  <c r="I52" i="10"/>
  <c r="G52" i="10"/>
  <c r="H56" i="10"/>
  <c r="H118" i="10" s="1"/>
  <c r="AD56" i="10"/>
  <c r="AD118" i="10" s="1"/>
  <c r="I57" i="10"/>
  <c r="G57" i="10"/>
  <c r="O58" i="10"/>
  <c r="W58" i="10" s="1"/>
  <c r="X58" i="10" s="1"/>
  <c r="Y58" i="10" s="1"/>
  <c r="Z58" i="10" s="1"/>
  <c r="AA58" i="10" s="1"/>
  <c r="AB58" i="10" s="1"/>
  <c r="Q62" i="10"/>
  <c r="O62" i="10"/>
  <c r="W62" i="10" s="1"/>
  <c r="X62" i="10" s="1"/>
  <c r="Y62" i="10" s="1"/>
  <c r="Z62" i="10" s="1"/>
  <c r="AA62" i="10" s="1"/>
  <c r="AB62" i="10" s="1"/>
  <c r="P62" i="10"/>
  <c r="G60" i="10"/>
  <c r="I60" i="10"/>
  <c r="AE20" i="10"/>
  <c r="G21" i="10"/>
  <c r="G22" i="10"/>
  <c r="G23" i="10"/>
  <c r="G65" i="10"/>
  <c r="I65" i="10"/>
  <c r="G66" i="10"/>
  <c r="I66" i="10"/>
  <c r="G67" i="10"/>
  <c r="I67" i="10"/>
  <c r="G68" i="10"/>
  <c r="I68" i="10"/>
  <c r="I69" i="10"/>
  <c r="Z24" i="10"/>
  <c r="Z153" i="10" s="1"/>
  <c r="AE24" i="10"/>
  <c r="AE153" i="10" s="1"/>
  <c r="J25" i="10"/>
  <c r="K25" i="10" s="1"/>
  <c r="H21" i="10"/>
  <c r="H65" i="10"/>
  <c r="H142" i="10" s="1"/>
  <c r="AD67" i="10"/>
  <c r="AD25" i="10"/>
  <c r="AD153" i="10" s="1"/>
  <c r="H24" i="10"/>
  <c r="H153" i="10" s="1"/>
  <c r="H70" i="10"/>
  <c r="H171" i="10" s="1"/>
  <c r="G71" i="10"/>
  <c r="I71" i="10"/>
  <c r="G72" i="10"/>
  <c r="I72" i="10"/>
  <c r="G73" i="10"/>
  <c r="I73" i="10"/>
  <c r="G75" i="10"/>
  <c r="I75" i="10"/>
  <c r="H26" i="10"/>
  <c r="H180" i="10" s="1"/>
  <c r="AD76" i="10"/>
  <c r="I77" i="10"/>
  <c r="G77" i="10"/>
  <c r="H28" i="10"/>
  <c r="Q84" i="10"/>
  <c r="AD86" i="10"/>
  <c r="I27" i="10"/>
  <c r="I206" i="10" s="1"/>
  <c r="G27" i="10"/>
  <c r="G206" i="10" s="1"/>
  <c r="I79" i="10"/>
  <c r="G79" i="10"/>
  <c r="Q80" i="10"/>
  <c r="O80" i="10"/>
  <c r="W80" i="10"/>
  <c r="X80" i="10" s="1"/>
  <c r="Y80" i="10" s="1"/>
  <c r="Z80" i="10" s="1"/>
  <c r="AA80" i="10" s="1"/>
  <c r="AB80" i="10" s="1"/>
  <c r="AD80" i="10" s="1"/>
  <c r="Q83" i="10"/>
  <c r="AD83" i="10"/>
  <c r="AG83" i="10" s="1"/>
  <c r="I84" i="10"/>
  <c r="L84" i="10" s="1"/>
  <c r="G84" i="10"/>
  <c r="AE84" i="10" s="1"/>
  <c r="O84" i="10"/>
  <c r="W84" i="10" s="1"/>
  <c r="X84" i="10" s="1"/>
  <c r="Y84" i="10" s="1"/>
  <c r="Z84" i="10" s="1"/>
  <c r="AA84" i="10" s="1"/>
  <c r="AB84" i="10" s="1"/>
  <c r="AC84" i="10"/>
  <c r="AE86" i="10"/>
  <c r="G87" i="10"/>
  <c r="I87" i="10"/>
  <c r="G89" i="10"/>
  <c r="I89" i="10"/>
  <c r="I90" i="10"/>
  <c r="G90" i="10"/>
  <c r="I93" i="10"/>
  <c r="G93" i="10"/>
  <c r="AE94" i="10"/>
  <c r="H29" i="10"/>
  <c r="H249" i="10" s="1"/>
  <c r="I96" i="10"/>
  <c r="J96" i="10" s="1"/>
  <c r="Y96" i="10"/>
  <c r="M97" i="10"/>
  <c r="I99" i="10"/>
  <c r="H87" i="10"/>
  <c r="I91" i="10"/>
  <c r="G91" i="10"/>
  <c r="AE29" i="10"/>
  <c r="AE249" i="10" s="1"/>
  <c r="I95" i="10"/>
  <c r="G95" i="10"/>
  <c r="G260" i="10" s="1"/>
  <c r="AC97" i="10"/>
  <c r="AF97" i="10" s="1"/>
  <c r="AG97" i="10" s="1"/>
  <c r="AE98" i="10"/>
  <c r="J98" i="10"/>
  <c r="AD30" i="10"/>
  <c r="N99" i="10"/>
  <c r="H30" i="10"/>
  <c r="H280" i="10" s="1"/>
  <c r="AE30" i="10"/>
  <c r="AE33" i="10"/>
  <c r="G34" i="10"/>
  <c r="J38" i="10"/>
  <c r="J100" i="10"/>
  <c r="J287" i="10" s="1"/>
  <c r="AE100" i="10"/>
  <c r="AE287" i="10" s="1"/>
  <c r="M219" i="12" l="1"/>
  <c r="K219" i="12"/>
  <c r="AE41" i="12"/>
  <c r="M214" i="12"/>
  <c r="M220" i="12" s="1"/>
  <c r="K214" i="12"/>
  <c r="AE76" i="12"/>
  <c r="M112" i="12"/>
  <c r="K112" i="12"/>
  <c r="J123" i="12"/>
  <c r="K122" i="12"/>
  <c r="M122" i="12"/>
  <c r="M123" i="12" s="1"/>
  <c r="AE134" i="12"/>
  <c r="M133" i="12"/>
  <c r="K133" i="12"/>
  <c r="M176" i="12"/>
  <c r="K176" i="12"/>
  <c r="W215" i="12"/>
  <c r="X215" i="12" s="1"/>
  <c r="Z215" i="12" s="1"/>
  <c r="AA215" i="12" s="1"/>
  <c r="AB215" i="12" s="1"/>
  <c r="AD215" i="12" s="1"/>
  <c r="AG215" i="12" s="1"/>
  <c r="P215" i="12"/>
  <c r="O215" i="12"/>
  <c r="Q215" i="12"/>
  <c r="N218" i="12"/>
  <c r="AC218" i="12"/>
  <c r="AF218" i="12" s="1"/>
  <c r="AC213" i="12"/>
  <c r="AF213" i="12" s="1"/>
  <c r="N213" i="12"/>
  <c r="K227" i="12"/>
  <c r="N226" i="12"/>
  <c r="AC226" i="12"/>
  <c r="M35" i="12"/>
  <c r="K35" i="12"/>
  <c r="N33" i="12"/>
  <c r="AC33" i="12"/>
  <c r="AF33" i="12" s="1"/>
  <c r="AG33" i="12" s="1"/>
  <c r="AE64" i="12"/>
  <c r="N16" i="12"/>
  <c r="AC16" i="12"/>
  <c r="AF16" i="12" s="1"/>
  <c r="AE20" i="12"/>
  <c r="J41" i="12"/>
  <c r="N34" i="12"/>
  <c r="AC34" i="12"/>
  <c r="AF34" i="12" s="1"/>
  <c r="AG34" i="12" s="1"/>
  <c r="K60" i="12"/>
  <c r="M60" i="12"/>
  <c r="Q62" i="12"/>
  <c r="O62" i="12"/>
  <c r="W62" i="12" s="1"/>
  <c r="X62" i="12" s="1"/>
  <c r="Y62" i="12" s="1"/>
  <c r="Z62" i="12" s="1"/>
  <c r="AA62" i="12" s="1"/>
  <c r="AB62" i="12" s="1"/>
  <c r="P62" i="12"/>
  <c r="J76" i="12"/>
  <c r="M72" i="12"/>
  <c r="M76" i="12" s="1"/>
  <c r="K72" i="12"/>
  <c r="AC84" i="12"/>
  <c r="AF84" i="12" s="1"/>
  <c r="N84" i="12"/>
  <c r="N86" i="12"/>
  <c r="AC86" i="12"/>
  <c r="AF86" i="12" s="1"/>
  <c r="AE99" i="12"/>
  <c r="AC110" i="12"/>
  <c r="AF110" i="12" s="1"/>
  <c r="AG110" i="12" s="1"/>
  <c r="N110" i="12"/>
  <c r="AC113" i="12"/>
  <c r="N113" i="12"/>
  <c r="AE123" i="12"/>
  <c r="J134" i="12"/>
  <c r="M131" i="12"/>
  <c r="M134" i="12" s="1"/>
  <c r="K131" i="12"/>
  <c r="M158" i="12"/>
  <c r="K158" i="12"/>
  <c r="M159" i="12"/>
  <c r="K159" i="12"/>
  <c r="AE179" i="12"/>
  <c r="K173" i="12"/>
  <c r="M173" i="12"/>
  <c r="M198" i="12"/>
  <c r="K198" i="12"/>
  <c r="AC198" i="12" s="1"/>
  <c r="AF198" i="12" s="1"/>
  <c r="AG198" i="12" s="1"/>
  <c r="K220" i="12"/>
  <c r="AC211" i="12"/>
  <c r="N211" i="12"/>
  <c r="AC18" i="12"/>
  <c r="AF18" i="12" s="1"/>
  <c r="N18" i="12"/>
  <c r="O19" i="12"/>
  <c r="W19" i="12" s="1"/>
  <c r="X19" i="12" s="1"/>
  <c r="Z19" i="12" s="1"/>
  <c r="AA19" i="12" s="1"/>
  <c r="AB19" i="12" s="1"/>
  <c r="Q19" i="12"/>
  <c r="AC55" i="12"/>
  <c r="N55" i="12"/>
  <c r="AC38" i="12"/>
  <c r="N38" i="12"/>
  <c r="M39" i="12"/>
  <c r="K39" i="12"/>
  <c r="M40" i="12"/>
  <c r="K40" i="12"/>
  <c r="AC59" i="12"/>
  <c r="AF59" i="12" s="1"/>
  <c r="AG59" i="12" s="1"/>
  <c r="N59" i="12"/>
  <c r="Q75" i="12"/>
  <c r="O75" i="12"/>
  <c r="W75" i="12" s="1"/>
  <c r="X75" i="12" s="1"/>
  <c r="Z75" i="12" s="1"/>
  <c r="AA75" i="12" s="1"/>
  <c r="AB75" i="12" s="1"/>
  <c r="P75" i="12"/>
  <c r="AE88" i="12"/>
  <c r="Z99" i="12"/>
  <c r="AA97" i="12"/>
  <c r="AE114" i="12"/>
  <c r="K171" i="12"/>
  <c r="M171" i="12"/>
  <c r="AC172" i="12"/>
  <c r="AF172" i="12" s="1"/>
  <c r="AG172" i="12" s="1"/>
  <c r="N172" i="12"/>
  <c r="J200" i="12"/>
  <c r="K195" i="12"/>
  <c r="M195" i="12"/>
  <c r="M200" i="12" s="1"/>
  <c r="AE149" i="12"/>
  <c r="N177" i="12"/>
  <c r="AC177" i="12"/>
  <c r="AF177" i="12" s="1"/>
  <c r="AG177" i="12" s="1"/>
  <c r="N197" i="12"/>
  <c r="AC197" i="12"/>
  <c r="AF197" i="12" s="1"/>
  <c r="AG197" i="12" s="1"/>
  <c r="P217" i="12"/>
  <c r="W217" i="12" s="1"/>
  <c r="X217" i="12" s="1"/>
  <c r="Z217" i="12" s="1"/>
  <c r="AA217" i="12" s="1"/>
  <c r="AB217" i="12" s="1"/>
  <c r="AD217" i="12" s="1"/>
  <c r="AG217" i="12" s="1"/>
  <c r="O217" i="12"/>
  <c r="Q217" i="12"/>
  <c r="AC212" i="12"/>
  <c r="AF212" i="12" s="1"/>
  <c r="N212" i="12"/>
  <c r="AC148" i="12"/>
  <c r="AF148" i="12" s="1"/>
  <c r="AG148" i="12" s="1"/>
  <c r="N148" i="12"/>
  <c r="AC13" i="12"/>
  <c r="N13" i="12"/>
  <c r="M15" i="12"/>
  <c r="M20" i="12" s="1"/>
  <c r="K15" i="12"/>
  <c r="K41" i="12"/>
  <c r="AC32" i="12"/>
  <c r="N32" i="12"/>
  <c r="N73" i="12"/>
  <c r="AC73" i="12"/>
  <c r="AF73" i="12" s="1"/>
  <c r="J99" i="12"/>
  <c r="K97" i="12"/>
  <c r="M97" i="12"/>
  <c r="M99" i="12" s="1"/>
  <c r="K162" i="12"/>
  <c r="AC156" i="12"/>
  <c r="N156" i="12"/>
  <c r="J179" i="12"/>
  <c r="M169" i="12"/>
  <c r="K169" i="12"/>
  <c r="AC170" i="12"/>
  <c r="AF170" i="12" s="1"/>
  <c r="AG170" i="12" s="1"/>
  <c r="N170" i="12"/>
  <c r="M178" i="12"/>
  <c r="K178" i="12"/>
  <c r="P74" i="12"/>
  <c r="O74" i="12"/>
  <c r="W74" i="12" s="1"/>
  <c r="X74" i="12" s="1"/>
  <c r="Y74" i="12" s="1"/>
  <c r="Z74" i="12" s="1"/>
  <c r="AA74" i="12" s="1"/>
  <c r="AB74" i="12" s="1"/>
  <c r="Q74" i="12"/>
  <c r="AC14" i="12"/>
  <c r="AF14" i="12" s="1"/>
  <c r="N14" i="12"/>
  <c r="AC17" i="12"/>
  <c r="AF17" i="12" s="1"/>
  <c r="AG17" i="12" s="1"/>
  <c r="N17" i="12"/>
  <c r="Q36" i="12"/>
  <c r="O36" i="12"/>
  <c r="W36" i="12" s="1"/>
  <c r="X36" i="12" s="1"/>
  <c r="Z36" i="12" s="1"/>
  <c r="AA36" i="12" s="1"/>
  <c r="AB36" i="12" s="1"/>
  <c r="P36" i="12"/>
  <c r="AF38" i="12"/>
  <c r="AG38" i="12" s="1"/>
  <c r="AC56" i="12"/>
  <c r="AF56" i="12" s="1"/>
  <c r="AG56" i="12" s="1"/>
  <c r="N56" i="12"/>
  <c r="K58" i="12"/>
  <c r="M58" i="12"/>
  <c r="K63" i="12"/>
  <c r="M63" i="12"/>
  <c r="N83" i="12"/>
  <c r="AC83" i="12"/>
  <c r="M87" i="12"/>
  <c r="M88" i="12" s="1"/>
  <c r="K87" i="12"/>
  <c r="AC87" i="12" s="1"/>
  <c r="AF87" i="12" s="1"/>
  <c r="AG87" i="12" s="1"/>
  <c r="AC98" i="12"/>
  <c r="AF98" i="12" s="1"/>
  <c r="AG98" i="12" s="1"/>
  <c r="N98" i="12"/>
  <c r="M108" i="12"/>
  <c r="M114" i="12" s="1"/>
  <c r="J114" i="12"/>
  <c r="K108" i="12"/>
  <c r="AC109" i="12"/>
  <c r="AF109" i="12" s="1"/>
  <c r="N109" i="12"/>
  <c r="N111" i="12"/>
  <c r="AC111" i="12"/>
  <c r="AF111" i="12" s="1"/>
  <c r="AG111" i="12" s="1"/>
  <c r="N132" i="12"/>
  <c r="AC132" i="12"/>
  <c r="AF132" i="12" s="1"/>
  <c r="K147" i="12"/>
  <c r="J149" i="12"/>
  <c r="M147" i="12"/>
  <c r="M149" i="12" s="1"/>
  <c r="Q174" i="12"/>
  <c r="O174" i="12"/>
  <c r="P174" i="12"/>
  <c r="W174" i="12"/>
  <c r="X174" i="12" s="1"/>
  <c r="Y174" i="12" s="1"/>
  <c r="Z174" i="12" s="1"/>
  <c r="AA174" i="12" s="1"/>
  <c r="AB174" i="12" s="1"/>
  <c r="AD174" i="12" s="1"/>
  <c r="AG174" i="12" s="1"/>
  <c r="AC175" i="12"/>
  <c r="AF175" i="12" s="1"/>
  <c r="AG175" i="12" s="1"/>
  <c r="N175" i="12"/>
  <c r="AA196" i="12"/>
  <c r="M188" i="12"/>
  <c r="M189" i="12" s="1"/>
  <c r="J189" i="12"/>
  <c r="K188" i="12"/>
  <c r="AE200" i="12"/>
  <c r="N216" i="12"/>
  <c r="AC216" i="12"/>
  <c r="AF216" i="12" s="1"/>
  <c r="AG216" i="12" s="1"/>
  <c r="I260" i="10"/>
  <c r="I220" i="10"/>
  <c r="J92" i="10"/>
  <c r="AF62" i="10"/>
  <c r="AG62" i="10" s="1"/>
  <c r="J61" i="10"/>
  <c r="J50" i="10"/>
  <c r="J85" i="10"/>
  <c r="K85" i="10" s="1"/>
  <c r="J76" i="10"/>
  <c r="G142" i="10"/>
  <c r="G118" i="10"/>
  <c r="J88" i="10"/>
  <c r="G220" i="10"/>
  <c r="I142" i="10"/>
  <c r="J59" i="10"/>
  <c r="I118" i="10"/>
  <c r="I171" i="10"/>
  <c r="I191" i="10"/>
  <c r="AE70" i="10"/>
  <c r="G171" i="10"/>
  <c r="J20" i="10"/>
  <c r="G130" i="10"/>
  <c r="G153" i="10"/>
  <c r="G280" i="10"/>
  <c r="AE26" i="10"/>
  <c r="AE180" i="10" s="1"/>
  <c r="G180" i="10"/>
  <c r="I238" i="10"/>
  <c r="AE85" i="10"/>
  <c r="G238" i="10"/>
  <c r="AE76" i="10"/>
  <c r="G191" i="10"/>
  <c r="H238" i="10"/>
  <c r="H206" i="10"/>
  <c r="H130" i="10"/>
  <c r="J82" i="10"/>
  <c r="M82" i="10" s="1"/>
  <c r="J74" i="10"/>
  <c r="M74" i="10" s="1"/>
  <c r="J69" i="10"/>
  <c r="K69" i="10" s="1"/>
  <c r="AC69" i="10" s="1"/>
  <c r="AF69" i="10" s="1"/>
  <c r="AG69" i="10" s="1"/>
  <c r="J26" i="10"/>
  <c r="J180" i="10" s="1"/>
  <c r="J86" i="10"/>
  <c r="K86" i="10" s="1"/>
  <c r="O97" i="10"/>
  <c r="W97" i="10" s="1"/>
  <c r="X97" i="10" s="1"/>
  <c r="Q97" i="10"/>
  <c r="AF80" i="10"/>
  <c r="AG80" i="10" s="1"/>
  <c r="J36" i="10"/>
  <c r="K36" i="10" s="1"/>
  <c r="J31" i="10"/>
  <c r="M31" i="10" s="1"/>
  <c r="J78" i="10"/>
  <c r="M78" i="10" s="1"/>
  <c r="J15" i="10"/>
  <c r="K15" i="10" s="1"/>
  <c r="J54" i="10"/>
  <c r="M54" i="10" s="1"/>
  <c r="J37" i="10"/>
  <c r="M37" i="10" s="1"/>
  <c r="J35" i="10"/>
  <c r="K35" i="10" s="1"/>
  <c r="J32" i="10"/>
  <c r="K32" i="10" s="1"/>
  <c r="O83" i="10"/>
  <c r="W83" i="10" s="1"/>
  <c r="X83" i="10" s="1"/>
  <c r="Y83" i="10" s="1"/>
  <c r="Z83" i="10" s="1"/>
  <c r="AA83" i="10" s="1"/>
  <c r="AB83" i="10" s="1"/>
  <c r="J28" i="10"/>
  <c r="K28" i="10" s="1"/>
  <c r="J81" i="10"/>
  <c r="K81" i="10" s="1"/>
  <c r="J64" i="10"/>
  <c r="K64" i="10" s="1"/>
  <c r="J55" i="10"/>
  <c r="M55" i="10" s="1"/>
  <c r="J53" i="10"/>
  <c r="K53" i="10" s="1"/>
  <c r="N53" i="10" s="1"/>
  <c r="J18" i="10"/>
  <c r="K18" i="10" s="1"/>
  <c r="M17" i="10"/>
  <c r="K17" i="10"/>
  <c r="K16" i="10"/>
  <c r="M16" i="10"/>
  <c r="M96" i="10"/>
  <c r="K96" i="10"/>
  <c r="AC96" i="10" s="1"/>
  <c r="AF96" i="10" s="1"/>
  <c r="M85" i="10"/>
  <c r="L79" i="10"/>
  <c r="L220" i="10" s="1"/>
  <c r="M76" i="10"/>
  <c r="K76" i="10"/>
  <c r="J75" i="10"/>
  <c r="AE75" i="10"/>
  <c r="J67" i="10"/>
  <c r="AE67" i="10"/>
  <c r="J65" i="10"/>
  <c r="AE65" i="10"/>
  <c r="AE23" i="10"/>
  <c r="J23" i="10"/>
  <c r="AE60" i="10"/>
  <c r="J60" i="10"/>
  <c r="K100" i="10"/>
  <c r="K287" i="10" s="1"/>
  <c r="M100" i="10"/>
  <c r="M287" i="10" s="1"/>
  <c r="K33" i="10"/>
  <c r="M33" i="10"/>
  <c r="J30" i="10"/>
  <c r="W99" i="10"/>
  <c r="X99" i="10" s="1"/>
  <c r="P99" i="10"/>
  <c r="O99" i="10"/>
  <c r="Q99" i="10"/>
  <c r="AE95" i="10"/>
  <c r="AE260" i="10" s="1"/>
  <c r="J95" i="10"/>
  <c r="J260" i="10" s="1"/>
  <c r="J29" i="10"/>
  <c r="J249" i="10" s="1"/>
  <c r="M92" i="10"/>
  <c r="K92" i="10"/>
  <c r="J91" i="10"/>
  <c r="AE91" i="10"/>
  <c r="Z96" i="10"/>
  <c r="AE93" i="10"/>
  <c r="J93" i="10"/>
  <c r="AE90" i="10"/>
  <c r="J90" i="10"/>
  <c r="K88" i="10"/>
  <c r="M88" i="10"/>
  <c r="AE87" i="10"/>
  <c r="J87" i="10"/>
  <c r="J238" i="10" s="1"/>
  <c r="AF84" i="10"/>
  <c r="AG84" i="10" s="1"/>
  <c r="AE79" i="10"/>
  <c r="AE220" i="10" s="1"/>
  <c r="J79" i="10"/>
  <c r="J220" i="10" s="1"/>
  <c r="AE27" i="10"/>
  <c r="AE206" i="10" s="1"/>
  <c r="J27" i="10"/>
  <c r="K82" i="10"/>
  <c r="K74" i="10"/>
  <c r="AE73" i="10"/>
  <c r="J73" i="10"/>
  <c r="J72" i="10"/>
  <c r="AE72" i="10"/>
  <c r="J71" i="10"/>
  <c r="AE71" i="10"/>
  <c r="J70" i="10"/>
  <c r="J171" i="10" s="1"/>
  <c r="J24" i="10"/>
  <c r="J153" i="10" s="1"/>
  <c r="AC25" i="10"/>
  <c r="AF25" i="10" s="1"/>
  <c r="AG25" i="10" s="1"/>
  <c r="N25" i="10"/>
  <c r="AA24" i="10"/>
  <c r="AE22" i="10"/>
  <c r="J22" i="10"/>
  <c r="K59" i="10"/>
  <c r="M59" i="10"/>
  <c r="AE57" i="10"/>
  <c r="J57" i="10"/>
  <c r="AE52" i="10"/>
  <c r="J52" i="10"/>
  <c r="AE51" i="10"/>
  <c r="J51" i="10"/>
  <c r="K51" i="10" s="1"/>
  <c r="M50" i="10"/>
  <c r="K50" i="10"/>
  <c r="AE14" i="10"/>
  <c r="J14" i="10"/>
  <c r="J56" i="10"/>
  <c r="K38" i="10"/>
  <c r="M38" i="10"/>
  <c r="AE34" i="10"/>
  <c r="AE280" i="10" s="1"/>
  <c r="J34" i="10"/>
  <c r="M98" i="10"/>
  <c r="K98" i="10"/>
  <c r="AC98" i="10" s="1"/>
  <c r="AF98" i="10" s="1"/>
  <c r="AG98" i="10" s="1"/>
  <c r="M94" i="10"/>
  <c r="K94" i="10"/>
  <c r="AE89" i="10"/>
  <c r="J89" i="10"/>
  <c r="AE77" i="10"/>
  <c r="J77" i="10"/>
  <c r="J191" i="10" s="1"/>
  <c r="M69" i="10"/>
  <c r="AE68" i="10"/>
  <c r="J68" i="10"/>
  <c r="J66" i="10"/>
  <c r="AE66" i="10"/>
  <c r="AE21" i="10"/>
  <c r="J21" i="10"/>
  <c r="K61" i="10"/>
  <c r="M61" i="10"/>
  <c r="AC63" i="10"/>
  <c r="AF63" i="10" s="1"/>
  <c r="AG63" i="10" s="1"/>
  <c r="N63" i="10"/>
  <c r="AC53" i="10"/>
  <c r="AF53" i="10" s="1"/>
  <c r="AG53" i="10" s="1"/>
  <c r="AE48" i="10"/>
  <c r="J48" i="10"/>
  <c r="AE47" i="10"/>
  <c r="J47" i="10"/>
  <c r="M19" i="10"/>
  <c r="K19" i="10"/>
  <c r="AE13" i="10"/>
  <c r="J13" i="10"/>
  <c r="AE56" i="10"/>
  <c r="AE118" i="10" s="1"/>
  <c r="J49" i="10"/>
  <c r="AE49" i="10"/>
  <c r="M64" i="12" l="1"/>
  <c r="M162" i="12"/>
  <c r="M41" i="12"/>
  <c r="N214" i="12"/>
  <c r="AC214" i="12"/>
  <c r="AF214" i="12" s="1"/>
  <c r="AC219" i="12"/>
  <c r="AF219" i="12" s="1"/>
  <c r="N219" i="12"/>
  <c r="K64" i="12"/>
  <c r="P216" i="12"/>
  <c r="Q216" i="12"/>
  <c r="O216" i="12"/>
  <c r="W216" i="12" s="1"/>
  <c r="X216" i="12" s="1"/>
  <c r="Y216" i="12" s="1"/>
  <c r="P132" i="12"/>
  <c r="W132" i="12" s="1"/>
  <c r="X132" i="12" s="1"/>
  <c r="Y132" i="12" s="1"/>
  <c r="Z132" i="12" s="1"/>
  <c r="AA132" i="12" s="1"/>
  <c r="AB132" i="12" s="1"/>
  <c r="AD132" i="12" s="1"/>
  <c r="Q132" i="12"/>
  <c r="O132" i="12"/>
  <c r="Q98" i="12"/>
  <c r="O98" i="12"/>
  <c r="W98" i="12" s="1"/>
  <c r="P98" i="12"/>
  <c r="P83" i="12"/>
  <c r="N88" i="12"/>
  <c r="Q83" i="12"/>
  <c r="O83" i="12"/>
  <c r="M179" i="12"/>
  <c r="P32" i="12"/>
  <c r="Q32" i="12"/>
  <c r="O32" i="12"/>
  <c r="Q13" i="12"/>
  <c r="P13" i="12"/>
  <c r="O13" i="12"/>
  <c r="Q212" i="12"/>
  <c r="O212" i="12"/>
  <c r="W212" i="12"/>
  <c r="P212" i="12"/>
  <c r="N171" i="12"/>
  <c r="AC171" i="12"/>
  <c r="AF171" i="12" s="1"/>
  <c r="AB97" i="12"/>
  <c r="Q59" i="12"/>
  <c r="O59" i="12"/>
  <c r="P59" i="12"/>
  <c r="AC39" i="12"/>
  <c r="AF39" i="12" s="1"/>
  <c r="AG39" i="12" s="1"/>
  <c r="N39" i="12"/>
  <c r="Q211" i="12"/>
  <c r="O211" i="12"/>
  <c r="N220" i="12"/>
  <c r="P211" i="12"/>
  <c r="AB196" i="12"/>
  <c r="Q175" i="12"/>
  <c r="O175" i="12"/>
  <c r="W175" i="12" s="1"/>
  <c r="X175" i="12" s="1"/>
  <c r="Y175" i="12" s="1"/>
  <c r="Z175" i="12" s="1"/>
  <c r="AA175" i="12" s="1"/>
  <c r="AB175" i="12" s="1"/>
  <c r="P175" i="12"/>
  <c r="K149" i="12"/>
  <c r="N147" i="12"/>
  <c r="AC147" i="12"/>
  <c r="W109" i="12"/>
  <c r="X109" i="12" s="1"/>
  <c r="Y109" i="12" s="1"/>
  <c r="Z109" i="12" s="1"/>
  <c r="AA109" i="12" s="1"/>
  <c r="AB109" i="12" s="1"/>
  <c r="AD109" i="12" s="1"/>
  <c r="P109" i="12"/>
  <c r="Q109" i="12"/>
  <c r="O109" i="12"/>
  <c r="K114" i="12"/>
  <c r="AC108" i="12"/>
  <c r="N108" i="12"/>
  <c r="K88" i="12"/>
  <c r="Q56" i="12"/>
  <c r="O56" i="12"/>
  <c r="P56" i="12"/>
  <c r="Q17" i="12"/>
  <c r="P17" i="12"/>
  <c r="O17" i="12"/>
  <c r="W17" i="12" s="1"/>
  <c r="X17" i="12" s="1"/>
  <c r="Z17" i="12" s="1"/>
  <c r="AA17" i="12" s="1"/>
  <c r="AB17" i="12" s="1"/>
  <c r="Q14" i="12"/>
  <c r="P14" i="12"/>
  <c r="W14" i="12" s="1"/>
  <c r="X14" i="12" s="1"/>
  <c r="Z14" i="12" s="1"/>
  <c r="AA14" i="12" s="1"/>
  <c r="AB14" i="12" s="1"/>
  <c r="AD14" i="12" s="1"/>
  <c r="O14" i="12"/>
  <c r="AC178" i="12"/>
  <c r="AF178" i="12" s="1"/>
  <c r="AG178" i="12" s="1"/>
  <c r="N178" i="12"/>
  <c r="Q170" i="12"/>
  <c r="O170" i="12"/>
  <c r="W170" i="12" s="1"/>
  <c r="X170" i="12" s="1"/>
  <c r="Y170" i="12" s="1"/>
  <c r="Z170" i="12" s="1"/>
  <c r="AA170" i="12" s="1"/>
  <c r="AB170" i="12" s="1"/>
  <c r="P170" i="12"/>
  <c r="K179" i="12"/>
  <c r="AC169" i="12"/>
  <c r="N169" i="12"/>
  <c r="Q156" i="12"/>
  <c r="O156" i="12"/>
  <c r="N162" i="12"/>
  <c r="W156" i="12"/>
  <c r="P156" i="12"/>
  <c r="N97" i="12"/>
  <c r="K99" i="12"/>
  <c r="AC97" i="12"/>
  <c r="P73" i="12"/>
  <c r="W73" i="12" s="1"/>
  <c r="X73" i="12" s="1"/>
  <c r="Y73" i="12" s="1"/>
  <c r="Q73" i="12"/>
  <c r="O73" i="12"/>
  <c r="AF32" i="12"/>
  <c r="AC15" i="12"/>
  <c r="AF15" i="12" s="1"/>
  <c r="AG15" i="12" s="1"/>
  <c r="N15" i="12"/>
  <c r="K20" i="12"/>
  <c r="AF13" i="12"/>
  <c r="P197" i="12"/>
  <c r="Q197" i="12"/>
  <c r="O197" i="12"/>
  <c r="W197" i="12" s="1"/>
  <c r="X197" i="12" s="1"/>
  <c r="P177" i="12"/>
  <c r="Q177" i="12"/>
  <c r="O177" i="12"/>
  <c r="W177" i="12" s="1"/>
  <c r="X177" i="12" s="1"/>
  <c r="Y177" i="12" s="1"/>
  <c r="Z177" i="12" s="1"/>
  <c r="AA177" i="12" s="1"/>
  <c r="AB177" i="12" s="1"/>
  <c r="K200" i="12"/>
  <c r="AC195" i="12"/>
  <c r="N195" i="12"/>
  <c r="Q172" i="12"/>
  <c r="O172" i="12"/>
  <c r="W172" i="12" s="1"/>
  <c r="X172" i="12" s="1"/>
  <c r="Y172" i="12" s="1"/>
  <c r="Z172" i="12" s="1"/>
  <c r="AA172" i="12" s="1"/>
  <c r="AB172" i="12" s="1"/>
  <c r="P172" i="12"/>
  <c r="Q55" i="12"/>
  <c r="O55" i="12"/>
  <c r="P55" i="12"/>
  <c r="AF211" i="12"/>
  <c r="N173" i="12"/>
  <c r="AC173" i="12"/>
  <c r="AF173" i="12" s="1"/>
  <c r="AG173" i="12" s="1"/>
  <c r="N159" i="12"/>
  <c r="AC159" i="12"/>
  <c r="AF159" i="12" s="1"/>
  <c r="N158" i="12"/>
  <c r="AC158" i="12"/>
  <c r="AF158" i="12" s="1"/>
  <c r="AG158" i="12" s="1"/>
  <c r="K134" i="12"/>
  <c r="AC131" i="12"/>
  <c r="N131" i="12"/>
  <c r="P110" i="12"/>
  <c r="Q110" i="12"/>
  <c r="O110" i="12"/>
  <c r="W84" i="12"/>
  <c r="X84" i="12" s="1"/>
  <c r="AA84" i="12" s="1"/>
  <c r="AB84" i="12" s="1"/>
  <c r="AD84" i="12" s="1"/>
  <c r="P84" i="12"/>
  <c r="Q84" i="12"/>
  <c r="O84" i="12"/>
  <c r="K76" i="12"/>
  <c r="AC72" i="12"/>
  <c r="N72" i="12"/>
  <c r="Q16" i="12"/>
  <c r="W16" i="12"/>
  <c r="X16" i="12" s="1"/>
  <c r="Z16" i="12" s="1"/>
  <c r="AA16" i="12" s="1"/>
  <c r="AB16" i="12" s="1"/>
  <c r="AD16" i="12" s="1"/>
  <c r="AG16" i="12" s="1"/>
  <c r="P16" i="12"/>
  <c r="O16" i="12"/>
  <c r="AC35" i="12"/>
  <c r="AF35" i="12" s="1"/>
  <c r="AG35" i="12" s="1"/>
  <c r="N35" i="12"/>
  <c r="AC227" i="12"/>
  <c r="AF226" i="12"/>
  <c r="AF227" i="12" s="1"/>
  <c r="P218" i="12"/>
  <c r="W218" i="12" s="1"/>
  <c r="X218" i="12" s="1"/>
  <c r="Y218" i="12" s="1"/>
  <c r="Z218" i="12" s="1"/>
  <c r="AA218" i="12" s="1"/>
  <c r="AB218" i="12" s="1"/>
  <c r="AD218" i="12" s="1"/>
  <c r="AG218" i="12" s="1"/>
  <c r="Q218" i="12"/>
  <c r="O218" i="12"/>
  <c r="AC133" i="12"/>
  <c r="AF133" i="12" s="1"/>
  <c r="N133" i="12"/>
  <c r="K189" i="12"/>
  <c r="AC188" i="12"/>
  <c r="N188" i="12"/>
  <c r="P111" i="12"/>
  <c r="Q111" i="12"/>
  <c r="O111" i="12"/>
  <c r="W111" i="12" s="1"/>
  <c r="X111" i="12" s="1"/>
  <c r="Y111" i="12" s="1"/>
  <c r="Z111" i="12" s="1"/>
  <c r="AA111" i="12" s="1"/>
  <c r="AB111" i="12" s="1"/>
  <c r="AC88" i="12"/>
  <c r="AF83" i="12"/>
  <c r="N63" i="12"/>
  <c r="AC63" i="12"/>
  <c r="AF63" i="12" s="1"/>
  <c r="AG63" i="12" s="1"/>
  <c r="N58" i="12"/>
  <c r="AC58" i="12"/>
  <c r="AF58" i="12" s="1"/>
  <c r="AG58" i="12" s="1"/>
  <c r="AF156" i="12"/>
  <c r="Q148" i="12"/>
  <c r="O148" i="12"/>
  <c r="W148" i="12" s="1"/>
  <c r="X148" i="12" s="1"/>
  <c r="Y148" i="12" s="1"/>
  <c r="Z148" i="12" s="1"/>
  <c r="AA148" i="12" s="1"/>
  <c r="AB148" i="12" s="1"/>
  <c r="P148" i="12"/>
  <c r="AC40" i="12"/>
  <c r="AF40" i="12" s="1"/>
  <c r="AG40" i="12" s="1"/>
  <c r="N40" i="12"/>
  <c r="P38" i="12"/>
  <c r="Q38" i="12"/>
  <c r="O38" i="12"/>
  <c r="W38" i="12" s="1"/>
  <c r="X38" i="12" s="1"/>
  <c r="Z38" i="12" s="1"/>
  <c r="AA38" i="12" s="1"/>
  <c r="AB38" i="12" s="1"/>
  <c r="AF55" i="12"/>
  <c r="P18" i="12"/>
  <c r="W18" i="12" s="1"/>
  <c r="X18" i="12" s="1"/>
  <c r="Z18" i="12" s="1"/>
  <c r="AA18" i="12" s="1"/>
  <c r="AB18" i="12" s="1"/>
  <c r="AD18" i="12" s="1"/>
  <c r="AG18" i="12" s="1"/>
  <c r="Q18" i="12"/>
  <c r="O18" i="12"/>
  <c r="W113" i="12"/>
  <c r="X113" i="12" s="1"/>
  <c r="Y113" i="12" s="1"/>
  <c r="Z113" i="12" s="1"/>
  <c r="AA113" i="12" s="1"/>
  <c r="AB113" i="12" s="1"/>
  <c r="AD113" i="12" s="1"/>
  <c r="AG113" i="12" s="1"/>
  <c r="P113" i="12"/>
  <c r="Q113" i="12"/>
  <c r="O113" i="12"/>
  <c r="P86" i="12"/>
  <c r="Q86" i="12"/>
  <c r="W86" i="12" s="1"/>
  <c r="X86" i="12" s="1"/>
  <c r="Y86" i="12" s="1"/>
  <c r="Z86" i="12" s="1"/>
  <c r="AA86" i="12" s="1"/>
  <c r="AB86" i="12" s="1"/>
  <c r="AD86" i="12" s="1"/>
  <c r="AG86" i="12" s="1"/>
  <c r="O86" i="12"/>
  <c r="N60" i="12"/>
  <c r="AC60" i="12"/>
  <c r="AF60" i="12" s="1"/>
  <c r="AG60" i="12" s="1"/>
  <c r="P34" i="12"/>
  <c r="Q34" i="12"/>
  <c r="O34" i="12"/>
  <c r="W34" i="12" s="1"/>
  <c r="X34" i="12" s="1"/>
  <c r="Z34" i="12" s="1"/>
  <c r="AA34" i="12" s="1"/>
  <c r="AB34" i="12" s="1"/>
  <c r="P33" i="12"/>
  <c r="Q33" i="12"/>
  <c r="O33" i="12"/>
  <c r="N227" i="12"/>
  <c r="Q226" i="12"/>
  <c r="Q227" i="12" s="1"/>
  <c r="P226" i="12"/>
  <c r="P227" i="12" s="1"/>
  <c r="W226" i="12"/>
  <c r="Q213" i="12"/>
  <c r="O213" i="12"/>
  <c r="W213" i="12"/>
  <c r="X213" i="12" s="1"/>
  <c r="Z213" i="12" s="1"/>
  <c r="AA213" i="12" s="1"/>
  <c r="AB213" i="12" s="1"/>
  <c r="AD213" i="12" s="1"/>
  <c r="AG213" i="12" s="1"/>
  <c r="P213" i="12"/>
  <c r="AC176" i="12"/>
  <c r="AF176" i="12" s="1"/>
  <c r="N176" i="12"/>
  <c r="N122" i="12"/>
  <c r="K123" i="12"/>
  <c r="AC122" i="12"/>
  <c r="AC112" i="12"/>
  <c r="AF112" i="12" s="1"/>
  <c r="AG112" i="12" s="1"/>
  <c r="N112" i="12"/>
  <c r="AE130" i="10"/>
  <c r="J118" i="10"/>
  <c r="J206" i="10"/>
  <c r="K26" i="10"/>
  <c r="K180" i="10" s="1"/>
  <c r="M15" i="10"/>
  <c r="M64" i="10"/>
  <c r="J280" i="10"/>
  <c r="J142" i="10"/>
  <c r="M26" i="10"/>
  <c r="M180" i="10" s="1"/>
  <c r="AE191" i="10"/>
  <c r="AE238" i="10"/>
  <c r="AE142" i="10"/>
  <c r="Y97" i="10"/>
  <c r="X260" i="10"/>
  <c r="J130" i="10"/>
  <c r="M20" i="10"/>
  <c r="K20" i="10"/>
  <c r="AE171" i="10"/>
  <c r="M35" i="10"/>
  <c r="M86" i="10"/>
  <c r="K78" i="10"/>
  <c r="AC78" i="10" s="1"/>
  <c r="AF78" i="10" s="1"/>
  <c r="M81" i="10"/>
  <c r="M36" i="10"/>
  <c r="M28" i="10"/>
  <c r="K31" i="10"/>
  <c r="N31" i="10" s="1"/>
  <c r="K55" i="10"/>
  <c r="AC55" i="10" s="1"/>
  <c r="AF55" i="10" s="1"/>
  <c r="AG55" i="10" s="1"/>
  <c r="K54" i="10"/>
  <c r="N54" i="10" s="1"/>
  <c r="K37" i="10"/>
  <c r="N37" i="10" s="1"/>
  <c r="M32" i="10"/>
  <c r="M18" i="10"/>
  <c r="AC18" i="10"/>
  <c r="AF18" i="10" s="1"/>
  <c r="N18" i="10"/>
  <c r="AC15" i="10"/>
  <c r="AF15" i="10" s="1"/>
  <c r="AG15" i="10" s="1"/>
  <c r="N15" i="10"/>
  <c r="M14" i="10"/>
  <c r="K14" i="10"/>
  <c r="AC51" i="10"/>
  <c r="AF51" i="10" s="1"/>
  <c r="AG51" i="10" s="1"/>
  <c r="N51" i="10"/>
  <c r="N59" i="10"/>
  <c r="AC59" i="10"/>
  <c r="AF59" i="10" s="1"/>
  <c r="AG59" i="10" s="1"/>
  <c r="N64" i="10"/>
  <c r="AC64" i="10"/>
  <c r="AF64" i="10" s="1"/>
  <c r="AG64" i="10" s="1"/>
  <c r="AB24" i="10"/>
  <c r="M73" i="10"/>
  <c r="K73" i="10"/>
  <c r="N82" i="10"/>
  <c r="AC82" i="10"/>
  <c r="AF82" i="10" s="1"/>
  <c r="K49" i="10"/>
  <c r="M49" i="10"/>
  <c r="AC19" i="10"/>
  <c r="AF19" i="10" s="1"/>
  <c r="AG19" i="10" s="1"/>
  <c r="N19" i="10"/>
  <c r="K47" i="10"/>
  <c r="M47" i="10"/>
  <c r="P53" i="10"/>
  <c r="Q53" i="10"/>
  <c r="O53" i="10"/>
  <c r="W53" i="10" s="1"/>
  <c r="X53" i="10" s="1"/>
  <c r="Z53" i="10" s="1"/>
  <c r="AA53" i="10" s="1"/>
  <c r="AB53" i="10" s="1"/>
  <c r="N55" i="10"/>
  <c r="Q63" i="10"/>
  <c r="O63" i="10"/>
  <c r="W63" i="10" s="1"/>
  <c r="X63" i="10" s="1"/>
  <c r="Y63" i="10" s="1"/>
  <c r="Z63" i="10" s="1"/>
  <c r="AA63" i="10" s="1"/>
  <c r="AB63" i="10" s="1"/>
  <c r="P63" i="10"/>
  <c r="K21" i="10"/>
  <c r="M21" i="10"/>
  <c r="M68" i="10"/>
  <c r="K68" i="10"/>
  <c r="K77" i="10"/>
  <c r="M77" i="10"/>
  <c r="M191" i="10" s="1"/>
  <c r="K34" i="10"/>
  <c r="M34" i="10"/>
  <c r="K22" i="10"/>
  <c r="M22" i="10"/>
  <c r="K24" i="10"/>
  <c r="K153" i="10" s="1"/>
  <c r="M24" i="10"/>
  <c r="M153" i="10" s="1"/>
  <c r="K70" i="10"/>
  <c r="M70" i="10"/>
  <c r="M71" i="10"/>
  <c r="K71" i="10"/>
  <c r="M72" i="10"/>
  <c r="K72" i="10"/>
  <c r="N74" i="10"/>
  <c r="AC74" i="10"/>
  <c r="AF74" i="10" s="1"/>
  <c r="AG74" i="10" s="1"/>
  <c r="M79" i="10"/>
  <c r="M220" i="10" s="1"/>
  <c r="K79" i="10"/>
  <c r="K220" i="10" s="1"/>
  <c r="M87" i="10"/>
  <c r="K87" i="10"/>
  <c r="K90" i="10"/>
  <c r="M90" i="10"/>
  <c r="K93" i="10"/>
  <c r="M93" i="10"/>
  <c r="K91" i="10"/>
  <c r="M91" i="10"/>
  <c r="K95" i="10"/>
  <c r="K260" i="10" s="1"/>
  <c r="M95" i="10"/>
  <c r="M260" i="10" s="1"/>
  <c r="M30" i="10"/>
  <c r="K30" i="10"/>
  <c r="N33" i="10"/>
  <c r="AC33" i="10"/>
  <c r="AF33" i="10" s="1"/>
  <c r="N35" i="10"/>
  <c r="AC35" i="10"/>
  <c r="AF35" i="10" s="1"/>
  <c r="AG35" i="10" s="1"/>
  <c r="AC37" i="10"/>
  <c r="AF37" i="10" s="1"/>
  <c r="N81" i="10"/>
  <c r="AC81" i="10"/>
  <c r="AF81" i="10" s="1"/>
  <c r="AG81" i="10" s="1"/>
  <c r="AC26" i="10"/>
  <c r="AC180" i="10" s="1"/>
  <c r="N26" i="10"/>
  <c r="N180" i="10" s="1"/>
  <c r="AC76" i="10"/>
  <c r="N76" i="10"/>
  <c r="AC28" i="10"/>
  <c r="AF28" i="10" s="1"/>
  <c r="AG28" i="10" s="1"/>
  <c r="N28" i="10"/>
  <c r="AC85" i="10"/>
  <c r="N85" i="10"/>
  <c r="N17" i="10"/>
  <c r="AC17" i="10"/>
  <c r="AF17" i="10" s="1"/>
  <c r="AG17" i="10" s="1"/>
  <c r="K13" i="10"/>
  <c r="M13" i="10"/>
  <c r="K48" i="10"/>
  <c r="M48" i="10"/>
  <c r="N61" i="10"/>
  <c r="AC61" i="10"/>
  <c r="AF61" i="10" s="1"/>
  <c r="AG61" i="10" s="1"/>
  <c r="M66" i="10"/>
  <c r="K66" i="10"/>
  <c r="M89" i="10"/>
  <c r="K89" i="10"/>
  <c r="AC94" i="10"/>
  <c r="AF94" i="10" s="1"/>
  <c r="AG94" i="10" s="1"/>
  <c r="N94" i="10"/>
  <c r="AC38" i="10"/>
  <c r="AF38" i="10" s="1"/>
  <c r="N38" i="10"/>
  <c r="K56" i="10"/>
  <c r="AC50" i="10"/>
  <c r="AF50" i="10" s="1"/>
  <c r="AG50" i="10" s="1"/>
  <c r="N50" i="10"/>
  <c r="K52" i="10"/>
  <c r="AC52" i="10" s="1"/>
  <c r="AF52" i="10" s="1"/>
  <c r="AG52" i="10" s="1"/>
  <c r="M52" i="10"/>
  <c r="K57" i="10"/>
  <c r="M57" i="10"/>
  <c r="Q25" i="10"/>
  <c r="O25" i="10"/>
  <c r="W25" i="10" s="1"/>
  <c r="W153" i="10" s="1"/>
  <c r="P25" i="10"/>
  <c r="K27" i="10"/>
  <c r="K206" i="10" s="1"/>
  <c r="M27" i="10"/>
  <c r="M206" i="10" s="1"/>
  <c r="N88" i="10"/>
  <c r="AC88" i="10"/>
  <c r="AF88" i="10" s="1"/>
  <c r="AG88" i="10" s="1"/>
  <c r="AA96" i="10"/>
  <c r="AC92" i="10"/>
  <c r="AF92" i="10" s="1"/>
  <c r="N92" i="10"/>
  <c r="M29" i="10"/>
  <c r="M249" i="10" s="1"/>
  <c r="K29" i="10"/>
  <c r="K249" i="10" s="1"/>
  <c r="Y99" i="10"/>
  <c r="AC32" i="10"/>
  <c r="AF32" i="10" s="1"/>
  <c r="N32" i="10"/>
  <c r="N100" i="10"/>
  <c r="N287" i="10" s="1"/>
  <c r="AC100" i="10"/>
  <c r="AC287" i="10" s="1"/>
  <c r="M60" i="10"/>
  <c r="K60" i="10"/>
  <c r="K23" i="10"/>
  <c r="M23" i="10"/>
  <c r="M65" i="10"/>
  <c r="K65" i="10"/>
  <c r="M67" i="10"/>
  <c r="K67" i="10"/>
  <c r="AC67" i="10" s="1"/>
  <c r="AF67" i="10" s="1"/>
  <c r="AG67" i="10" s="1"/>
  <c r="M75" i="10"/>
  <c r="K75" i="10"/>
  <c r="AC86" i="10"/>
  <c r="AF86" i="10" s="1"/>
  <c r="AG86" i="10" s="1"/>
  <c r="N86" i="10"/>
  <c r="N36" i="10"/>
  <c r="AC36" i="10"/>
  <c r="AF36" i="10" s="1"/>
  <c r="AC16" i="10"/>
  <c r="AF16" i="10" s="1"/>
  <c r="N16" i="10"/>
  <c r="X110" i="6"/>
  <c r="Y110" i="6" s="1"/>
  <c r="Z110" i="6" s="1"/>
  <c r="AF162" i="12" l="1"/>
  <c r="AC220" i="12"/>
  <c r="AC20" i="12"/>
  <c r="P214" i="12"/>
  <c r="W214" i="12" s="1"/>
  <c r="X214" i="12" s="1"/>
  <c r="AA214" i="12" s="1"/>
  <c r="AB214" i="12" s="1"/>
  <c r="AD214" i="12" s="1"/>
  <c r="AG214" i="12" s="1"/>
  <c r="O214" i="12"/>
  <c r="Q214" i="12"/>
  <c r="O219" i="12"/>
  <c r="W219" i="12" s="1"/>
  <c r="P219" i="12"/>
  <c r="Q219" i="12"/>
  <c r="Q176" i="12"/>
  <c r="O176" i="12"/>
  <c r="P176" i="12"/>
  <c r="W176" i="12" s="1"/>
  <c r="X176" i="12" s="1"/>
  <c r="Y176" i="12" s="1"/>
  <c r="Z176" i="12" s="1"/>
  <c r="AA176" i="12" s="1"/>
  <c r="AB176" i="12" s="1"/>
  <c r="AD176" i="12" s="1"/>
  <c r="AG176" i="12" s="1"/>
  <c r="W227" i="12"/>
  <c r="X226" i="12"/>
  <c r="AF64" i="12"/>
  <c r="AG55" i="12"/>
  <c r="AG64" i="12" s="1"/>
  <c r="AC189" i="12"/>
  <c r="AF188" i="12"/>
  <c r="AF189" i="12" s="1"/>
  <c r="Q133" i="12"/>
  <c r="O133" i="12"/>
  <c r="W133" i="12"/>
  <c r="X133" i="12" s="1"/>
  <c r="Y133" i="12" s="1"/>
  <c r="Z133" i="12" s="1"/>
  <c r="AA133" i="12" s="1"/>
  <c r="AB133" i="12" s="1"/>
  <c r="AD133" i="12" s="1"/>
  <c r="AG133" i="12" s="1"/>
  <c r="P133" i="12"/>
  <c r="AF220" i="12"/>
  <c r="AG211" i="12"/>
  <c r="AC200" i="12"/>
  <c r="AF195" i="12"/>
  <c r="Q15" i="12"/>
  <c r="Q20" i="12" s="1"/>
  <c r="O15" i="12"/>
  <c r="W15" i="12" s="1"/>
  <c r="X15" i="12" s="1"/>
  <c r="Z15" i="12" s="1"/>
  <c r="AA15" i="12" s="1"/>
  <c r="AB15" i="12" s="1"/>
  <c r="P15" i="12"/>
  <c r="Q112" i="12"/>
  <c r="O112" i="12"/>
  <c r="W112" i="12" s="1"/>
  <c r="X112" i="12" s="1"/>
  <c r="Y112" i="12" s="1"/>
  <c r="Z112" i="12" s="1"/>
  <c r="AA112" i="12" s="1"/>
  <c r="AB112" i="12" s="1"/>
  <c r="P112" i="12"/>
  <c r="AC123" i="12"/>
  <c r="AF122" i="12"/>
  <c r="P122" i="12"/>
  <c r="P123" i="12" s="1"/>
  <c r="N123" i="12"/>
  <c r="Q122" i="12"/>
  <c r="Q123" i="12" s="1"/>
  <c r="O122" i="12"/>
  <c r="P60" i="12"/>
  <c r="Q60" i="12"/>
  <c r="O60" i="12"/>
  <c r="W60" i="12" s="1"/>
  <c r="X60" i="12" s="1"/>
  <c r="Y60" i="12" s="1"/>
  <c r="Z60" i="12" s="1"/>
  <c r="AA60" i="12" s="1"/>
  <c r="AB60" i="12" s="1"/>
  <c r="AC64" i="12"/>
  <c r="Q40" i="12"/>
  <c r="O40" i="12"/>
  <c r="W40" i="12" s="1"/>
  <c r="X40" i="12" s="1"/>
  <c r="Z40" i="12" s="1"/>
  <c r="AA40" i="12" s="1"/>
  <c r="AB40" i="12" s="1"/>
  <c r="P40" i="12"/>
  <c r="AC162" i="12"/>
  <c r="P58" i="12"/>
  <c r="P64" i="12" s="1"/>
  <c r="O58" i="12"/>
  <c r="W58" i="12" s="1"/>
  <c r="X58" i="12" s="1"/>
  <c r="Y58" i="12" s="1"/>
  <c r="Z58" i="12" s="1"/>
  <c r="AA58" i="12" s="1"/>
  <c r="AB58" i="12" s="1"/>
  <c r="Q58" i="12"/>
  <c r="Q64" i="12" s="1"/>
  <c r="P63" i="12"/>
  <c r="O63" i="12"/>
  <c r="W63" i="12" s="1"/>
  <c r="X63" i="12" s="1"/>
  <c r="Y63" i="12" s="1"/>
  <c r="Z63" i="12" s="1"/>
  <c r="AA63" i="12" s="1"/>
  <c r="AB63" i="12" s="1"/>
  <c r="Q63" i="12"/>
  <c r="N189" i="12"/>
  <c r="Q188" i="12"/>
  <c r="Q189" i="12" s="1"/>
  <c r="O188" i="12"/>
  <c r="O189" i="12" s="1"/>
  <c r="W188" i="12"/>
  <c r="P188" i="12"/>
  <c r="P189" i="12" s="1"/>
  <c r="P35" i="12"/>
  <c r="Q35" i="12"/>
  <c r="O35" i="12"/>
  <c r="W35" i="12" s="1"/>
  <c r="X35" i="12" s="1"/>
  <c r="Z35" i="12" s="1"/>
  <c r="AA35" i="12" s="1"/>
  <c r="AB35" i="12" s="1"/>
  <c r="N76" i="12"/>
  <c r="Q72" i="12"/>
  <c r="Q76" i="12" s="1"/>
  <c r="O72" i="12"/>
  <c r="P72" i="12"/>
  <c r="P76" i="12" s="1"/>
  <c r="AD88" i="12"/>
  <c r="AG84" i="12"/>
  <c r="N134" i="12"/>
  <c r="Q131" i="12"/>
  <c r="O131" i="12"/>
  <c r="P131" i="12"/>
  <c r="P158" i="12"/>
  <c r="Q158" i="12"/>
  <c r="O158" i="12"/>
  <c r="O162" i="12" s="1"/>
  <c r="P159" i="12"/>
  <c r="W159" i="12" s="1"/>
  <c r="X159" i="12" s="1"/>
  <c r="Y159" i="12" s="1"/>
  <c r="Z159" i="12" s="1"/>
  <c r="AA159" i="12" s="1"/>
  <c r="AB159" i="12" s="1"/>
  <c r="AD159" i="12" s="1"/>
  <c r="AG159" i="12" s="1"/>
  <c r="Q159" i="12"/>
  <c r="Q162" i="12" s="1"/>
  <c r="O159" i="12"/>
  <c r="P173" i="12"/>
  <c r="O173" i="12"/>
  <c r="W173" i="12" s="1"/>
  <c r="X173" i="12" s="1"/>
  <c r="Y173" i="12" s="1"/>
  <c r="Z173" i="12" s="1"/>
  <c r="AA173" i="12" s="1"/>
  <c r="AB173" i="12" s="1"/>
  <c r="Q173" i="12"/>
  <c r="W55" i="12"/>
  <c r="N64" i="12"/>
  <c r="N200" i="12"/>
  <c r="P195" i="12"/>
  <c r="P200" i="12" s="1"/>
  <c r="Q195" i="12"/>
  <c r="Q200" i="12" s="1"/>
  <c r="O195" i="12"/>
  <c r="Y197" i="12"/>
  <c r="X200" i="12"/>
  <c r="AF20" i="12"/>
  <c r="AG13" i="12"/>
  <c r="AC41" i="12"/>
  <c r="AC99" i="12"/>
  <c r="AF97" i="12"/>
  <c r="P97" i="12"/>
  <c r="P99" i="12" s="1"/>
  <c r="N99" i="12"/>
  <c r="Q97" i="12"/>
  <c r="Q99" i="12" s="1"/>
  <c r="O97" i="12"/>
  <c r="O99" i="12" s="1"/>
  <c r="X156" i="12"/>
  <c r="W162" i="12"/>
  <c r="N179" i="12"/>
  <c r="Q169" i="12"/>
  <c r="O169" i="12"/>
  <c r="W169" i="12"/>
  <c r="P169" i="12"/>
  <c r="Q178" i="12"/>
  <c r="O178" i="12"/>
  <c r="P178" i="12"/>
  <c r="N114" i="12"/>
  <c r="Q108" i="12"/>
  <c r="Q114" i="12" s="1"/>
  <c r="O108" i="12"/>
  <c r="P108" i="12"/>
  <c r="P114" i="12" s="1"/>
  <c r="AG109" i="12"/>
  <c r="AD114" i="12"/>
  <c r="N149" i="12"/>
  <c r="P147" i="12"/>
  <c r="P149" i="12" s="1"/>
  <c r="Q147" i="12"/>
  <c r="Q149" i="12" s="1"/>
  <c r="O147" i="12"/>
  <c r="AD196" i="12"/>
  <c r="Q220" i="12"/>
  <c r="W59" i="12"/>
  <c r="X59" i="12"/>
  <c r="Y59" i="12" s="1"/>
  <c r="Z59" i="12" s="1"/>
  <c r="AA59" i="12" s="1"/>
  <c r="AB59" i="12" s="1"/>
  <c r="W13" i="12"/>
  <c r="O20" i="12"/>
  <c r="W32" i="12"/>
  <c r="Q88" i="12"/>
  <c r="P88" i="12"/>
  <c r="W99" i="12"/>
  <c r="X98" i="12"/>
  <c r="AG132" i="12"/>
  <c r="AD134" i="12"/>
  <c r="AF88" i="12"/>
  <c r="AG83" i="12"/>
  <c r="AG88" i="12" s="1"/>
  <c r="AC76" i="12"/>
  <c r="AF72" i="12"/>
  <c r="AC134" i="12"/>
  <c r="AF131" i="12"/>
  <c r="AF41" i="12"/>
  <c r="AG32" i="12"/>
  <c r="AG41" i="12" s="1"/>
  <c r="Y76" i="12"/>
  <c r="Z73" i="12"/>
  <c r="AA73" i="12" s="1"/>
  <c r="AB73" i="12" s="1"/>
  <c r="AD73" i="12" s="1"/>
  <c r="P162" i="12"/>
  <c r="AC179" i="12"/>
  <c r="AF169" i="12"/>
  <c r="AF179" i="12" s="1"/>
  <c r="AD20" i="12"/>
  <c r="AG14" i="12"/>
  <c r="AC114" i="12"/>
  <c r="AF108" i="12"/>
  <c r="AG108" i="12" s="1"/>
  <c r="AC149" i="12"/>
  <c r="AF147" i="12"/>
  <c r="P220" i="12"/>
  <c r="O220" i="12"/>
  <c r="Q39" i="12"/>
  <c r="O39" i="12"/>
  <c r="W39" i="12" s="1"/>
  <c r="X39" i="12" s="1"/>
  <c r="Z39" i="12" s="1"/>
  <c r="AA39" i="12" s="1"/>
  <c r="AB39" i="12" s="1"/>
  <c r="P39" i="12"/>
  <c r="P41" i="12" s="1"/>
  <c r="P171" i="12"/>
  <c r="Q171" i="12"/>
  <c r="O171" i="12"/>
  <c r="W171" i="12" s="1"/>
  <c r="X171" i="12" s="1"/>
  <c r="Y171" i="12" s="1"/>
  <c r="Z171" i="12" s="1"/>
  <c r="AA171" i="12" s="1"/>
  <c r="AB171" i="12" s="1"/>
  <c r="AD171" i="12" s="1"/>
  <c r="AG171" i="12" s="1"/>
  <c r="W220" i="12"/>
  <c r="X212" i="12"/>
  <c r="P20" i="12"/>
  <c r="N20" i="12"/>
  <c r="N41" i="12"/>
  <c r="O88" i="12"/>
  <c r="W83" i="12"/>
  <c r="Z216" i="12"/>
  <c r="AA216" i="12" s="1"/>
  <c r="AB216" i="12" s="1"/>
  <c r="Y220" i="12"/>
  <c r="K280" i="10"/>
  <c r="K238" i="10"/>
  <c r="M238" i="10"/>
  <c r="M171" i="10"/>
  <c r="K142" i="10"/>
  <c r="N78" i="10"/>
  <c r="M118" i="10"/>
  <c r="K118" i="10"/>
  <c r="M142" i="10"/>
  <c r="M280" i="10"/>
  <c r="K171" i="10"/>
  <c r="M130" i="10"/>
  <c r="K130" i="10"/>
  <c r="N20" i="10"/>
  <c r="AC20" i="10"/>
  <c r="Z97" i="10"/>
  <c r="Y260" i="10"/>
  <c r="K191" i="10"/>
  <c r="AC31" i="10"/>
  <c r="AF31" i="10" s="1"/>
  <c r="AC54" i="10"/>
  <c r="AF54" i="10" s="1"/>
  <c r="AG54" i="10" s="1"/>
  <c r="Q100" i="10"/>
  <c r="Q287" i="10" s="1"/>
  <c r="W100" i="10"/>
  <c r="W287" i="10" s="1"/>
  <c r="P100" i="10"/>
  <c r="P287" i="10" s="1"/>
  <c r="Q32" i="10"/>
  <c r="O32" i="10"/>
  <c r="W32" i="10"/>
  <c r="X32" i="10" s="1"/>
  <c r="Z32" i="10" s="1"/>
  <c r="AA32" i="10" s="1"/>
  <c r="AB32" i="10" s="1"/>
  <c r="AD32" i="10" s="1"/>
  <c r="AG32" i="10" s="1"/>
  <c r="P32" i="10"/>
  <c r="AC29" i="10"/>
  <c r="AC249" i="10" s="1"/>
  <c r="N29" i="10"/>
  <c r="N249" i="10" s="1"/>
  <c r="AC48" i="10"/>
  <c r="AF48" i="10" s="1"/>
  <c r="AG48" i="10" s="1"/>
  <c r="N48" i="10"/>
  <c r="AF85" i="10"/>
  <c r="Q76" i="10"/>
  <c r="O76" i="10"/>
  <c r="P76" i="10"/>
  <c r="AF26" i="10"/>
  <c r="AF180" i="10" s="1"/>
  <c r="P36" i="10"/>
  <c r="W36" i="10" s="1"/>
  <c r="X36" i="10" s="1"/>
  <c r="Z36" i="10" s="1"/>
  <c r="AA36" i="10" s="1"/>
  <c r="AB36" i="10" s="1"/>
  <c r="AD36" i="10" s="1"/>
  <c r="AG36" i="10" s="1"/>
  <c r="Q36" i="10"/>
  <c r="O36" i="10"/>
  <c r="AC75" i="10"/>
  <c r="N75" i="10"/>
  <c r="AC65" i="10"/>
  <c r="N65" i="10"/>
  <c r="AC23" i="10"/>
  <c r="AF23" i="10" s="1"/>
  <c r="AG23" i="10" s="1"/>
  <c r="N23" i="10"/>
  <c r="AC60" i="10"/>
  <c r="AF60" i="10" s="1"/>
  <c r="AG60" i="10" s="1"/>
  <c r="N60" i="10"/>
  <c r="AF100" i="10"/>
  <c r="AF287" i="10" s="1"/>
  <c r="Z99" i="10"/>
  <c r="Q92" i="10"/>
  <c r="O92" i="10"/>
  <c r="P92" i="10"/>
  <c r="W92" i="10" s="1"/>
  <c r="X92" i="10" s="1"/>
  <c r="Y92" i="10" s="1"/>
  <c r="Z92" i="10" s="1"/>
  <c r="AA92" i="10" s="1"/>
  <c r="AB92" i="10" s="1"/>
  <c r="AD92" i="10" s="1"/>
  <c r="AG92" i="10" s="1"/>
  <c r="P88" i="10"/>
  <c r="Q88" i="10"/>
  <c r="O88" i="10"/>
  <c r="W88" i="10" s="1"/>
  <c r="X88" i="10" s="1"/>
  <c r="Y88" i="10" s="1"/>
  <c r="Z88" i="10" s="1"/>
  <c r="AA88" i="10" s="1"/>
  <c r="AB88" i="10" s="1"/>
  <c r="N27" i="10"/>
  <c r="N206" i="10" s="1"/>
  <c r="AC27" i="10"/>
  <c r="AC206" i="10" s="1"/>
  <c r="Q78" i="10"/>
  <c r="O78" i="10"/>
  <c r="W78" i="10"/>
  <c r="X78" i="10" s="1"/>
  <c r="Y78" i="10" s="1"/>
  <c r="Z78" i="10" s="1"/>
  <c r="AA78" i="10" s="1"/>
  <c r="AB78" i="10" s="1"/>
  <c r="AD78" i="10" s="1"/>
  <c r="AG78" i="10" s="1"/>
  <c r="P78" i="10"/>
  <c r="Q50" i="10"/>
  <c r="O50" i="10"/>
  <c r="W50" i="10" s="1"/>
  <c r="X50" i="10" s="1"/>
  <c r="Z50" i="10" s="1"/>
  <c r="AA50" i="10" s="1"/>
  <c r="AB50" i="10" s="1"/>
  <c r="P50" i="10"/>
  <c r="AC56" i="10"/>
  <c r="N56" i="10"/>
  <c r="P38" i="10"/>
  <c r="Q38" i="10"/>
  <c r="O38" i="10"/>
  <c r="W38" i="10" s="1"/>
  <c r="Q94" i="10"/>
  <c r="O94" i="10"/>
  <c r="P94" i="10"/>
  <c r="AC89" i="10"/>
  <c r="AF89" i="10" s="1"/>
  <c r="AG89" i="10" s="1"/>
  <c r="N89" i="10"/>
  <c r="AC66" i="10"/>
  <c r="AF66" i="10" s="1"/>
  <c r="N66" i="10"/>
  <c r="N13" i="10"/>
  <c r="AC13" i="10"/>
  <c r="P17" i="10"/>
  <c r="Q17" i="10"/>
  <c r="O17" i="10"/>
  <c r="W17" i="10" s="1"/>
  <c r="X17" i="10" s="1"/>
  <c r="Z17" i="10" s="1"/>
  <c r="AA17" i="10" s="1"/>
  <c r="AB17" i="10" s="1"/>
  <c r="Q85" i="10"/>
  <c r="O85" i="10"/>
  <c r="P85" i="10"/>
  <c r="W85" i="10"/>
  <c r="AF76" i="10"/>
  <c r="Q26" i="10"/>
  <c r="Q180" i="10" s="1"/>
  <c r="O26" i="10"/>
  <c r="O180" i="10" s="1"/>
  <c r="P26" i="10"/>
  <c r="P180" i="10" s="1"/>
  <c r="P81" i="10"/>
  <c r="Q81" i="10"/>
  <c r="O81" i="10"/>
  <c r="N91" i="10"/>
  <c r="AC91" i="10"/>
  <c r="AF91" i="10" s="1"/>
  <c r="AG91" i="10" s="1"/>
  <c r="N93" i="10"/>
  <c r="AC93" i="10"/>
  <c r="AF93" i="10" s="1"/>
  <c r="AG93" i="10" s="1"/>
  <c r="AC90" i="10"/>
  <c r="AF90" i="10" s="1"/>
  <c r="N90" i="10"/>
  <c r="N79" i="10"/>
  <c r="N220" i="10" s="1"/>
  <c r="AC79" i="10"/>
  <c r="AC220" i="10" s="1"/>
  <c r="P74" i="10"/>
  <c r="Q74" i="10"/>
  <c r="O74" i="10"/>
  <c r="W74" i="10" s="1"/>
  <c r="X74" i="10" s="1"/>
  <c r="Y74" i="10" s="1"/>
  <c r="Z74" i="10" s="1"/>
  <c r="AA74" i="10" s="1"/>
  <c r="AB74" i="10" s="1"/>
  <c r="AC72" i="10"/>
  <c r="AF72" i="10" s="1"/>
  <c r="AG72" i="10" s="1"/>
  <c r="N72" i="10"/>
  <c r="AC71" i="10"/>
  <c r="AF71" i="10" s="1"/>
  <c r="N71" i="10"/>
  <c r="N24" i="10"/>
  <c r="N153" i="10" s="1"/>
  <c r="AC24" i="10"/>
  <c r="AC153" i="10" s="1"/>
  <c r="N34" i="10"/>
  <c r="AC34" i="10"/>
  <c r="AF34" i="10" s="1"/>
  <c r="AC68" i="10"/>
  <c r="AF68" i="10" s="1"/>
  <c r="N68" i="10"/>
  <c r="Q55" i="10"/>
  <c r="O55" i="10"/>
  <c r="W55" i="10" s="1"/>
  <c r="X55" i="10" s="1"/>
  <c r="Z55" i="10" s="1"/>
  <c r="AA55" i="10" s="1"/>
  <c r="AB55" i="10" s="1"/>
  <c r="P55" i="10"/>
  <c r="O19" i="10"/>
  <c r="W19" i="10" s="1"/>
  <c r="X19" i="10" s="1"/>
  <c r="Z19" i="10" s="1"/>
  <c r="AA19" i="10" s="1"/>
  <c r="AB19" i="10" s="1"/>
  <c r="Q19" i="10"/>
  <c r="AC73" i="10"/>
  <c r="AF73" i="10" s="1"/>
  <c r="AG73" i="10" s="1"/>
  <c r="N73" i="10"/>
  <c r="P64" i="10"/>
  <c r="Q64" i="10"/>
  <c r="O64" i="10"/>
  <c r="W64" i="10" s="1"/>
  <c r="X64" i="10" s="1"/>
  <c r="Y64" i="10" s="1"/>
  <c r="Z64" i="10" s="1"/>
  <c r="AA64" i="10" s="1"/>
  <c r="AB64" i="10" s="1"/>
  <c r="P59" i="10"/>
  <c r="Q59" i="10"/>
  <c r="O59" i="10"/>
  <c r="W59" i="10" s="1"/>
  <c r="X59" i="10" s="1"/>
  <c r="Y59" i="10" s="1"/>
  <c r="Z59" i="10" s="1"/>
  <c r="AA59" i="10" s="1"/>
  <c r="AB59" i="10" s="1"/>
  <c r="Q54" i="10"/>
  <c r="O54" i="10"/>
  <c r="W54" i="10" s="1"/>
  <c r="X54" i="10" s="1"/>
  <c r="Z54" i="10" s="1"/>
  <c r="AA54" i="10" s="1"/>
  <c r="AB54" i="10" s="1"/>
  <c r="P54" i="10"/>
  <c r="W16" i="10"/>
  <c r="X16" i="10" s="1"/>
  <c r="Z16" i="10" s="1"/>
  <c r="AA16" i="10" s="1"/>
  <c r="AB16" i="10" s="1"/>
  <c r="AD16" i="10" s="1"/>
  <c r="AG16" i="10" s="1"/>
  <c r="Q16" i="10"/>
  <c r="O16" i="10"/>
  <c r="P16" i="10"/>
  <c r="Q86" i="10"/>
  <c r="O86" i="10"/>
  <c r="W86" i="10" s="1"/>
  <c r="X86" i="10" s="1"/>
  <c r="Y86" i="10" s="1"/>
  <c r="Z86" i="10" s="1"/>
  <c r="AA86" i="10" s="1"/>
  <c r="AB86" i="10" s="1"/>
  <c r="P86" i="10"/>
  <c r="AB96" i="10"/>
  <c r="X25" i="10"/>
  <c r="X153" i="10" s="1"/>
  <c r="N57" i="10"/>
  <c r="AC57" i="10"/>
  <c r="AF57" i="10" s="1"/>
  <c r="AG57" i="10" s="1"/>
  <c r="P61" i="10"/>
  <c r="Q61" i="10"/>
  <c r="O61" i="10"/>
  <c r="W61" i="10" s="1"/>
  <c r="X61" i="10" s="1"/>
  <c r="Y61" i="10" s="1"/>
  <c r="Z61" i="10" s="1"/>
  <c r="AA61" i="10" s="1"/>
  <c r="AB61" i="10" s="1"/>
  <c r="Q31" i="10"/>
  <c r="O31" i="10"/>
  <c r="W31" i="10"/>
  <c r="P31" i="10"/>
  <c r="Q28" i="10"/>
  <c r="O28" i="10"/>
  <c r="W28" i="10" s="1"/>
  <c r="X28" i="10" s="1"/>
  <c r="Y28" i="10" s="1"/>
  <c r="Z28" i="10" s="1"/>
  <c r="AA28" i="10" s="1"/>
  <c r="AB28" i="10" s="1"/>
  <c r="P28" i="10"/>
  <c r="P37" i="10"/>
  <c r="W37" i="10" s="1"/>
  <c r="X37" i="10" s="1"/>
  <c r="Y37" i="10" s="1"/>
  <c r="Z37" i="10" s="1"/>
  <c r="AA37" i="10" s="1"/>
  <c r="AB37" i="10" s="1"/>
  <c r="AD37" i="10" s="1"/>
  <c r="AG37" i="10" s="1"/>
  <c r="Q37" i="10"/>
  <c r="O37" i="10"/>
  <c r="P35" i="10"/>
  <c r="Q35" i="10"/>
  <c r="O35" i="10"/>
  <c r="W35" i="10" s="1"/>
  <c r="X35" i="10" s="1"/>
  <c r="Y35" i="10" s="1"/>
  <c r="P33" i="10"/>
  <c r="W33" i="10" s="1"/>
  <c r="X33" i="10" s="1"/>
  <c r="AA33" i="10" s="1"/>
  <c r="AB33" i="10" s="1"/>
  <c r="AD33" i="10" s="1"/>
  <c r="AG33" i="10" s="1"/>
  <c r="Q33" i="10"/>
  <c r="O33" i="10"/>
  <c r="AC30" i="10"/>
  <c r="N30" i="10"/>
  <c r="N280" i="10" s="1"/>
  <c r="AC95" i="10"/>
  <c r="AC260" i="10" s="1"/>
  <c r="N95" i="10"/>
  <c r="N260" i="10" s="1"/>
  <c r="AC87" i="10"/>
  <c r="AF87" i="10" s="1"/>
  <c r="N87" i="10"/>
  <c r="N238" i="10" s="1"/>
  <c r="N70" i="10"/>
  <c r="AC70" i="10"/>
  <c r="AC171" i="10" s="1"/>
  <c r="N22" i="10"/>
  <c r="AC22" i="10"/>
  <c r="AF22" i="10" s="1"/>
  <c r="AG22" i="10" s="1"/>
  <c r="N77" i="10"/>
  <c r="N191" i="10" s="1"/>
  <c r="AC77" i="10"/>
  <c r="AF77" i="10" s="1"/>
  <c r="N21" i="10"/>
  <c r="AC21" i="10"/>
  <c r="AC47" i="10"/>
  <c r="N47" i="10"/>
  <c r="AC49" i="10"/>
  <c r="AF49" i="10" s="1"/>
  <c r="AG49" i="10" s="1"/>
  <c r="N49" i="10"/>
  <c r="P82" i="10"/>
  <c r="W82" i="10" s="1"/>
  <c r="X82" i="10" s="1"/>
  <c r="Y82" i="10" s="1"/>
  <c r="Z82" i="10" s="1"/>
  <c r="AA82" i="10" s="1"/>
  <c r="AB82" i="10" s="1"/>
  <c r="AD82" i="10" s="1"/>
  <c r="AG82" i="10" s="1"/>
  <c r="Q82" i="10"/>
  <c r="O82" i="10"/>
  <c r="Q51" i="10"/>
  <c r="O51" i="10"/>
  <c r="W51" i="10" s="1"/>
  <c r="X51" i="10" s="1"/>
  <c r="Z51" i="10" s="1"/>
  <c r="AA51" i="10" s="1"/>
  <c r="AB51" i="10" s="1"/>
  <c r="P51" i="10"/>
  <c r="AC14" i="10"/>
  <c r="AF14" i="10" s="1"/>
  <c r="N14" i="10"/>
  <c r="P15" i="10"/>
  <c r="Q15" i="10"/>
  <c r="O15" i="10"/>
  <c r="W15" i="10" s="1"/>
  <c r="X15" i="10" s="1"/>
  <c r="Z15" i="10" s="1"/>
  <c r="AA15" i="10" s="1"/>
  <c r="AB15" i="10" s="1"/>
  <c r="P18" i="10"/>
  <c r="W18" i="10" s="1"/>
  <c r="X18" i="10" s="1"/>
  <c r="Z18" i="10" s="1"/>
  <c r="AA18" i="10" s="1"/>
  <c r="AB18" i="10" s="1"/>
  <c r="AD18" i="10" s="1"/>
  <c r="AG18" i="10" s="1"/>
  <c r="O18" i="10"/>
  <c r="Q18" i="10"/>
  <c r="W199" i="6"/>
  <c r="X199" i="6" s="1"/>
  <c r="Y199" i="6" s="1"/>
  <c r="Z199" i="6" s="1"/>
  <c r="AA199" i="6" s="1"/>
  <c r="AB199" i="6" s="1"/>
  <c r="AD199" i="6" s="1"/>
  <c r="S173" i="6"/>
  <c r="AD173" i="6" s="1"/>
  <c r="Q134" i="12" l="1"/>
  <c r="O41" i="12"/>
  <c r="Q41" i="12"/>
  <c r="AB219" i="12"/>
  <c r="X219" i="12"/>
  <c r="X220" i="12" s="1"/>
  <c r="AD219" i="12"/>
  <c r="AG219" i="12" s="1"/>
  <c r="X83" i="12"/>
  <c r="W88" i="12"/>
  <c r="Z212" i="12"/>
  <c r="AG147" i="12"/>
  <c r="AG149" i="12" s="1"/>
  <c r="AF149" i="12"/>
  <c r="AG114" i="12"/>
  <c r="AG73" i="12"/>
  <c r="AD76" i="12"/>
  <c r="W41" i="12"/>
  <c r="X32" i="12"/>
  <c r="W20" i="12"/>
  <c r="X13" i="12"/>
  <c r="O149" i="12"/>
  <c r="W147" i="12"/>
  <c r="W179" i="12"/>
  <c r="X169" i="12"/>
  <c r="Q179" i="12"/>
  <c r="X162" i="12"/>
  <c r="Y156" i="12"/>
  <c r="AG20" i="12"/>
  <c r="O200" i="12"/>
  <c r="W195" i="12"/>
  <c r="W200" i="12" s="1"/>
  <c r="O64" i="12"/>
  <c r="P134" i="12"/>
  <c r="W189" i="12"/>
  <c r="X188" i="12"/>
  <c r="O123" i="12"/>
  <c r="W122" i="12"/>
  <c r="AF123" i="12"/>
  <c r="AG122" i="12"/>
  <c r="AG123" i="12" s="1"/>
  <c r="AF200" i="12"/>
  <c r="AG195" i="12"/>
  <c r="AG200" i="12" s="1"/>
  <c r="AF134" i="12"/>
  <c r="AG131" i="12"/>
  <c r="AG134" i="12" s="1"/>
  <c r="AF76" i="12"/>
  <c r="AG72" i="12"/>
  <c r="AG76" i="12" s="1"/>
  <c r="AA98" i="12"/>
  <c r="X99" i="12"/>
  <c r="AG196" i="12"/>
  <c r="AD200" i="12"/>
  <c r="W108" i="12"/>
  <c r="O114" i="12"/>
  <c r="P179" i="12"/>
  <c r="O179" i="12"/>
  <c r="AF99" i="12"/>
  <c r="AG97" i="12"/>
  <c r="AG99" i="12" s="1"/>
  <c r="Z197" i="12"/>
  <c r="Y200" i="12"/>
  <c r="W64" i="12"/>
  <c r="X55" i="12"/>
  <c r="O134" i="12"/>
  <c r="W131" i="12"/>
  <c r="O76" i="12"/>
  <c r="W72" i="12"/>
  <c r="X227" i="12"/>
  <c r="Y226" i="12"/>
  <c r="AC142" i="10"/>
  <c r="N171" i="10"/>
  <c r="AC280" i="10"/>
  <c r="Y280" i="10"/>
  <c r="AC118" i="10"/>
  <c r="N142" i="10"/>
  <c r="AC130" i="10"/>
  <c r="AF20" i="10"/>
  <c r="AC238" i="10"/>
  <c r="AF191" i="10"/>
  <c r="N118" i="10"/>
  <c r="AF238" i="10"/>
  <c r="AA97" i="10"/>
  <c r="Z260" i="10"/>
  <c r="N130" i="10"/>
  <c r="Q20" i="10"/>
  <c r="P20" i="10"/>
  <c r="O20" i="10"/>
  <c r="AC191" i="10"/>
  <c r="P49" i="10"/>
  <c r="Q49" i="10"/>
  <c r="O49" i="10"/>
  <c r="W49" i="10" s="1"/>
  <c r="X49" i="10" s="1"/>
  <c r="Z49" i="10" s="1"/>
  <c r="AA49" i="10" s="1"/>
  <c r="AB49" i="10" s="1"/>
  <c r="AF21" i="10"/>
  <c r="AF70" i="10"/>
  <c r="AG70" i="10" s="1"/>
  <c r="P70" i="10"/>
  <c r="Q70" i="10"/>
  <c r="O70" i="10"/>
  <c r="Q30" i="10"/>
  <c r="O30" i="10"/>
  <c r="P30" i="10"/>
  <c r="Z35" i="10"/>
  <c r="AA35" i="10" s="1"/>
  <c r="AB35" i="10" s="1"/>
  <c r="X31" i="10"/>
  <c r="AF47" i="10"/>
  <c r="P21" i="10"/>
  <c r="Q21" i="10"/>
  <c r="O21" i="10"/>
  <c r="P77" i="10"/>
  <c r="W77" i="10" s="1"/>
  <c r="X77" i="10" s="1"/>
  <c r="Y77" i="10" s="1"/>
  <c r="Z77" i="10" s="1"/>
  <c r="AA77" i="10" s="1"/>
  <c r="AB77" i="10" s="1"/>
  <c r="AD77" i="10" s="1"/>
  <c r="AD191" i="10" s="1"/>
  <c r="Q77" i="10"/>
  <c r="Q191" i="10" s="1"/>
  <c r="O77" i="10"/>
  <c r="O191" i="10" s="1"/>
  <c r="P22" i="10"/>
  <c r="Q22" i="10"/>
  <c r="O22" i="10"/>
  <c r="W22" i="10" s="1"/>
  <c r="X22" i="10" s="1"/>
  <c r="Y22" i="10" s="1"/>
  <c r="Z22" i="10" s="1"/>
  <c r="AA22" i="10" s="1"/>
  <c r="AB22" i="10" s="1"/>
  <c r="Q87" i="10"/>
  <c r="O87" i="10"/>
  <c r="W87" i="10" s="1"/>
  <c r="X87" i="10" s="1"/>
  <c r="Y87" i="10" s="1"/>
  <c r="Z87" i="10" s="1"/>
  <c r="AA87" i="10" s="1"/>
  <c r="AB87" i="10" s="1"/>
  <c r="AD87" i="10" s="1"/>
  <c r="AG87" i="10" s="1"/>
  <c r="P87" i="10"/>
  <c r="P95" i="10"/>
  <c r="P260" i="10" s="1"/>
  <c r="O95" i="10"/>
  <c r="O260" i="10" s="1"/>
  <c r="Q95" i="10"/>
  <c r="Q260" i="10" s="1"/>
  <c r="AF30" i="10"/>
  <c r="AF280" i="10" s="1"/>
  <c r="P57" i="10"/>
  <c r="Q57" i="10"/>
  <c r="O57" i="10"/>
  <c r="Q73" i="10"/>
  <c r="O73" i="10"/>
  <c r="W73" i="10" s="1"/>
  <c r="X73" i="10" s="1"/>
  <c r="Y73" i="10" s="1"/>
  <c r="Z73" i="10" s="1"/>
  <c r="AA73" i="10" s="1"/>
  <c r="AB73" i="10" s="1"/>
  <c r="P73" i="10"/>
  <c r="W34" i="10"/>
  <c r="X34" i="10" s="1"/>
  <c r="Z34" i="10" s="1"/>
  <c r="AA34" i="10" s="1"/>
  <c r="AB34" i="10" s="1"/>
  <c r="AD34" i="10" s="1"/>
  <c r="AG34" i="10" s="1"/>
  <c r="P34" i="10"/>
  <c r="Q34" i="10"/>
  <c r="O34" i="10"/>
  <c r="P24" i="10"/>
  <c r="P153" i="10" s="1"/>
  <c r="O24" i="10"/>
  <c r="O153" i="10" s="1"/>
  <c r="Q24" i="10"/>
  <c r="Q153" i="10" s="1"/>
  <c r="AF79" i="10"/>
  <c r="AF220" i="10" s="1"/>
  <c r="P93" i="10"/>
  <c r="Q93" i="10"/>
  <c r="O93" i="10"/>
  <c r="W93" i="10" s="1"/>
  <c r="X93" i="10" s="1"/>
  <c r="Y93" i="10" s="1"/>
  <c r="Z93" i="10" s="1"/>
  <c r="AA93" i="10" s="1"/>
  <c r="AB93" i="10" s="1"/>
  <c r="P91" i="10"/>
  <c r="O91" i="10"/>
  <c r="W91" i="10" s="1"/>
  <c r="X91" i="10" s="1"/>
  <c r="Y91" i="10" s="1"/>
  <c r="Z91" i="10" s="1"/>
  <c r="AA91" i="10" s="1"/>
  <c r="AB91" i="10" s="1"/>
  <c r="Q91" i="10"/>
  <c r="P13" i="10"/>
  <c r="Q13" i="10"/>
  <c r="O13" i="10"/>
  <c r="Q66" i="10"/>
  <c r="O66" i="10"/>
  <c r="W66" i="10"/>
  <c r="X66" i="10" s="1"/>
  <c r="AA66" i="10" s="1"/>
  <c r="AB66" i="10" s="1"/>
  <c r="AD66" i="10" s="1"/>
  <c r="P66" i="10"/>
  <c r="Q89" i="10"/>
  <c r="O89" i="10"/>
  <c r="W89" i="10" s="1"/>
  <c r="X89" i="10" s="1"/>
  <c r="Y89" i="10" s="1"/>
  <c r="Z89" i="10" s="1"/>
  <c r="AA89" i="10" s="1"/>
  <c r="AB89" i="10" s="1"/>
  <c r="P89" i="10"/>
  <c r="Q56" i="10"/>
  <c r="O56" i="10"/>
  <c r="P56" i="10"/>
  <c r="P27" i="10"/>
  <c r="P206" i="10" s="1"/>
  <c r="O27" i="10"/>
  <c r="O206" i="10" s="1"/>
  <c r="Q27" i="10"/>
  <c r="Q206" i="10" s="1"/>
  <c r="Q60" i="10"/>
  <c r="O60" i="10"/>
  <c r="P60" i="10"/>
  <c r="P23" i="10"/>
  <c r="Q23" i="10"/>
  <c r="O23" i="10"/>
  <c r="W23" i="10" s="1"/>
  <c r="X23" i="10" s="1"/>
  <c r="Z23" i="10" s="1"/>
  <c r="AA23" i="10" s="1"/>
  <c r="AB23" i="10" s="1"/>
  <c r="Q65" i="10"/>
  <c r="O65" i="10"/>
  <c r="P65" i="10"/>
  <c r="AF65" i="10"/>
  <c r="AF142" i="10" s="1"/>
  <c r="AG26" i="10"/>
  <c r="AG180" i="10" s="1"/>
  <c r="P48" i="10"/>
  <c r="Q48" i="10"/>
  <c r="O48" i="10"/>
  <c r="AF29" i="10"/>
  <c r="AF249" i="10" s="1"/>
  <c r="P14" i="10"/>
  <c r="W14" i="10" s="1"/>
  <c r="X14" i="10" s="1"/>
  <c r="Z14" i="10" s="1"/>
  <c r="AA14" i="10" s="1"/>
  <c r="AB14" i="10" s="1"/>
  <c r="AD14" i="10" s="1"/>
  <c r="Q14" i="10"/>
  <c r="O14" i="10"/>
  <c r="P47" i="10"/>
  <c r="O47" i="10"/>
  <c r="Q47" i="10"/>
  <c r="AF95" i="10"/>
  <c r="AF260" i="10" s="1"/>
  <c r="AA25" i="10"/>
  <c r="AA153" i="10" s="1"/>
  <c r="AD96" i="10"/>
  <c r="Q68" i="10"/>
  <c r="W68" i="10" s="1"/>
  <c r="X68" i="10" s="1"/>
  <c r="Y68" i="10" s="1"/>
  <c r="Z68" i="10" s="1"/>
  <c r="AA68" i="10" s="1"/>
  <c r="AB68" i="10" s="1"/>
  <c r="AD68" i="10" s="1"/>
  <c r="AG68" i="10" s="1"/>
  <c r="O68" i="10"/>
  <c r="P68" i="10"/>
  <c r="AF24" i="10"/>
  <c r="AF153" i="10" s="1"/>
  <c r="Q71" i="10"/>
  <c r="O71" i="10"/>
  <c r="W71" i="10"/>
  <c r="X71" i="10" s="1"/>
  <c r="Y71" i="10" s="1"/>
  <c r="Z71" i="10" s="1"/>
  <c r="AA71" i="10" s="1"/>
  <c r="AB71" i="10" s="1"/>
  <c r="AD71" i="10" s="1"/>
  <c r="P71" i="10"/>
  <c r="Q72" i="10"/>
  <c r="O72" i="10"/>
  <c r="P72" i="10"/>
  <c r="Q79" i="10"/>
  <c r="Q220" i="10" s="1"/>
  <c r="O79" i="10"/>
  <c r="O220" i="10" s="1"/>
  <c r="W79" i="10"/>
  <c r="W220" i="10" s="1"/>
  <c r="P79" i="10"/>
  <c r="P220" i="10" s="1"/>
  <c r="W90" i="10"/>
  <c r="X90" i="10" s="1"/>
  <c r="Y90" i="10" s="1"/>
  <c r="Z90" i="10" s="1"/>
  <c r="AA90" i="10" s="1"/>
  <c r="AB90" i="10" s="1"/>
  <c r="AD90" i="10" s="1"/>
  <c r="AG90" i="10" s="1"/>
  <c r="P90" i="10"/>
  <c r="Q90" i="10"/>
  <c r="Q238" i="10" s="1"/>
  <c r="O90" i="10"/>
  <c r="W26" i="10"/>
  <c r="W180" i="10" s="1"/>
  <c r="AG76" i="10"/>
  <c r="X85" i="10"/>
  <c r="AF13" i="10"/>
  <c r="X38" i="10"/>
  <c r="AD38" i="10"/>
  <c r="AG38" i="10" s="1"/>
  <c r="AB38" i="10"/>
  <c r="AF56" i="10"/>
  <c r="AF118" i="10" s="1"/>
  <c r="AF27" i="10"/>
  <c r="AF206" i="10" s="1"/>
  <c r="AA99" i="10"/>
  <c r="Q75" i="10"/>
  <c r="O75" i="10"/>
  <c r="W75" i="10"/>
  <c r="X75" i="10" s="1"/>
  <c r="Y75" i="10" s="1"/>
  <c r="Z75" i="10" s="1"/>
  <c r="AA75" i="10" s="1"/>
  <c r="AB75" i="10" s="1"/>
  <c r="AD75" i="10" s="1"/>
  <c r="AG75" i="10" s="1"/>
  <c r="P75" i="10"/>
  <c r="W76" i="10"/>
  <c r="W191" i="10" s="1"/>
  <c r="Q29" i="10"/>
  <c r="Q249" i="10" s="1"/>
  <c r="O29" i="10"/>
  <c r="O249" i="10" s="1"/>
  <c r="P29" i="10"/>
  <c r="P249" i="10" s="1"/>
  <c r="W29" i="10"/>
  <c r="W249" i="10" s="1"/>
  <c r="X100" i="10"/>
  <c r="X287" i="10" s="1"/>
  <c r="U86" i="6"/>
  <c r="T159" i="6"/>
  <c r="S37" i="6"/>
  <c r="AD37" i="6" s="1"/>
  <c r="S176" i="6"/>
  <c r="AD176" i="6" s="1"/>
  <c r="Y227" i="12" l="1"/>
  <c r="Z226" i="12"/>
  <c r="AA197" i="12"/>
  <c r="Z200" i="12"/>
  <c r="W114" i="12"/>
  <c r="X108" i="12"/>
  <c r="AB98" i="12"/>
  <c r="AB99" i="12" s="1"/>
  <c r="AA99" i="12"/>
  <c r="Z156" i="12"/>
  <c r="Y162" i="12"/>
  <c r="W76" i="12"/>
  <c r="X72" i="12"/>
  <c r="W134" i="12"/>
  <c r="X131" i="12"/>
  <c r="Y55" i="12"/>
  <c r="X64" i="12"/>
  <c r="X122" i="12"/>
  <c r="W123" i="12"/>
  <c r="X189" i="12"/>
  <c r="AA188" i="12"/>
  <c r="X179" i="12"/>
  <c r="Y169" i="12"/>
  <c r="W149" i="12"/>
  <c r="X147" i="12"/>
  <c r="X20" i="12"/>
  <c r="Z13" i="12"/>
  <c r="X41" i="12"/>
  <c r="Z32" i="12"/>
  <c r="Z220" i="12"/>
  <c r="AA212" i="12"/>
  <c r="X88" i="12"/>
  <c r="Y83" i="12"/>
  <c r="P238" i="10"/>
  <c r="O280" i="10"/>
  <c r="P191" i="10"/>
  <c r="AD171" i="10"/>
  <c r="P142" i="10"/>
  <c r="X238" i="10"/>
  <c r="O142" i="10"/>
  <c r="O118" i="10"/>
  <c r="AD142" i="10"/>
  <c r="X280" i="10"/>
  <c r="P280" i="10"/>
  <c r="Q280" i="10"/>
  <c r="Q171" i="10"/>
  <c r="O130" i="10"/>
  <c r="W20" i="10"/>
  <c r="Q130" i="10"/>
  <c r="AF130" i="10"/>
  <c r="AG20" i="10"/>
  <c r="O238" i="10"/>
  <c r="W280" i="10"/>
  <c r="Q142" i="10"/>
  <c r="P118" i="10"/>
  <c r="Q118" i="10"/>
  <c r="O171" i="10"/>
  <c r="P171" i="10"/>
  <c r="P130" i="10"/>
  <c r="AB97" i="10"/>
  <c r="AA260" i="10"/>
  <c r="W238" i="10"/>
  <c r="AB99" i="10"/>
  <c r="AG13" i="10"/>
  <c r="AG24" i="10"/>
  <c r="AG153" i="10" s="1"/>
  <c r="AG27" i="10"/>
  <c r="AG206" i="10" s="1"/>
  <c r="AG56" i="10"/>
  <c r="AG118" i="10" s="1"/>
  <c r="X79" i="10"/>
  <c r="X220" i="10" s="1"/>
  <c r="AG71" i="10"/>
  <c r="AG171" i="10" s="1"/>
  <c r="AG95" i="10"/>
  <c r="AG14" i="10"/>
  <c r="W65" i="10"/>
  <c r="W142" i="10" s="1"/>
  <c r="W27" i="10"/>
  <c r="W206" i="10" s="1"/>
  <c r="W56" i="10"/>
  <c r="W13" i="10"/>
  <c r="AG30" i="10"/>
  <c r="AG77" i="10"/>
  <c r="AG191" i="10" s="1"/>
  <c r="W21" i="10"/>
  <c r="Y100" i="10"/>
  <c r="Y287" i="10" s="1"/>
  <c r="X29" i="10"/>
  <c r="X249" i="10" s="1"/>
  <c r="X76" i="10"/>
  <c r="X191" i="10" s="1"/>
  <c r="Y85" i="10"/>
  <c r="Y238" i="10" s="1"/>
  <c r="X26" i="10"/>
  <c r="X180" i="10" s="1"/>
  <c r="AG96" i="10"/>
  <c r="AB25" i="10"/>
  <c r="AB153" i="10" s="1"/>
  <c r="W47" i="10"/>
  <c r="AG65" i="10"/>
  <c r="W60" i="10"/>
  <c r="X60" i="10"/>
  <c r="Y60" i="10" s="1"/>
  <c r="Z60" i="10" s="1"/>
  <c r="AA60" i="10" s="1"/>
  <c r="AB60" i="10" s="1"/>
  <c r="AG66" i="10"/>
  <c r="W95" i="10"/>
  <c r="W260" i="10" s="1"/>
  <c r="AG47" i="10"/>
  <c r="Z31" i="10"/>
  <c r="Z280" i="10" s="1"/>
  <c r="W70" i="10"/>
  <c r="W171" i="10" s="1"/>
  <c r="X56" i="6"/>
  <c r="AD33" i="6"/>
  <c r="X33" i="6"/>
  <c r="W197" i="6"/>
  <c r="X197" i="6" s="1"/>
  <c r="Y197" i="6" s="1"/>
  <c r="Z197" i="6" s="1"/>
  <c r="AA197" i="6" s="1"/>
  <c r="AB197" i="6" s="1"/>
  <c r="AD197" i="6" s="1"/>
  <c r="AD158" i="6"/>
  <c r="X158" i="6"/>
  <c r="Y158" i="6" s="1"/>
  <c r="Z158" i="6" s="1"/>
  <c r="AA158" i="6" s="1"/>
  <c r="AB158" i="6" s="1"/>
  <c r="Z83" i="12" l="1"/>
  <c r="Y88" i="12"/>
  <c r="AA220" i="12"/>
  <c r="AB212" i="12"/>
  <c r="Z41" i="12"/>
  <c r="AA32" i="12"/>
  <c r="Z20" i="12"/>
  <c r="AA13" i="12"/>
  <c r="X149" i="12"/>
  <c r="Y147" i="12"/>
  <c r="Y179" i="12"/>
  <c r="Z169" i="12"/>
  <c r="AA189" i="12"/>
  <c r="AB188" i="12"/>
  <c r="X134" i="12"/>
  <c r="Y131" i="12"/>
  <c r="X76" i="12"/>
  <c r="Z72" i="12"/>
  <c r="Y108" i="12"/>
  <c r="X114" i="12"/>
  <c r="Z227" i="12"/>
  <c r="AA226" i="12"/>
  <c r="X123" i="12"/>
  <c r="Y122" i="12"/>
  <c r="Y64" i="12"/>
  <c r="Z55" i="12"/>
  <c r="Z162" i="12"/>
  <c r="AA156" i="12"/>
  <c r="AB197" i="12"/>
  <c r="AB200" i="12" s="1"/>
  <c r="AA200" i="12"/>
  <c r="AG142" i="10"/>
  <c r="W130" i="10"/>
  <c r="X20" i="10"/>
  <c r="W118" i="10"/>
  <c r="AB260" i="10"/>
  <c r="X70" i="10"/>
  <c r="X171" i="10" s="1"/>
  <c r="X47" i="10"/>
  <c r="Z85" i="10"/>
  <c r="Z238" i="10" s="1"/>
  <c r="Y76" i="10"/>
  <c r="Y191" i="10" s="1"/>
  <c r="AA29" i="10"/>
  <c r="AA249" i="10" s="1"/>
  <c r="Z100" i="10"/>
  <c r="Z287" i="10" s="1"/>
  <c r="X56" i="10"/>
  <c r="X118" i="10" s="1"/>
  <c r="X27" i="10"/>
  <c r="X206" i="10" s="1"/>
  <c r="X65" i="10"/>
  <c r="X142" i="10" s="1"/>
  <c r="Y79" i="10"/>
  <c r="Y220" i="10" s="1"/>
  <c r="AA31" i="10"/>
  <c r="AA280" i="10" s="1"/>
  <c r="Y26" i="10"/>
  <c r="Y180" i="10" s="1"/>
  <c r="X21" i="10"/>
  <c r="X13" i="10"/>
  <c r="AD99" i="10"/>
  <c r="AD260" i="10" s="1"/>
  <c r="S161" i="6"/>
  <c r="AD161" i="6" s="1"/>
  <c r="X97" i="6"/>
  <c r="AB156" i="12" l="1"/>
  <c r="AA162" i="12"/>
  <c r="Z64" i="12"/>
  <c r="AA55" i="12"/>
  <c r="Z122" i="12"/>
  <c r="Y123" i="12"/>
  <c r="AA227" i="12"/>
  <c r="AB226" i="12"/>
  <c r="Z76" i="12"/>
  <c r="AA72" i="12"/>
  <c r="Y134" i="12"/>
  <c r="Z131" i="12"/>
  <c r="AD188" i="12"/>
  <c r="AB189" i="12"/>
  <c r="Z179" i="12"/>
  <c r="AA169" i="12"/>
  <c r="Y149" i="12"/>
  <c r="Z147" i="12"/>
  <c r="AA20" i="12"/>
  <c r="AB13" i="12"/>
  <c r="AB20" i="12" s="1"/>
  <c r="AA41" i="12"/>
  <c r="AB32" i="12"/>
  <c r="AB41" i="12" s="1"/>
  <c r="AD212" i="12"/>
  <c r="AB220" i="12"/>
  <c r="Y114" i="12"/>
  <c r="Z108" i="12"/>
  <c r="Z88" i="12"/>
  <c r="AA83" i="12"/>
  <c r="X130" i="10"/>
  <c r="Z20" i="10"/>
  <c r="AG99" i="10"/>
  <c r="AG260" i="10" s="1"/>
  <c r="Y21" i="10"/>
  <c r="Y130" i="10" s="1"/>
  <c r="Z79" i="10"/>
  <c r="Z220" i="10" s="1"/>
  <c r="Y27" i="10"/>
  <c r="Y206" i="10" s="1"/>
  <c r="AA100" i="10"/>
  <c r="AA287" i="10" s="1"/>
  <c r="Z26" i="10"/>
  <c r="Z180" i="10" s="1"/>
  <c r="AB31" i="10"/>
  <c r="AB280" i="10" s="1"/>
  <c r="Z76" i="10"/>
  <c r="Z191" i="10" s="1"/>
  <c r="Z13" i="10"/>
  <c r="Y65" i="10"/>
  <c r="Y142" i="10" s="1"/>
  <c r="Y56" i="10"/>
  <c r="Y118" i="10" s="1"/>
  <c r="AB29" i="10"/>
  <c r="AB249" i="10" s="1"/>
  <c r="AA85" i="10"/>
  <c r="AA238" i="10" s="1"/>
  <c r="Z47" i="10"/>
  <c r="Y70" i="10"/>
  <c r="Y171" i="10" s="1"/>
  <c r="AD97" i="6"/>
  <c r="Y97" i="6"/>
  <c r="Z97" i="6" s="1"/>
  <c r="T18" i="6"/>
  <c r="T215" i="6"/>
  <c r="AB83" i="12" l="1"/>
  <c r="AB88" i="12" s="1"/>
  <c r="AA88" i="12"/>
  <c r="AA108" i="12"/>
  <c r="Z114" i="12"/>
  <c r="Z149" i="12"/>
  <c r="AA147" i="12"/>
  <c r="AA179" i="12"/>
  <c r="AB169" i="12"/>
  <c r="Z134" i="12"/>
  <c r="AA131" i="12"/>
  <c r="AA76" i="12"/>
  <c r="AB72" i="12"/>
  <c r="AB76" i="12" s="1"/>
  <c r="AD226" i="12"/>
  <c r="AB227" i="12"/>
  <c r="AA64" i="12"/>
  <c r="AB55" i="12"/>
  <c r="AB64" i="12" s="1"/>
  <c r="AG212" i="12"/>
  <c r="AG220" i="12" s="1"/>
  <c r="AD220" i="12"/>
  <c r="AD189" i="12"/>
  <c r="AG188" i="12"/>
  <c r="AG189" i="12" s="1"/>
  <c r="Z123" i="12"/>
  <c r="AA122" i="12"/>
  <c r="AB162" i="12"/>
  <c r="AD156" i="12"/>
  <c r="AA20" i="10"/>
  <c r="AA47" i="10"/>
  <c r="AA26" i="10"/>
  <c r="AA180" i="10" s="1"/>
  <c r="Z27" i="10"/>
  <c r="Z206" i="10" s="1"/>
  <c r="AA79" i="10"/>
  <c r="AA220" i="10" s="1"/>
  <c r="Z21" i="10"/>
  <c r="Z130" i="10" s="1"/>
  <c r="Z70" i="10"/>
  <c r="Z171" i="10" s="1"/>
  <c r="AB85" i="10"/>
  <c r="AB238" i="10" s="1"/>
  <c r="AD29" i="10"/>
  <c r="AD249" i="10" s="1"/>
  <c r="Z56" i="10"/>
  <c r="Z118" i="10" s="1"/>
  <c r="Z65" i="10"/>
  <c r="Z142" i="10" s="1"/>
  <c r="AA13" i="10"/>
  <c r="AA76" i="10"/>
  <c r="AA191" i="10" s="1"/>
  <c r="AD31" i="10"/>
  <c r="AD280" i="10" s="1"/>
  <c r="AB100" i="10"/>
  <c r="AB287" i="10" s="1"/>
  <c r="AA97" i="6"/>
  <c r="AB97" i="6" s="1"/>
  <c r="AD162" i="12" l="1"/>
  <c r="AG156" i="12"/>
  <c r="AG162" i="12" s="1"/>
  <c r="AB122" i="12"/>
  <c r="AB123" i="12" s="1"/>
  <c r="AA123" i="12"/>
  <c r="AA134" i="12"/>
  <c r="AB131" i="12"/>
  <c r="AB134" i="12" s="1"/>
  <c r="AB179" i="12"/>
  <c r="AD169" i="12"/>
  <c r="AA149" i="12"/>
  <c r="AB147" i="12"/>
  <c r="AB149" i="12" s="1"/>
  <c r="AG226" i="12"/>
  <c r="AG227" i="12" s="1"/>
  <c r="AD227" i="12"/>
  <c r="AA114" i="12"/>
  <c r="AB108" i="12"/>
  <c r="AB114" i="12" s="1"/>
  <c r="AB20" i="10"/>
  <c r="AA65" i="10"/>
  <c r="AA142" i="10" s="1"/>
  <c r="AA56" i="10"/>
  <c r="AA118" i="10" s="1"/>
  <c r="AD85" i="10"/>
  <c r="AD238" i="10" s="1"/>
  <c r="AA27" i="10"/>
  <c r="AA206" i="10" s="1"/>
  <c r="AB26" i="10"/>
  <c r="AB180" i="10" s="1"/>
  <c r="AG31" i="10"/>
  <c r="AG280" i="10" s="1"/>
  <c r="AB76" i="10"/>
  <c r="AB191" i="10" s="1"/>
  <c r="AG29" i="10"/>
  <c r="AG249" i="10" s="1"/>
  <c r="AA70" i="10"/>
  <c r="AA171" i="10" s="1"/>
  <c r="AA21" i="10"/>
  <c r="AA130" i="10" s="1"/>
  <c r="AD100" i="10"/>
  <c r="AD287" i="10" s="1"/>
  <c r="AB13" i="10"/>
  <c r="AB79" i="10"/>
  <c r="AB220" i="10" s="1"/>
  <c r="AB47" i="10"/>
  <c r="T73" i="6"/>
  <c r="S85" i="6"/>
  <c r="AD85" i="6" s="1"/>
  <c r="AA196" i="6"/>
  <c r="S198" i="6"/>
  <c r="AD198" i="6" s="1"/>
  <c r="S178" i="6"/>
  <c r="AD178" i="6" s="1"/>
  <c r="S171" i="6"/>
  <c r="AD171" i="6" s="1"/>
  <c r="AD179" i="12" l="1"/>
  <c r="AG169" i="12"/>
  <c r="AG179" i="12" s="1"/>
  <c r="AG100" i="10"/>
  <c r="AG287" i="10" s="1"/>
  <c r="AB70" i="10"/>
  <c r="AB171" i="10" s="1"/>
  <c r="AB27" i="10"/>
  <c r="AB206" i="10" s="1"/>
  <c r="AG85" i="10"/>
  <c r="AG238" i="10" s="1"/>
  <c r="AB56" i="10"/>
  <c r="AB118" i="10" s="1"/>
  <c r="AB65" i="10"/>
  <c r="AB142" i="10" s="1"/>
  <c r="AD79" i="10"/>
  <c r="AD220" i="10" s="1"/>
  <c r="AB21" i="10"/>
  <c r="AB130" i="10" s="1"/>
  <c r="S98" i="6"/>
  <c r="AD98" i="6" s="1"/>
  <c r="AD21" i="10" l="1"/>
  <c r="AD130" i="10" s="1"/>
  <c r="AG79" i="10"/>
  <c r="AG220" i="10" s="1"/>
  <c r="U132" i="6"/>
  <c r="S131" i="6"/>
  <c r="AD131" i="6" s="1"/>
  <c r="Z33" i="6"/>
  <c r="AA33" i="6" s="1"/>
  <c r="AB33" i="6" s="1"/>
  <c r="S39" i="6"/>
  <c r="AD39" i="6" s="1"/>
  <c r="S174" i="6"/>
  <c r="AD174" i="6" s="1"/>
  <c r="S35" i="6"/>
  <c r="AG21" i="10" l="1"/>
  <c r="AG130" i="10" s="1"/>
  <c r="S172" i="6"/>
  <c r="S32" i="6" l="1"/>
  <c r="AD32" i="6" l="1"/>
  <c r="T177" i="6"/>
  <c r="S83" i="6"/>
  <c r="S108" i="6"/>
  <c r="AD108" i="6" s="1"/>
  <c r="S217" i="6"/>
  <c r="AD217" i="6" s="1"/>
  <c r="S75" i="6"/>
  <c r="AD75" i="6" s="1"/>
  <c r="I76" i="6"/>
  <c r="S74" i="6"/>
  <c r="AD74" i="6" s="1"/>
  <c r="X179" i="6" l="1"/>
  <c r="Y179" i="6" s="1"/>
  <c r="Z179" i="6" s="1"/>
  <c r="AA179" i="6" s="1"/>
  <c r="S62" i="6" l="1"/>
  <c r="AD62" i="6" s="1"/>
  <c r="S61" i="6"/>
  <c r="AD61" i="6" s="1"/>
  <c r="S160" i="6"/>
  <c r="AD160" i="6" s="1"/>
  <c r="S60" i="6"/>
  <c r="S122" i="6"/>
  <c r="AD122" i="6" s="1"/>
  <c r="S112" i="6"/>
  <c r="AD112" i="6" s="1"/>
  <c r="S111" i="6"/>
  <c r="AD111" i="6" s="1"/>
  <c r="S19" i="6" l="1"/>
  <c r="AD19" i="6" s="1"/>
  <c r="S38" i="6"/>
  <c r="S13" i="6" l="1"/>
  <c r="X14" i="9" l="1"/>
  <c r="AD14" i="9"/>
  <c r="AB14" i="9"/>
  <c r="Y15" i="9"/>
  <c r="V15" i="9"/>
  <c r="I15" i="9"/>
  <c r="E15" i="9"/>
  <c r="S14" i="9"/>
  <c r="M14" i="9"/>
  <c r="K14" i="9"/>
  <c r="AC14" i="9" s="1"/>
  <c r="F14" i="9"/>
  <c r="H14" i="9" s="1"/>
  <c r="T15" i="9"/>
  <c r="U15" i="9"/>
  <c r="S15" i="9"/>
  <c r="S220" i="6"/>
  <c r="S57" i="6"/>
  <c r="AD57" i="6" s="1"/>
  <c r="T14" i="6"/>
  <c r="R218" i="6"/>
  <c r="U218" i="6" s="1"/>
  <c r="F15" i="9" l="1"/>
  <c r="Z15" i="9"/>
  <c r="H15" i="9"/>
  <c r="G14" i="9"/>
  <c r="AE14" i="9" s="1"/>
  <c r="AF14" i="9" s="1"/>
  <c r="N14" i="9"/>
  <c r="Y56" i="6"/>
  <c r="Z56" i="6" s="1"/>
  <c r="AA56" i="6" s="1"/>
  <c r="AA15" i="9" l="1"/>
  <c r="Q14" i="9"/>
  <c r="O14" i="9"/>
  <c r="W14" i="9" s="1"/>
  <c r="P14" i="9"/>
  <c r="G15" i="9"/>
  <c r="J15" i="9" l="1"/>
  <c r="AE15" i="9"/>
  <c r="W15" i="9"/>
  <c r="AG14" i="9"/>
  <c r="AB15" i="9"/>
  <c r="X15" i="9"/>
  <c r="K15" i="9"/>
  <c r="M15" i="9" l="1"/>
  <c r="AD15" i="9"/>
  <c r="AC15" i="9" l="1"/>
  <c r="O15" i="9"/>
  <c r="AF15" i="9"/>
  <c r="AG15" i="9"/>
  <c r="Q15" i="9"/>
  <c r="N15" i="9"/>
  <c r="P15" i="9" l="1"/>
  <c r="AA110" i="6" l="1"/>
  <c r="AD56" i="6" l="1"/>
  <c r="AB56" i="6"/>
  <c r="S17" i="6" l="1"/>
  <c r="AD17" i="6" s="1"/>
  <c r="S72" i="6"/>
  <c r="S76" i="6" s="1"/>
  <c r="AD72" i="6" l="1"/>
  <c r="S63" i="6"/>
  <c r="AD63" i="6" s="1"/>
  <c r="AE197" i="6"/>
  <c r="AE200" i="6"/>
  <c r="AB196" i="6"/>
  <c r="S196" i="6" l="1"/>
  <c r="AD196" i="6" s="1"/>
  <c r="S15" i="6"/>
  <c r="S20" i="6" s="1"/>
  <c r="AD15" i="6" l="1"/>
  <c r="AA16" i="8"/>
  <c r="Z16" i="8"/>
  <c r="Y16" i="8"/>
  <c r="V16" i="8"/>
  <c r="U16" i="8"/>
  <c r="I16" i="8"/>
  <c r="E16" i="8"/>
  <c r="T16" i="8"/>
  <c r="X15" i="8"/>
  <c r="X16" i="8" s="1"/>
  <c r="S15" i="8"/>
  <c r="S16" i="8" s="1"/>
  <c r="F15" i="8"/>
  <c r="F16" i="8" s="1"/>
  <c r="G15" i="8" l="1"/>
  <c r="AB15" i="8"/>
  <c r="H15" i="8"/>
  <c r="H16" i="8" s="1"/>
  <c r="AB179" i="6"/>
  <c r="S179" i="6"/>
  <c r="AD179" i="6" s="1"/>
  <c r="T219" i="6"/>
  <c r="S34" i="6"/>
  <c r="S40" i="6"/>
  <c r="AD40" i="6" s="1"/>
  <c r="AB110" i="6"/>
  <c r="AD110" i="6" s="1"/>
  <c r="S110" i="6"/>
  <c r="AD41" i="6" l="1"/>
  <c r="AB16" i="8"/>
  <c r="AD15" i="8"/>
  <c r="AE15" i="8"/>
  <c r="G16" i="8"/>
  <c r="J15" i="8"/>
  <c r="S59" i="6"/>
  <c r="AD59" i="6" s="1"/>
  <c r="J16" i="8" l="1"/>
  <c r="K15" i="8"/>
  <c r="M15" i="8"/>
  <c r="AE16" i="8"/>
  <c r="AD16" i="8"/>
  <c r="S55" i="6"/>
  <c r="AD55" i="6" s="1"/>
  <c r="S58" i="6"/>
  <c r="AD58" i="6" s="1"/>
  <c r="S87" i="6"/>
  <c r="S88" i="6" s="1"/>
  <c r="S148" i="6"/>
  <c r="S147" i="6"/>
  <c r="S149" i="6" l="1"/>
  <c r="AC15" i="8"/>
  <c r="N15" i="8"/>
  <c r="K16" i="8"/>
  <c r="W16" i="8"/>
  <c r="O16" i="8"/>
  <c r="M16" i="8"/>
  <c r="S36" i="6"/>
  <c r="S41" i="6" s="1"/>
  <c r="AC16" i="8" l="1"/>
  <c r="AF15" i="8"/>
  <c r="Q15" i="8"/>
  <c r="Q16" i="8" s="1"/>
  <c r="N16" i="8"/>
  <c r="P15" i="8"/>
  <c r="P16" i="8" s="1"/>
  <c r="F227" i="6"/>
  <c r="G227" i="6" s="1"/>
  <c r="AE227" i="6" s="1"/>
  <c r="F220" i="6"/>
  <c r="G220" i="6" s="1"/>
  <c r="F219" i="6"/>
  <c r="G219" i="6" s="1"/>
  <c r="F218" i="6"/>
  <c r="G218" i="6" s="1"/>
  <c r="F217" i="6"/>
  <c r="G217" i="6" s="1"/>
  <c r="F216" i="6"/>
  <c r="G216" i="6" s="1"/>
  <c r="F215" i="6"/>
  <c r="G215" i="6" s="1"/>
  <c r="F214" i="6"/>
  <c r="G214" i="6" s="1"/>
  <c r="F213" i="6"/>
  <c r="G213" i="6" s="1"/>
  <c r="F212" i="6"/>
  <c r="F34" i="6"/>
  <c r="F33" i="6"/>
  <c r="F32" i="6"/>
  <c r="F40" i="6"/>
  <c r="F39" i="6"/>
  <c r="F38" i="6"/>
  <c r="F37" i="6"/>
  <c r="F36" i="6"/>
  <c r="F35" i="6"/>
  <c r="F19" i="6"/>
  <c r="H19" i="6" s="1"/>
  <c r="F18" i="6"/>
  <c r="H18" i="6" s="1"/>
  <c r="F17" i="6"/>
  <c r="H17" i="6" s="1"/>
  <c r="F16" i="6"/>
  <c r="H16" i="6" s="1"/>
  <c r="F15" i="6"/>
  <c r="H15" i="6" s="1"/>
  <c r="F14" i="6"/>
  <c r="H14" i="6" s="1"/>
  <c r="F13" i="6"/>
  <c r="H13" i="6" s="1"/>
  <c r="F83" i="6"/>
  <c r="H20" i="6" l="1"/>
  <c r="AE213" i="6"/>
  <c r="AE217" i="6"/>
  <c r="AE219" i="6"/>
  <c r="F221" i="6"/>
  <c r="AE214" i="6"/>
  <c r="AE216" i="6"/>
  <c r="AE218" i="6"/>
  <c r="AE220" i="6"/>
  <c r="H83" i="6"/>
  <c r="AF16" i="8"/>
  <c r="AG15" i="8"/>
  <c r="AG16" i="8" s="1"/>
  <c r="G83" i="6"/>
  <c r="I83" i="6"/>
  <c r="J83" i="6" l="1"/>
  <c r="AE83" i="6"/>
  <c r="X212" i="6"/>
  <c r="AB212" i="6" s="1"/>
  <c r="S212" i="6"/>
  <c r="AD212" i="6" l="1"/>
  <c r="M83" i="6"/>
  <c r="K83" i="6"/>
  <c r="AE228" i="6"/>
  <c r="V228" i="6"/>
  <c r="U228" i="6"/>
  <c r="T228" i="6"/>
  <c r="S228" i="6"/>
  <c r="V221" i="6"/>
  <c r="U221" i="6"/>
  <c r="T221" i="6"/>
  <c r="S221" i="6"/>
  <c r="V201" i="6"/>
  <c r="U201" i="6"/>
  <c r="T201" i="6"/>
  <c r="S201" i="6"/>
  <c r="Z190" i="6"/>
  <c r="Y190" i="6"/>
  <c r="V190" i="6"/>
  <c r="U190" i="6"/>
  <c r="T190" i="6"/>
  <c r="S190" i="6"/>
  <c r="V180" i="6"/>
  <c r="U180" i="6"/>
  <c r="T180" i="6"/>
  <c r="S180" i="6"/>
  <c r="V162" i="6"/>
  <c r="U162" i="6"/>
  <c r="T162" i="6"/>
  <c r="S162" i="6"/>
  <c r="AD149" i="6"/>
  <c r="V149" i="6"/>
  <c r="U149" i="6"/>
  <c r="T149" i="6"/>
  <c r="V134" i="6"/>
  <c r="U134" i="6"/>
  <c r="T134" i="6"/>
  <c r="S134" i="6"/>
  <c r="AD123" i="6"/>
  <c r="V123" i="6"/>
  <c r="U123" i="6"/>
  <c r="T123" i="6"/>
  <c r="S123" i="6"/>
  <c r="V114" i="6"/>
  <c r="U114" i="6"/>
  <c r="T114" i="6"/>
  <c r="S114" i="6"/>
  <c r="AD99" i="6"/>
  <c r="Z99" i="6"/>
  <c r="Y99" i="6"/>
  <c r="V99" i="6"/>
  <c r="U99" i="6"/>
  <c r="T99" i="6"/>
  <c r="S99" i="6"/>
  <c r="V88" i="6"/>
  <c r="U88" i="6"/>
  <c r="T88" i="6"/>
  <c r="V76" i="6"/>
  <c r="U76" i="6"/>
  <c r="T76" i="6"/>
  <c r="AD64" i="6"/>
  <c r="V64" i="6"/>
  <c r="U64" i="6"/>
  <c r="T64" i="6"/>
  <c r="S64" i="6"/>
  <c r="Y41" i="6"/>
  <c r="V41" i="6"/>
  <c r="U41" i="6"/>
  <c r="T41" i="6"/>
  <c r="Y20" i="6"/>
  <c r="U20" i="6"/>
  <c r="T20" i="6"/>
  <c r="E20" i="6"/>
  <c r="F62" i="6"/>
  <c r="G62" i="6" s="1"/>
  <c r="AE62" i="6" s="1"/>
  <c r="F55" i="6"/>
  <c r="G38" i="6"/>
  <c r="I36" i="6"/>
  <c r="AE38" i="6" l="1"/>
  <c r="N83" i="6"/>
  <c r="AC83" i="6"/>
  <c r="I55" i="6"/>
  <c r="I62" i="6"/>
  <c r="H55" i="6"/>
  <c r="G55" i="6"/>
  <c r="H62" i="6"/>
  <c r="I38" i="6"/>
  <c r="H38" i="6"/>
  <c r="H36" i="6"/>
  <c r="G36" i="6"/>
  <c r="J38" i="6" l="1"/>
  <c r="K38" i="6" s="1"/>
  <c r="AE36" i="6"/>
  <c r="J36" i="6"/>
  <c r="K36" i="6" s="1"/>
  <c r="AF83" i="6"/>
  <c r="P83" i="6"/>
  <c r="Q83" i="6"/>
  <c r="O83" i="6"/>
  <c r="AE55" i="6"/>
  <c r="J62" i="6"/>
  <c r="K62" i="6" s="1"/>
  <c r="J55" i="6"/>
  <c r="K55" i="6" l="1"/>
  <c r="N55" i="6" s="1"/>
  <c r="W83" i="6"/>
  <c r="N62" i="6"/>
  <c r="Q62" i="6" s="1"/>
  <c r="AC62" i="6"/>
  <c r="AF62" i="6" s="1"/>
  <c r="AG62" i="6" s="1"/>
  <c r="AG83" i="6"/>
  <c r="N36" i="6"/>
  <c r="Q36" i="6" s="1"/>
  <c r="AC36" i="6"/>
  <c r="AF36" i="6" s="1"/>
  <c r="AG36" i="6" s="1"/>
  <c r="N38" i="6"/>
  <c r="P38" i="6" s="1"/>
  <c r="AC38" i="6"/>
  <c r="Q38" i="6"/>
  <c r="O62" i="6"/>
  <c r="W62" i="6" s="1"/>
  <c r="X62" i="6" s="1"/>
  <c r="Y62" i="6" s="1"/>
  <c r="Z62" i="6" s="1"/>
  <c r="AA62" i="6" s="1"/>
  <c r="AB62" i="6" s="1"/>
  <c r="O38" i="6"/>
  <c r="W38" i="6" s="1"/>
  <c r="X38" i="6" s="1"/>
  <c r="Z38" i="6" s="1"/>
  <c r="AA38" i="6" s="1"/>
  <c r="AB38" i="6" s="1"/>
  <c r="O228" i="6"/>
  <c r="H228" i="6"/>
  <c r="G228" i="6"/>
  <c r="E228" i="6"/>
  <c r="I227" i="6"/>
  <c r="I228" i="6" s="1"/>
  <c r="I221" i="6"/>
  <c r="E221" i="6"/>
  <c r="H217" i="6"/>
  <c r="J217" i="6" s="1"/>
  <c r="H216" i="6"/>
  <c r="J216" i="6" s="1"/>
  <c r="H215" i="6"/>
  <c r="J215" i="6" s="1"/>
  <c r="H214" i="6"/>
  <c r="J214" i="6" s="1"/>
  <c r="G212" i="6"/>
  <c r="AE212" i="6" s="1"/>
  <c r="E201" i="6"/>
  <c r="M200" i="6"/>
  <c r="K200" i="6"/>
  <c r="F200" i="6"/>
  <c r="I200" i="6" s="1"/>
  <c r="Q199" i="6"/>
  <c r="P199" i="6"/>
  <c r="O199" i="6"/>
  <c r="F199" i="6"/>
  <c r="H199" i="6" s="1"/>
  <c r="F198" i="6"/>
  <c r="G198" i="6" s="1"/>
  <c r="AE198" i="6" s="1"/>
  <c r="Q197" i="6"/>
  <c r="P197" i="6"/>
  <c r="O197" i="6"/>
  <c r="F197" i="6"/>
  <c r="I197" i="6" s="1"/>
  <c r="F196" i="6"/>
  <c r="I190" i="6"/>
  <c r="E190" i="6"/>
  <c r="F189" i="6"/>
  <c r="H189" i="6" s="1"/>
  <c r="H190" i="6" s="1"/>
  <c r="E180" i="6"/>
  <c r="F179" i="6"/>
  <c r="F178" i="6"/>
  <c r="F177" i="6"/>
  <c r="F176" i="6"/>
  <c r="F175" i="6"/>
  <c r="F174" i="6"/>
  <c r="F173" i="6"/>
  <c r="F172" i="6"/>
  <c r="H172" i="6" s="1"/>
  <c r="F171" i="6"/>
  <c r="H171" i="6" s="1"/>
  <c r="F170" i="6"/>
  <c r="E162" i="6"/>
  <c r="M161" i="6"/>
  <c r="K161" i="6"/>
  <c r="AC161" i="6" s="1"/>
  <c r="F161" i="6"/>
  <c r="H161" i="6" s="1"/>
  <c r="M160" i="6"/>
  <c r="K160" i="6"/>
  <c r="F160" i="6"/>
  <c r="H160" i="6" s="1"/>
  <c r="F159" i="6"/>
  <c r="H159" i="6" s="1"/>
  <c r="F158" i="6"/>
  <c r="H158" i="6" s="1"/>
  <c r="M157" i="6"/>
  <c r="K157" i="6"/>
  <c r="AC157" i="6" s="1"/>
  <c r="F157" i="6"/>
  <c r="H157" i="6" s="1"/>
  <c r="F156" i="6"/>
  <c r="E149" i="6"/>
  <c r="F148" i="6"/>
  <c r="H148" i="6" s="1"/>
  <c r="F147" i="6"/>
  <c r="H147" i="6" s="1"/>
  <c r="E134" i="6"/>
  <c r="F133" i="6"/>
  <c r="H133" i="6" s="1"/>
  <c r="F132" i="6"/>
  <c r="F131" i="6"/>
  <c r="H131" i="6" s="1"/>
  <c r="I123" i="6"/>
  <c r="F122" i="6"/>
  <c r="F123" i="6" s="1"/>
  <c r="E114" i="6"/>
  <c r="F113" i="6"/>
  <c r="F112" i="6"/>
  <c r="F111" i="6"/>
  <c r="H111" i="6" s="1"/>
  <c r="F110" i="6"/>
  <c r="H110" i="6" s="1"/>
  <c r="F109" i="6"/>
  <c r="H109" i="6" s="1"/>
  <c r="F108" i="6"/>
  <c r="G108" i="6" s="1"/>
  <c r="AE108" i="6" s="1"/>
  <c r="I99" i="6"/>
  <c r="E99" i="6"/>
  <c r="F98" i="6"/>
  <c r="H98" i="6" s="1"/>
  <c r="F97" i="6"/>
  <c r="Q87" i="6"/>
  <c r="P87" i="6"/>
  <c r="O87" i="6"/>
  <c r="W87" i="6" s="1"/>
  <c r="X87" i="6" s="1"/>
  <c r="Y87" i="6" s="1"/>
  <c r="Z87" i="6" s="1"/>
  <c r="AA87" i="6" s="1"/>
  <c r="AB87" i="6" s="1"/>
  <c r="F87" i="6"/>
  <c r="H87" i="6" s="1"/>
  <c r="F86" i="6"/>
  <c r="H86" i="6" s="1"/>
  <c r="Q85" i="6"/>
  <c r="P85" i="6"/>
  <c r="O85" i="6"/>
  <c r="W85" i="6" s="1"/>
  <c r="X85" i="6" s="1"/>
  <c r="Y85" i="6" s="1"/>
  <c r="Z85" i="6" s="1"/>
  <c r="AA85" i="6" s="1"/>
  <c r="AB85" i="6" s="1"/>
  <c r="F85" i="6"/>
  <c r="H85" i="6" s="1"/>
  <c r="F84" i="6"/>
  <c r="E76" i="6"/>
  <c r="F75" i="6"/>
  <c r="H75" i="6" s="1"/>
  <c r="F74" i="6"/>
  <c r="G74" i="6" s="1"/>
  <c r="AE74" i="6" s="1"/>
  <c r="F73" i="6"/>
  <c r="G73" i="6" s="1"/>
  <c r="AE73" i="6" s="1"/>
  <c r="F72" i="6"/>
  <c r="H72" i="6" s="1"/>
  <c r="F63" i="6"/>
  <c r="H63" i="6" s="1"/>
  <c r="M61" i="6"/>
  <c r="K61" i="6"/>
  <c r="F61" i="6"/>
  <c r="H61" i="6" s="1"/>
  <c r="F60" i="6"/>
  <c r="H60" i="6" s="1"/>
  <c r="F59" i="6"/>
  <c r="H59" i="6" s="1"/>
  <c r="F58" i="6"/>
  <c r="H58" i="6" s="1"/>
  <c r="M57" i="6"/>
  <c r="K57" i="6"/>
  <c r="AC57" i="6" s="1"/>
  <c r="F57" i="6"/>
  <c r="F56" i="6"/>
  <c r="E41" i="6"/>
  <c r="H40" i="6"/>
  <c r="Q37" i="6"/>
  <c r="P37" i="6"/>
  <c r="O37" i="6"/>
  <c r="W37" i="6" s="1"/>
  <c r="X37" i="6" s="1"/>
  <c r="Z37" i="6" s="1"/>
  <c r="H37" i="6"/>
  <c r="H35" i="6"/>
  <c r="H34" i="6"/>
  <c r="H32" i="6"/>
  <c r="G19" i="6"/>
  <c r="AE19" i="6" s="1"/>
  <c r="G18" i="6"/>
  <c r="AE18" i="6" s="1"/>
  <c r="G17" i="6"/>
  <c r="AE17" i="6" s="1"/>
  <c r="G16" i="6"/>
  <c r="AE16" i="6" s="1"/>
  <c r="G15" i="6"/>
  <c r="AE15" i="6" s="1"/>
  <c r="G14" i="6"/>
  <c r="AE14" i="6" s="1"/>
  <c r="Z34" i="4"/>
  <c r="Y34" i="4"/>
  <c r="X34" i="4"/>
  <c r="W34" i="4"/>
  <c r="V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N33" i="4"/>
  <c r="M33" i="4"/>
  <c r="L33" i="4"/>
  <c r="K33" i="4"/>
  <c r="J33" i="4"/>
  <c r="I33" i="4"/>
  <c r="H33" i="4"/>
  <c r="G33" i="4"/>
  <c r="F33" i="4"/>
  <c r="E33" i="4"/>
  <c r="Z32" i="4"/>
  <c r="Y32" i="4"/>
  <c r="X32" i="4"/>
  <c r="W32" i="4"/>
  <c r="V32" i="4"/>
  <c r="N32" i="4"/>
  <c r="M32" i="4"/>
  <c r="L32" i="4"/>
  <c r="K32" i="4"/>
  <c r="J32" i="4"/>
  <c r="I32" i="4"/>
  <c r="H32" i="4"/>
  <c r="G32" i="4"/>
  <c r="F32" i="4"/>
  <c r="E32" i="4"/>
  <c r="Z31" i="4"/>
  <c r="Y31" i="4"/>
  <c r="X31" i="4"/>
  <c r="W31" i="4"/>
  <c r="V31" i="4"/>
  <c r="N31" i="4"/>
  <c r="M31" i="4"/>
  <c r="L31" i="4"/>
  <c r="K31" i="4"/>
  <c r="J31" i="4"/>
  <c r="I31" i="4"/>
  <c r="H31" i="4"/>
  <c r="G31" i="4"/>
  <c r="F31" i="4"/>
  <c r="E31" i="4"/>
  <c r="Z30" i="4"/>
  <c r="Y30" i="4"/>
  <c r="X30" i="4"/>
  <c r="W30" i="4"/>
  <c r="V30" i="4"/>
  <c r="N30" i="4"/>
  <c r="M30" i="4"/>
  <c r="L30" i="4"/>
  <c r="K30" i="4"/>
  <c r="J30" i="4"/>
  <c r="I30" i="4"/>
  <c r="H30" i="4"/>
  <c r="G30" i="4"/>
  <c r="F30" i="4"/>
  <c r="E30" i="4"/>
  <c r="Z29" i="4"/>
  <c r="Y29" i="4"/>
  <c r="X29" i="4"/>
  <c r="W29" i="4"/>
  <c r="V29" i="4"/>
  <c r="N29" i="4"/>
  <c r="M29" i="4"/>
  <c r="L29" i="4"/>
  <c r="K29" i="4"/>
  <c r="J29" i="4"/>
  <c r="I29" i="4"/>
  <c r="H29" i="4"/>
  <c r="G29" i="4"/>
  <c r="F29" i="4"/>
  <c r="E29" i="4"/>
  <c r="Z28" i="4"/>
  <c r="Y28" i="4"/>
  <c r="X28" i="4"/>
  <c r="W28" i="4"/>
  <c r="V28" i="4"/>
  <c r="N28" i="4"/>
  <c r="M28" i="4"/>
  <c r="L28" i="4"/>
  <c r="K28" i="4"/>
  <c r="J28" i="4"/>
  <c r="I28" i="4"/>
  <c r="H28" i="4"/>
  <c r="G28" i="4"/>
  <c r="F28" i="4"/>
  <c r="E28" i="4"/>
  <c r="Z27" i="4"/>
  <c r="Y27" i="4"/>
  <c r="X27" i="4"/>
  <c r="W27" i="4"/>
  <c r="V27" i="4"/>
  <c r="N27" i="4"/>
  <c r="M27" i="4"/>
  <c r="L27" i="4"/>
  <c r="K27" i="4"/>
  <c r="J27" i="4"/>
  <c r="I27" i="4"/>
  <c r="H27" i="4"/>
  <c r="G27" i="4"/>
  <c r="F27" i="4"/>
  <c r="E27" i="4"/>
  <c r="Z26" i="4"/>
  <c r="Y26" i="4"/>
  <c r="X26" i="4"/>
  <c r="W26" i="4"/>
  <c r="V26" i="4"/>
  <c r="N26" i="4"/>
  <c r="M26" i="4"/>
  <c r="L26" i="4"/>
  <c r="K26" i="4"/>
  <c r="J26" i="4"/>
  <c r="I26" i="4"/>
  <c r="H26" i="4"/>
  <c r="G26" i="4"/>
  <c r="F26" i="4"/>
  <c r="E26" i="4"/>
  <c r="Z18" i="4"/>
  <c r="Y18" i="4"/>
  <c r="X18" i="4"/>
  <c r="W18" i="4"/>
  <c r="V18" i="4"/>
  <c r="N18" i="4"/>
  <c r="M18" i="4"/>
  <c r="L18" i="4"/>
  <c r="K18" i="4"/>
  <c r="J18" i="4"/>
  <c r="I18" i="4"/>
  <c r="H18" i="4"/>
  <c r="F18" i="4"/>
  <c r="E18" i="4"/>
  <c r="D18" i="4"/>
  <c r="C18" i="4"/>
  <c r="Z17" i="4"/>
  <c r="Y17" i="4"/>
  <c r="X17" i="4"/>
  <c r="W17" i="4"/>
  <c r="V17" i="4"/>
  <c r="N17" i="4"/>
  <c r="M17" i="4"/>
  <c r="L17" i="4"/>
  <c r="K17" i="4"/>
  <c r="J17" i="4"/>
  <c r="I17" i="4"/>
  <c r="H17" i="4"/>
  <c r="F17" i="4"/>
  <c r="E17" i="4"/>
  <c r="Z16" i="4"/>
  <c r="Y16" i="4"/>
  <c r="X16" i="4"/>
  <c r="W16" i="4"/>
  <c r="V16" i="4"/>
  <c r="N16" i="4"/>
  <c r="M16" i="4"/>
  <c r="L16" i="4"/>
  <c r="K16" i="4"/>
  <c r="J16" i="4"/>
  <c r="I16" i="4"/>
  <c r="H16" i="4"/>
  <c r="F16" i="4"/>
  <c r="E16" i="4"/>
  <c r="Z15" i="4"/>
  <c r="Y15" i="4"/>
  <c r="X15" i="4"/>
  <c r="W15" i="4"/>
  <c r="V15" i="4"/>
  <c r="N15" i="4"/>
  <c r="M15" i="4"/>
  <c r="L15" i="4"/>
  <c r="K15" i="4"/>
  <c r="J15" i="4"/>
  <c r="I15" i="4"/>
  <c r="H15" i="4"/>
  <c r="F15" i="4"/>
  <c r="E15" i="4"/>
  <c r="Z14" i="4"/>
  <c r="Y14" i="4"/>
  <c r="X14" i="4"/>
  <c r="W14" i="4"/>
  <c r="V14" i="4"/>
  <c r="N14" i="4"/>
  <c r="M14" i="4"/>
  <c r="L14" i="4"/>
  <c r="K14" i="4"/>
  <c r="J14" i="4"/>
  <c r="I14" i="4"/>
  <c r="H14" i="4"/>
  <c r="F14" i="4"/>
  <c r="E14" i="4"/>
  <c r="Z13" i="4"/>
  <c r="Y13" i="4"/>
  <c r="X13" i="4"/>
  <c r="W13" i="4"/>
  <c r="V13" i="4"/>
  <c r="N13" i="4"/>
  <c r="M13" i="4"/>
  <c r="L13" i="4"/>
  <c r="K13" i="4"/>
  <c r="J13" i="4"/>
  <c r="I13" i="4"/>
  <c r="H13" i="4"/>
  <c r="G13" i="4"/>
  <c r="F13" i="4"/>
  <c r="E13" i="4"/>
  <c r="Z12" i="4"/>
  <c r="Y12" i="4"/>
  <c r="X12" i="4"/>
  <c r="W12" i="4"/>
  <c r="V12" i="4"/>
  <c r="N12" i="4"/>
  <c r="M12" i="4"/>
  <c r="L12" i="4"/>
  <c r="K12" i="4"/>
  <c r="J12" i="4"/>
  <c r="I12" i="4"/>
  <c r="H12" i="4"/>
  <c r="G12" i="4"/>
  <c r="F12" i="4"/>
  <c r="E12" i="4"/>
  <c r="Z11" i="4"/>
  <c r="Y11" i="4"/>
  <c r="X11" i="4"/>
  <c r="W11" i="4"/>
  <c r="V11" i="4"/>
  <c r="N11" i="4"/>
  <c r="M11" i="4"/>
  <c r="L11" i="4"/>
  <c r="K11" i="4"/>
  <c r="J11" i="4"/>
  <c r="I11" i="4"/>
  <c r="H11" i="4"/>
  <c r="G11" i="4"/>
  <c r="F11" i="4"/>
  <c r="E11" i="4"/>
  <c r="Z10" i="4"/>
  <c r="Y10" i="4"/>
  <c r="X10" i="4"/>
  <c r="W10" i="4"/>
  <c r="V10" i="4"/>
  <c r="Q10" i="4"/>
  <c r="N10" i="4"/>
  <c r="M10" i="4"/>
  <c r="L10" i="4"/>
  <c r="K10" i="4"/>
  <c r="J10" i="4"/>
  <c r="I10" i="4"/>
  <c r="H10" i="4"/>
  <c r="G10" i="4"/>
  <c r="F10" i="4"/>
  <c r="E10" i="4"/>
  <c r="AA34" i="2"/>
  <c r="Z34" i="2"/>
  <c r="Y34" i="2"/>
  <c r="X34" i="2"/>
  <c r="W34" i="2"/>
  <c r="AA33" i="2"/>
  <c r="Z33" i="2"/>
  <c r="Y33" i="2"/>
  <c r="X33" i="2"/>
  <c r="W33" i="2"/>
  <c r="O33" i="2"/>
  <c r="N33" i="2"/>
  <c r="M33" i="2"/>
  <c r="L33" i="2"/>
  <c r="K33" i="2"/>
  <c r="J33" i="2"/>
  <c r="I33" i="2"/>
  <c r="H33" i="2"/>
  <c r="G33" i="2"/>
  <c r="F33" i="2"/>
  <c r="AA32" i="2"/>
  <c r="Z32" i="2"/>
  <c r="Y32" i="2"/>
  <c r="X32" i="2"/>
  <c r="W32" i="2"/>
  <c r="O32" i="2"/>
  <c r="N32" i="2"/>
  <c r="M32" i="2"/>
  <c r="L32" i="2"/>
  <c r="K32" i="2"/>
  <c r="AA31" i="2"/>
  <c r="Z31" i="2"/>
  <c r="Y31" i="2"/>
  <c r="X31" i="2"/>
  <c r="W31" i="2"/>
  <c r="O31" i="2"/>
  <c r="N31" i="2"/>
  <c r="M31" i="2"/>
  <c r="L31" i="2"/>
  <c r="K31" i="2"/>
  <c r="AA30" i="2"/>
  <c r="Z30" i="2"/>
  <c r="Y30" i="2"/>
  <c r="X30" i="2"/>
  <c r="W30" i="2"/>
  <c r="O30" i="2"/>
  <c r="N30" i="2"/>
  <c r="M30" i="2"/>
  <c r="L30" i="2"/>
  <c r="K30" i="2"/>
  <c r="J30" i="2"/>
  <c r="I30" i="2"/>
  <c r="H30" i="2"/>
  <c r="G30" i="2"/>
  <c r="F30" i="2"/>
  <c r="E30" i="2"/>
  <c r="AA29" i="2"/>
  <c r="Z29" i="2"/>
  <c r="Y29" i="2"/>
  <c r="X29" i="2"/>
  <c r="W29" i="2"/>
  <c r="O29" i="2"/>
  <c r="N29" i="2"/>
  <c r="M29" i="2"/>
  <c r="L29" i="2"/>
  <c r="K29" i="2"/>
  <c r="J29" i="2"/>
  <c r="I29" i="2"/>
  <c r="H29" i="2"/>
  <c r="G29" i="2"/>
  <c r="F29" i="2"/>
  <c r="AA28" i="2"/>
  <c r="Z28" i="2"/>
  <c r="Y28" i="2"/>
  <c r="X28" i="2"/>
  <c r="W28" i="2"/>
  <c r="T28" i="2"/>
  <c r="O28" i="2"/>
  <c r="N28" i="2"/>
  <c r="M28" i="2"/>
  <c r="L28" i="2"/>
  <c r="K28" i="2"/>
  <c r="J28" i="2"/>
  <c r="I28" i="2"/>
  <c r="H28" i="2"/>
  <c r="G28" i="2"/>
  <c r="F28" i="2"/>
  <c r="AA27" i="2"/>
  <c r="Z27" i="2"/>
  <c r="Y27" i="2"/>
  <c r="X27" i="2"/>
  <c r="W27" i="2"/>
  <c r="T27" i="2"/>
  <c r="O27" i="2"/>
  <c r="N27" i="2"/>
  <c r="M27" i="2"/>
  <c r="L27" i="2"/>
  <c r="K27" i="2"/>
  <c r="J27" i="2"/>
  <c r="I27" i="2"/>
  <c r="H27" i="2"/>
  <c r="G27" i="2"/>
  <c r="F27" i="2"/>
  <c r="AA26" i="2"/>
  <c r="Z26" i="2"/>
  <c r="Y26" i="2"/>
  <c r="X26" i="2"/>
  <c r="W26" i="2"/>
  <c r="O26" i="2"/>
  <c r="N26" i="2"/>
  <c r="M26" i="2"/>
  <c r="L26" i="2"/>
  <c r="K26" i="2"/>
  <c r="J26" i="2"/>
  <c r="I26" i="2"/>
  <c r="H26" i="2"/>
  <c r="G26" i="2"/>
  <c r="F26" i="2"/>
  <c r="E20" i="2"/>
  <c r="AA12" i="2"/>
  <c r="Z12" i="2"/>
  <c r="Y12" i="2"/>
  <c r="X12" i="2"/>
  <c r="W12" i="2"/>
  <c r="O12" i="2"/>
  <c r="N12" i="2"/>
  <c r="M12" i="2"/>
  <c r="L12" i="2"/>
  <c r="K12" i="2"/>
  <c r="J12" i="2"/>
  <c r="I12" i="2"/>
  <c r="H12" i="2"/>
  <c r="G12" i="2"/>
  <c r="F12" i="2"/>
  <c r="AA11" i="2"/>
  <c r="Z11" i="2"/>
  <c r="Y11" i="2"/>
  <c r="X11" i="2"/>
  <c r="W11" i="2"/>
  <c r="O11" i="2"/>
  <c r="N11" i="2"/>
  <c r="M11" i="2"/>
  <c r="L11" i="2"/>
  <c r="K11" i="2"/>
  <c r="J11" i="2"/>
  <c r="I11" i="2"/>
  <c r="H11" i="2"/>
  <c r="G11" i="2"/>
  <c r="F11" i="2"/>
  <c r="AA10" i="2"/>
  <c r="Z10" i="2"/>
  <c r="Y10" i="2"/>
  <c r="X10" i="2"/>
  <c r="W10" i="2"/>
  <c r="O10" i="2"/>
  <c r="N10" i="2"/>
  <c r="M10" i="2"/>
  <c r="L10" i="2"/>
  <c r="K10" i="2"/>
  <c r="J10" i="2"/>
  <c r="I10" i="2"/>
  <c r="H10" i="2"/>
  <c r="G10" i="2"/>
  <c r="F10" i="2"/>
  <c r="E10" i="2"/>
  <c r="AA34" i="1"/>
  <c r="Z34" i="1"/>
  <c r="Y34" i="1"/>
  <c r="X34" i="1"/>
  <c r="W34" i="1"/>
  <c r="AA33" i="1"/>
  <c r="Z33" i="1"/>
  <c r="Y33" i="1"/>
  <c r="X33" i="1"/>
  <c r="W33" i="1"/>
  <c r="O33" i="1"/>
  <c r="N33" i="1"/>
  <c r="M33" i="1"/>
  <c r="L33" i="1"/>
  <c r="K33" i="1"/>
  <c r="J33" i="1"/>
  <c r="I33" i="1"/>
  <c r="H33" i="1"/>
  <c r="G33" i="1"/>
  <c r="F33" i="1"/>
  <c r="AA32" i="1"/>
  <c r="Z32" i="1"/>
  <c r="Y32" i="1"/>
  <c r="X32" i="1"/>
  <c r="W32" i="1"/>
  <c r="O32" i="1"/>
  <c r="N32" i="1"/>
  <c r="M32" i="1"/>
  <c r="L32" i="1"/>
  <c r="K32" i="1"/>
  <c r="AA31" i="1"/>
  <c r="Z31" i="1"/>
  <c r="Y31" i="1"/>
  <c r="X31" i="1"/>
  <c r="W31" i="1"/>
  <c r="O31" i="1"/>
  <c r="N31" i="1"/>
  <c r="M31" i="1"/>
  <c r="L31" i="1"/>
  <c r="K31" i="1"/>
  <c r="AA30" i="1"/>
  <c r="Z30" i="1"/>
  <c r="Y30" i="1"/>
  <c r="X30" i="1"/>
  <c r="W30" i="1"/>
  <c r="O30" i="1"/>
  <c r="N30" i="1"/>
  <c r="M30" i="1"/>
  <c r="L30" i="1"/>
  <c r="K30" i="1"/>
  <c r="J30" i="1"/>
  <c r="I30" i="1"/>
  <c r="H30" i="1"/>
  <c r="G30" i="1"/>
  <c r="F30" i="1"/>
  <c r="E30" i="1"/>
  <c r="AA29" i="1"/>
  <c r="Z29" i="1"/>
  <c r="Y29" i="1"/>
  <c r="X29" i="1"/>
  <c r="W29" i="1"/>
  <c r="O29" i="1"/>
  <c r="N29" i="1"/>
  <c r="M29" i="1"/>
  <c r="L29" i="1"/>
  <c r="K29" i="1"/>
  <c r="J29" i="1"/>
  <c r="I29" i="1"/>
  <c r="H29" i="1"/>
  <c r="G29" i="1"/>
  <c r="F29" i="1"/>
  <c r="AA28" i="1"/>
  <c r="Z28" i="1"/>
  <c r="Y28" i="1"/>
  <c r="X28" i="1"/>
  <c r="W28" i="1"/>
  <c r="T28" i="1"/>
  <c r="O28" i="1"/>
  <c r="N28" i="1"/>
  <c r="M28" i="1"/>
  <c r="L28" i="1"/>
  <c r="K28" i="1"/>
  <c r="J28" i="1"/>
  <c r="I28" i="1"/>
  <c r="H28" i="1"/>
  <c r="G28" i="1"/>
  <c r="F28" i="1"/>
  <c r="AA27" i="1"/>
  <c r="Z27" i="1"/>
  <c r="Y27" i="1"/>
  <c r="X27" i="1"/>
  <c r="W27" i="1"/>
  <c r="T27" i="1"/>
  <c r="O27" i="1"/>
  <c r="N27" i="1"/>
  <c r="M27" i="1"/>
  <c r="L27" i="1"/>
  <c r="K27" i="1"/>
  <c r="J27" i="1"/>
  <c r="I27" i="1"/>
  <c r="H27" i="1"/>
  <c r="G27" i="1"/>
  <c r="F27" i="1"/>
  <c r="AA26" i="1"/>
  <c r="Z26" i="1"/>
  <c r="Y26" i="1"/>
  <c r="X26" i="1"/>
  <c r="W26" i="1"/>
  <c r="O26" i="1"/>
  <c r="N26" i="1"/>
  <c r="M26" i="1"/>
  <c r="L26" i="1"/>
  <c r="K26" i="1"/>
  <c r="J26" i="1"/>
  <c r="I26" i="1"/>
  <c r="H26" i="1"/>
  <c r="G26" i="1"/>
  <c r="F26" i="1"/>
  <c r="E20" i="1"/>
  <c r="AA12" i="1"/>
  <c r="Z12" i="1"/>
  <c r="Y12" i="1"/>
  <c r="X12" i="1"/>
  <c r="W12" i="1"/>
  <c r="O12" i="1"/>
  <c r="N12" i="1"/>
  <c r="M12" i="1"/>
  <c r="L12" i="1"/>
  <c r="K12" i="1"/>
  <c r="J12" i="1"/>
  <c r="I12" i="1"/>
  <c r="H12" i="1"/>
  <c r="G12" i="1"/>
  <c r="F12" i="1"/>
  <c r="AA11" i="1"/>
  <c r="Z11" i="1"/>
  <c r="Y11" i="1"/>
  <c r="X11" i="1"/>
  <c r="W11" i="1"/>
  <c r="O11" i="1"/>
  <c r="N11" i="1"/>
  <c r="M11" i="1"/>
  <c r="L11" i="1"/>
  <c r="K11" i="1"/>
  <c r="J11" i="1"/>
  <c r="I11" i="1"/>
  <c r="H11" i="1"/>
  <c r="G11" i="1"/>
  <c r="F11" i="1"/>
  <c r="AA10" i="1"/>
  <c r="Z10" i="1"/>
  <c r="Y10" i="1"/>
  <c r="X10" i="1"/>
  <c r="W10" i="1"/>
  <c r="O10" i="1"/>
  <c r="N10" i="1"/>
  <c r="M10" i="1"/>
  <c r="L10" i="1"/>
  <c r="K10" i="1"/>
  <c r="J10" i="1"/>
  <c r="I10" i="1"/>
  <c r="H10" i="1"/>
  <c r="G10" i="1"/>
  <c r="F10" i="1"/>
  <c r="E10" i="1"/>
  <c r="I113" i="6" l="1"/>
  <c r="H113" i="6"/>
  <c r="I173" i="6"/>
  <c r="G173" i="6"/>
  <c r="I174" i="6"/>
  <c r="H174" i="6"/>
  <c r="G174" i="6"/>
  <c r="H176" i="6"/>
  <c r="G176" i="6"/>
  <c r="G177" i="6"/>
  <c r="H177" i="6"/>
  <c r="G112" i="6"/>
  <c r="AE112" i="6" s="1"/>
  <c r="I112" i="6"/>
  <c r="H112" i="6"/>
  <c r="I175" i="6"/>
  <c r="G175" i="6"/>
  <c r="H175" i="6"/>
  <c r="H178" i="6"/>
  <c r="G178" i="6"/>
  <c r="AE178" i="6" s="1"/>
  <c r="G179" i="6"/>
  <c r="H179" i="6"/>
  <c r="H56" i="6"/>
  <c r="F64" i="6"/>
  <c r="N61" i="6"/>
  <c r="P61" i="6" s="1"/>
  <c r="AC61" i="6"/>
  <c r="N160" i="6"/>
  <c r="P160" i="6" s="1"/>
  <c r="AC160" i="6"/>
  <c r="N200" i="6"/>
  <c r="W200" i="6" s="1"/>
  <c r="X200" i="6" s="1"/>
  <c r="Y200" i="6" s="1"/>
  <c r="Z200" i="6" s="1"/>
  <c r="AA200" i="6" s="1"/>
  <c r="AB200" i="6" s="1"/>
  <c r="AD200" i="6" s="1"/>
  <c r="AC200" i="6"/>
  <c r="AF200" i="6" s="1"/>
  <c r="P62" i="6"/>
  <c r="X83" i="6"/>
  <c r="AA37" i="6"/>
  <c r="AB37" i="6" s="1"/>
  <c r="H84" i="6"/>
  <c r="H88" i="6" s="1"/>
  <c r="F88" i="6"/>
  <c r="I111" i="6"/>
  <c r="G111" i="6"/>
  <c r="AE111" i="6" s="1"/>
  <c r="AC55" i="6"/>
  <c r="AF55" i="6" s="1"/>
  <c r="AF38" i="6"/>
  <c r="AG38" i="6" s="1"/>
  <c r="H149" i="6"/>
  <c r="O36" i="6"/>
  <c r="W36" i="6" s="1"/>
  <c r="P36" i="6"/>
  <c r="O55" i="6"/>
  <c r="Q55" i="6"/>
  <c r="P55" i="6"/>
  <c r="F99" i="6"/>
  <c r="F180" i="6"/>
  <c r="F201" i="6"/>
  <c r="H218" i="6"/>
  <c r="J218" i="6" s="1"/>
  <c r="G32" i="6"/>
  <c r="G189" i="6"/>
  <c r="F190" i="6"/>
  <c r="J227" i="6"/>
  <c r="K227" i="6" s="1"/>
  <c r="G40" i="6"/>
  <c r="G59" i="6"/>
  <c r="AE59" i="6" s="1"/>
  <c r="H74" i="6"/>
  <c r="J74" i="6" s="1"/>
  <c r="G171" i="6"/>
  <c r="AE176" i="6"/>
  <c r="F228" i="6"/>
  <c r="G37" i="6"/>
  <c r="G58" i="6"/>
  <c r="AE58" i="6" s="1"/>
  <c r="M214" i="6"/>
  <c r="K214" i="6"/>
  <c r="AC214" i="6" s="1"/>
  <c r="AF214" i="6" s="1"/>
  <c r="F20" i="6"/>
  <c r="I32" i="6"/>
  <c r="I40" i="6"/>
  <c r="I58" i="6"/>
  <c r="I59" i="6"/>
  <c r="G60" i="6"/>
  <c r="AE60" i="6" s="1"/>
  <c r="G63" i="6"/>
  <c r="AE63" i="6" s="1"/>
  <c r="G72" i="6"/>
  <c r="J72" i="6" s="1"/>
  <c r="G75" i="6"/>
  <c r="F114" i="6"/>
  <c r="I108" i="6"/>
  <c r="G109" i="6"/>
  <c r="AE109" i="6" s="1"/>
  <c r="G110" i="6"/>
  <c r="G131" i="6"/>
  <c r="AE131" i="6" s="1"/>
  <c r="F134" i="6"/>
  <c r="G148" i="6"/>
  <c r="AE148" i="6" s="1"/>
  <c r="F162" i="6"/>
  <c r="G157" i="6"/>
  <c r="AE157" i="6" s="1"/>
  <c r="AF157" i="6" s="1"/>
  <c r="N157" i="6"/>
  <c r="Q157" i="6" s="1"/>
  <c r="G158" i="6"/>
  <c r="AE158" i="6" s="1"/>
  <c r="G159" i="6"/>
  <c r="AE159" i="6" s="1"/>
  <c r="G160" i="6"/>
  <c r="AE160" i="6" s="1"/>
  <c r="G170" i="6"/>
  <c r="AE170" i="6" s="1"/>
  <c r="I171" i="6"/>
  <c r="H173" i="6"/>
  <c r="I176" i="6"/>
  <c r="AE177" i="6"/>
  <c r="I178" i="6"/>
  <c r="G196" i="6"/>
  <c r="AE196" i="6" s="1"/>
  <c r="I60" i="6"/>
  <c r="I63" i="6"/>
  <c r="I109" i="6"/>
  <c r="I110" i="6"/>
  <c r="I131" i="6"/>
  <c r="I157" i="6"/>
  <c r="L157" i="6" s="1"/>
  <c r="I158" i="6"/>
  <c r="L158" i="6" s="1"/>
  <c r="I159" i="6"/>
  <c r="L159" i="6" s="1"/>
  <c r="I160" i="6"/>
  <c r="L160" i="6" s="1"/>
  <c r="I170" i="6"/>
  <c r="I177" i="6"/>
  <c r="I196" i="6"/>
  <c r="O61" i="6"/>
  <c r="W61" i="6" s="1"/>
  <c r="X61" i="6" s="1"/>
  <c r="Y61" i="6" s="1"/>
  <c r="Z61" i="6" s="1"/>
  <c r="AA61" i="6" s="1"/>
  <c r="AB61" i="6" s="1"/>
  <c r="Q61" i="6"/>
  <c r="I57" i="6"/>
  <c r="G57" i="6"/>
  <c r="AE57" i="6" s="1"/>
  <c r="AF57" i="6" s="1"/>
  <c r="AG57" i="6" s="1"/>
  <c r="N57" i="6"/>
  <c r="H39" i="6"/>
  <c r="G39" i="6"/>
  <c r="I56" i="6"/>
  <c r="G56" i="6"/>
  <c r="H57" i="6"/>
  <c r="I61" i="6"/>
  <c r="G61" i="6"/>
  <c r="AE61" i="6" s="1"/>
  <c r="F76" i="6"/>
  <c r="H73" i="6"/>
  <c r="G84" i="6"/>
  <c r="I84" i="6"/>
  <c r="G85" i="6"/>
  <c r="AE85" i="6" s="1"/>
  <c r="I85" i="6"/>
  <c r="G86" i="6"/>
  <c r="AE86" i="6" s="1"/>
  <c r="I86" i="6"/>
  <c r="G87" i="6"/>
  <c r="AE87" i="6" s="1"/>
  <c r="I87" i="6"/>
  <c r="G97" i="6"/>
  <c r="AE97" i="6" s="1"/>
  <c r="G98" i="6"/>
  <c r="AE98" i="6" s="1"/>
  <c r="H108" i="6"/>
  <c r="H114" i="6" s="1"/>
  <c r="J112" i="6"/>
  <c r="G113" i="6"/>
  <c r="G122" i="6"/>
  <c r="AE122" i="6" s="1"/>
  <c r="G132" i="6"/>
  <c r="AE132" i="6" s="1"/>
  <c r="I132" i="6"/>
  <c r="G133" i="6"/>
  <c r="I133" i="6"/>
  <c r="F149" i="6"/>
  <c r="I147" i="6"/>
  <c r="I149" i="6" s="1"/>
  <c r="G147" i="6"/>
  <c r="AE147" i="6" s="1"/>
  <c r="H97" i="6"/>
  <c r="H99" i="6" s="1"/>
  <c r="H122" i="6"/>
  <c r="H123" i="6" s="1"/>
  <c r="H132" i="6"/>
  <c r="H134" i="6" s="1"/>
  <c r="G156" i="6"/>
  <c r="AE156" i="6" s="1"/>
  <c r="I156" i="6"/>
  <c r="J158" i="6"/>
  <c r="O160" i="6"/>
  <c r="W160" i="6" s="1"/>
  <c r="X160" i="6" s="1"/>
  <c r="Y160" i="6" s="1"/>
  <c r="Z160" i="6" s="1"/>
  <c r="AA160" i="6" s="1"/>
  <c r="AB160" i="6" s="1"/>
  <c r="Q160" i="6"/>
  <c r="G161" i="6"/>
  <c r="AE161" i="6" s="1"/>
  <c r="AF161" i="6" s="1"/>
  <c r="AG161" i="6" s="1"/>
  <c r="I161" i="6"/>
  <c r="L161" i="6" s="1"/>
  <c r="N161" i="6"/>
  <c r="H170" i="6"/>
  <c r="G172" i="6"/>
  <c r="I172" i="6"/>
  <c r="AE179" i="6"/>
  <c r="I179" i="6"/>
  <c r="Q200" i="6"/>
  <c r="O200" i="6"/>
  <c r="P200" i="6"/>
  <c r="H156" i="6"/>
  <c r="H162" i="6" s="1"/>
  <c r="J189" i="6"/>
  <c r="H196" i="6"/>
  <c r="H197" i="6"/>
  <c r="J197" i="6" s="1"/>
  <c r="J198" i="6"/>
  <c r="G199" i="6"/>
  <c r="I199" i="6"/>
  <c r="H200" i="6"/>
  <c r="H212" i="6"/>
  <c r="H213" i="6"/>
  <c r="J213" i="6" s="1"/>
  <c r="H219" i="6"/>
  <c r="J219" i="6" s="1"/>
  <c r="H220" i="6"/>
  <c r="J220" i="6" s="1"/>
  <c r="J228" i="6"/>
  <c r="K228" i="6"/>
  <c r="F41" i="6"/>
  <c r="G34" i="6"/>
  <c r="I37" i="6"/>
  <c r="I39" i="6"/>
  <c r="I34" i="6"/>
  <c r="G13" i="6"/>
  <c r="J17" i="6"/>
  <c r="J14" i="6"/>
  <c r="J15" i="6"/>
  <c r="J16" i="6"/>
  <c r="J18" i="6"/>
  <c r="J19" i="6"/>
  <c r="G33" i="6"/>
  <c r="I33" i="6"/>
  <c r="G35" i="6"/>
  <c r="I35" i="6"/>
  <c r="H33" i="6"/>
  <c r="H41" i="6" l="1"/>
  <c r="J170" i="6"/>
  <c r="J159" i="6"/>
  <c r="J59" i="6"/>
  <c r="J111" i="6"/>
  <c r="K111" i="6" s="1"/>
  <c r="AC111" i="6" s="1"/>
  <c r="AF111" i="6" s="1"/>
  <c r="AG111" i="6" s="1"/>
  <c r="AF160" i="6"/>
  <c r="AG160" i="6" s="1"/>
  <c r="J109" i="6"/>
  <c r="H76" i="6"/>
  <c r="AF61" i="6"/>
  <c r="AG61" i="6" s="1"/>
  <c r="K220" i="6"/>
  <c r="M220" i="6"/>
  <c r="K213" i="6"/>
  <c r="M213" i="6"/>
  <c r="AE133" i="6"/>
  <c r="J133" i="6"/>
  <c r="AE113" i="6"/>
  <c r="J113" i="6"/>
  <c r="J178" i="6"/>
  <c r="J176" i="6"/>
  <c r="J174" i="6"/>
  <c r="AE174" i="6"/>
  <c r="J212" i="6"/>
  <c r="M212" i="6" s="1"/>
  <c r="H221" i="6"/>
  <c r="AE172" i="6"/>
  <c r="J172" i="6"/>
  <c r="AE110" i="6"/>
  <c r="J110" i="6"/>
  <c r="AE171" i="6"/>
  <c r="J171" i="6"/>
  <c r="K218" i="6"/>
  <c r="M218" i="6"/>
  <c r="J179" i="6"/>
  <c r="K179" i="6" s="1"/>
  <c r="N179" i="6" s="1"/>
  <c r="J175" i="6"/>
  <c r="AE175" i="6"/>
  <c r="J177" i="6"/>
  <c r="K177" i="6" s="1"/>
  <c r="N177" i="6" s="1"/>
  <c r="J173" i="6"/>
  <c r="J180" i="6" s="1"/>
  <c r="AE173" i="6"/>
  <c r="M14" i="6"/>
  <c r="K14" i="6"/>
  <c r="AE123" i="6"/>
  <c r="I88" i="6"/>
  <c r="AE56" i="6"/>
  <c r="G64" i="6"/>
  <c r="AE33" i="6"/>
  <c r="J33" i="6"/>
  <c r="K33" i="6" s="1"/>
  <c r="G20" i="6"/>
  <c r="J13" i="6"/>
  <c r="J20" i="6" s="1"/>
  <c r="AE13" i="6"/>
  <c r="AE20" i="6" s="1"/>
  <c r="AE34" i="6"/>
  <c r="J34" i="6"/>
  <c r="AE162" i="6"/>
  <c r="J148" i="6"/>
  <c r="K148" i="6" s="1"/>
  <c r="AC148" i="6" s="1"/>
  <c r="AF148" i="6" s="1"/>
  <c r="AG148" i="6" s="1"/>
  <c r="J131" i="6"/>
  <c r="AE99" i="6"/>
  <c r="AE84" i="6"/>
  <c r="G88" i="6"/>
  <c r="I64" i="6"/>
  <c r="P157" i="6"/>
  <c r="W157" i="6"/>
  <c r="X157" i="6" s="1"/>
  <c r="Y157" i="6" s="1"/>
  <c r="Z157" i="6" s="1"/>
  <c r="AA157" i="6" s="1"/>
  <c r="AB157" i="6" s="1"/>
  <c r="AD157" i="6" s="1"/>
  <c r="AG157" i="6" s="1"/>
  <c r="J75" i="6"/>
  <c r="M75" i="6" s="1"/>
  <c r="AE75" i="6"/>
  <c r="N227" i="6"/>
  <c r="W227" i="6" s="1"/>
  <c r="X227" i="6" s="1"/>
  <c r="AC227" i="6"/>
  <c r="G190" i="6"/>
  <c r="AE189" i="6"/>
  <c r="W55" i="6"/>
  <c r="AE35" i="6"/>
  <c r="J35" i="6"/>
  <c r="G201" i="6"/>
  <c r="AE199" i="6"/>
  <c r="AE201" i="6" s="1"/>
  <c r="AE39" i="6"/>
  <c r="J39" i="6"/>
  <c r="K39" i="6" s="1"/>
  <c r="AE134" i="6"/>
  <c r="G76" i="6"/>
  <c r="AE72" i="6"/>
  <c r="AE37" i="6"/>
  <c r="J37" i="6"/>
  <c r="K37" i="6" s="1"/>
  <c r="AC37" i="6" s="1"/>
  <c r="J40" i="6"/>
  <c r="K40" i="6" s="1"/>
  <c r="AE32" i="6"/>
  <c r="G41" i="6"/>
  <c r="J32" i="6"/>
  <c r="X36" i="6"/>
  <c r="Z36" i="6" s="1"/>
  <c r="AA36" i="6" s="1"/>
  <c r="AB36" i="6" s="1"/>
  <c r="Y83" i="6"/>
  <c r="AG200" i="6"/>
  <c r="AD201" i="6"/>
  <c r="H64" i="6"/>
  <c r="N214" i="6"/>
  <c r="M215" i="6"/>
  <c r="AE215" i="6"/>
  <c r="J108" i="6"/>
  <c r="J114" i="6" s="1"/>
  <c r="I114" i="6"/>
  <c r="G180" i="6"/>
  <c r="AG55" i="6"/>
  <c r="AE149" i="6"/>
  <c r="AE40" i="6"/>
  <c r="M227" i="6"/>
  <c r="M228" i="6" s="1"/>
  <c r="I201" i="6"/>
  <c r="J196" i="6"/>
  <c r="K196" i="6" s="1"/>
  <c r="AC196" i="6" s="1"/>
  <c r="AF196" i="6" s="1"/>
  <c r="O157" i="6"/>
  <c r="J58" i="6"/>
  <c r="M58" i="6" s="1"/>
  <c r="G221" i="6"/>
  <c r="J60" i="6"/>
  <c r="K60" i="6" s="1"/>
  <c r="AC60" i="6" s="1"/>
  <c r="AF60" i="6" s="1"/>
  <c r="AG60" i="6" s="1"/>
  <c r="G134" i="6"/>
  <c r="I134" i="6"/>
  <c r="I180" i="6"/>
  <c r="J63" i="6"/>
  <c r="I41" i="6"/>
  <c r="Q227" i="6"/>
  <c r="Q228" i="6" s="1"/>
  <c r="K217" i="6"/>
  <c r="AC217" i="6" s="1"/>
  <c r="AF217" i="6" s="1"/>
  <c r="AG217" i="6" s="1"/>
  <c r="M217" i="6"/>
  <c r="K198" i="6"/>
  <c r="AC198" i="6" s="1"/>
  <c r="AF198" i="6" s="1"/>
  <c r="AG198" i="6" s="1"/>
  <c r="M198" i="6"/>
  <c r="K197" i="6"/>
  <c r="AC197" i="6" s="1"/>
  <c r="AF197" i="6" s="1"/>
  <c r="AG197" i="6" s="1"/>
  <c r="M197" i="6"/>
  <c r="H201" i="6"/>
  <c r="J190" i="6"/>
  <c r="K189" i="6"/>
  <c r="AC189" i="6" s="1"/>
  <c r="AC190" i="6" s="1"/>
  <c r="M189" i="6"/>
  <c r="M190" i="6" s="1"/>
  <c r="H180" i="6"/>
  <c r="M159" i="6"/>
  <c r="K159" i="6"/>
  <c r="AC159" i="6" s="1"/>
  <c r="AF159" i="6" s="1"/>
  <c r="J156" i="6"/>
  <c r="G162" i="6"/>
  <c r="G149" i="6"/>
  <c r="J147" i="6"/>
  <c r="J132" i="6"/>
  <c r="G99" i="6"/>
  <c r="J97" i="6"/>
  <c r="N111" i="6"/>
  <c r="G114" i="6"/>
  <c r="J73" i="6"/>
  <c r="J76" i="6" s="1"/>
  <c r="K72" i="6"/>
  <c r="AC72" i="6" s="1"/>
  <c r="M72" i="6"/>
  <c r="M59" i="6"/>
  <c r="K59" i="6"/>
  <c r="AC59" i="6" s="1"/>
  <c r="AF59" i="6" s="1"/>
  <c r="AG59" i="6" s="1"/>
  <c r="J56" i="6"/>
  <c r="M219" i="6"/>
  <c r="K219" i="6"/>
  <c r="AC219" i="6" s="1"/>
  <c r="AF219" i="6" s="1"/>
  <c r="K212" i="6"/>
  <c r="K216" i="6"/>
  <c r="AC216" i="6" s="1"/>
  <c r="AF216" i="6" s="1"/>
  <c r="M216" i="6"/>
  <c r="J199" i="6"/>
  <c r="AC177" i="6"/>
  <c r="AF177" i="6" s="1"/>
  <c r="M177" i="6"/>
  <c r="K170" i="6"/>
  <c r="AC170" i="6" s="1"/>
  <c r="M170" i="6"/>
  <c r="Q161" i="6"/>
  <c r="O161" i="6"/>
  <c r="W161" i="6" s="1"/>
  <c r="P161" i="6"/>
  <c r="M158" i="6"/>
  <c r="K158" i="6"/>
  <c r="AC158" i="6" s="1"/>
  <c r="AF158" i="6" s="1"/>
  <c r="AG158" i="6" s="1"/>
  <c r="L156" i="6"/>
  <c r="L162" i="6" s="1"/>
  <c r="I162" i="6"/>
  <c r="K173" i="6"/>
  <c r="M148" i="6"/>
  <c r="K131" i="6"/>
  <c r="AC131" i="6" s="1"/>
  <c r="M131" i="6"/>
  <c r="G123" i="6"/>
  <c r="J122" i="6"/>
  <c r="K112" i="6"/>
  <c r="AC112" i="6" s="1"/>
  <c r="AF112" i="6" s="1"/>
  <c r="AG112" i="6" s="1"/>
  <c r="M112" i="6"/>
  <c r="K109" i="6"/>
  <c r="M109" i="6"/>
  <c r="J98" i="6"/>
  <c r="K98" i="6" s="1"/>
  <c r="J87" i="6"/>
  <c r="J86" i="6"/>
  <c r="J85" i="6"/>
  <c r="J84" i="6"/>
  <c r="M74" i="6"/>
  <c r="K74" i="6"/>
  <c r="AC74" i="6" s="1"/>
  <c r="AF74" i="6" s="1"/>
  <c r="AG74" i="6" s="1"/>
  <c r="Q57" i="6"/>
  <c r="O57" i="6"/>
  <c r="W57" i="6" s="1"/>
  <c r="X57" i="6" s="1"/>
  <c r="Y57" i="6" s="1"/>
  <c r="Z57" i="6" s="1"/>
  <c r="AA57" i="6" s="1"/>
  <c r="AB57" i="6" s="1"/>
  <c r="P57" i="6"/>
  <c r="K18" i="6"/>
  <c r="AC18" i="6" s="1"/>
  <c r="AF18" i="6" s="1"/>
  <c r="M18" i="6"/>
  <c r="M17" i="6"/>
  <c r="K17" i="6"/>
  <c r="K19" i="6"/>
  <c r="AC19" i="6" s="1"/>
  <c r="AF19" i="6" s="1"/>
  <c r="AG19" i="6" s="1"/>
  <c r="M19" i="6"/>
  <c r="K16" i="6"/>
  <c r="AC16" i="6" s="1"/>
  <c r="AF16" i="6" s="1"/>
  <c r="M16" i="6"/>
  <c r="M15" i="6"/>
  <c r="K15" i="6"/>
  <c r="AC15" i="6" s="1"/>
  <c r="AF15" i="6" s="1"/>
  <c r="AG15" i="6" s="1"/>
  <c r="M111" i="6" l="1"/>
  <c r="K108" i="6"/>
  <c r="AC108" i="6" s="1"/>
  <c r="AF108" i="6" s="1"/>
  <c r="AG108" i="6" s="1"/>
  <c r="M173" i="6"/>
  <c r="K75" i="6"/>
  <c r="AC75" i="6" s="1"/>
  <c r="J134" i="6"/>
  <c r="J88" i="6"/>
  <c r="J64" i="6"/>
  <c r="M39" i="6"/>
  <c r="M40" i="6"/>
  <c r="AE114" i="6"/>
  <c r="J201" i="6"/>
  <c r="P227" i="6"/>
  <c r="P228" i="6" s="1"/>
  <c r="N228" i="6"/>
  <c r="AF37" i="6"/>
  <c r="AG37" i="6" s="1"/>
  <c r="AC173" i="6"/>
  <c r="AF173" i="6" s="1"/>
  <c r="AG173" i="6" s="1"/>
  <c r="N173" i="6"/>
  <c r="AC212" i="6"/>
  <c r="AC218" i="6"/>
  <c r="AF218" i="6" s="1"/>
  <c r="N218" i="6"/>
  <c r="M110" i="6"/>
  <c r="K110" i="6"/>
  <c r="AE180" i="6"/>
  <c r="K174" i="6"/>
  <c r="M174" i="6"/>
  <c r="K178" i="6"/>
  <c r="M178" i="6"/>
  <c r="K113" i="6"/>
  <c r="M113" i="6"/>
  <c r="K133" i="6"/>
  <c r="M133" i="6"/>
  <c r="N109" i="6"/>
  <c r="AC109" i="6"/>
  <c r="AF109" i="6" s="1"/>
  <c r="X161" i="6"/>
  <c r="Y161" i="6" s="1"/>
  <c r="Z161" i="6" s="1"/>
  <c r="AA161" i="6" s="1"/>
  <c r="AB161" i="6" s="1"/>
  <c r="Q214" i="6"/>
  <c r="O214" i="6"/>
  <c r="K175" i="6"/>
  <c r="M175" i="6"/>
  <c r="K171" i="6"/>
  <c r="M171" i="6"/>
  <c r="M172" i="6"/>
  <c r="K172" i="6"/>
  <c r="K176" i="6"/>
  <c r="M176" i="6"/>
  <c r="N213" i="6"/>
  <c r="AC213" i="6"/>
  <c r="AF213" i="6" s="1"/>
  <c r="AC220" i="6"/>
  <c r="AF220" i="6" s="1"/>
  <c r="N220" i="6"/>
  <c r="AG196" i="6"/>
  <c r="AC98" i="6"/>
  <c r="AF98" i="6" s="1"/>
  <c r="AG98" i="6" s="1"/>
  <c r="N98" i="6"/>
  <c r="M196" i="6"/>
  <c r="Z83" i="6"/>
  <c r="J41" i="6"/>
  <c r="M32" i="6"/>
  <c r="K32" i="6"/>
  <c r="AE41" i="6"/>
  <c r="AF131" i="6"/>
  <c r="X55" i="6"/>
  <c r="W228" i="6"/>
  <c r="AF75" i="6"/>
  <c r="AG75" i="6" s="1"/>
  <c r="AF170" i="6"/>
  <c r="K34" i="6"/>
  <c r="M34" i="6"/>
  <c r="AE64" i="6"/>
  <c r="AC14" i="6"/>
  <c r="AF14" i="6" s="1"/>
  <c r="N14" i="6"/>
  <c r="N17" i="6"/>
  <c r="AC17" i="6"/>
  <c r="AF17" i="6" s="1"/>
  <c r="AG17" i="6" s="1"/>
  <c r="W214" i="6"/>
  <c r="X214" i="6" s="1"/>
  <c r="Z214" i="6" s="1"/>
  <c r="AA214" i="6" s="1"/>
  <c r="AB214" i="6" s="1"/>
  <c r="AD214" i="6" s="1"/>
  <c r="AG214" i="6" s="1"/>
  <c r="AC40" i="6"/>
  <c r="AF40" i="6" s="1"/>
  <c r="AG40" i="6" s="1"/>
  <c r="N40" i="6"/>
  <c r="AE76" i="6"/>
  <c r="AF72" i="6"/>
  <c r="AC39" i="6"/>
  <c r="AF39" i="6" s="1"/>
  <c r="AG39" i="6" s="1"/>
  <c r="N39" i="6"/>
  <c r="K35" i="6"/>
  <c r="M35" i="6"/>
  <c r="AF189" i="6"/>
  <c r="AF190" i="6" s="1"/>
  <c r="AE190" i="6"/>
  <c r="AF227" i="6"/>
  <c r="AF228" i="6" s="1"/>
  <c r="AC228" i="6"/>
  <c r="AE88" i="6"/>
  <c r="AC33" i="6"/>
  <c r="AF33" i="6" s="1"/>
  <c r="AG33" i="6" s="1"/>
  <c r="N33" i="6"/>
  <c r="M108" i="6"/>
  <c r="K215" i="6"/>
  <c r="K221" i="6" s="1"/>
  <c r="P214" i="6"/>
  <c r="J221" i="6"/>
  <c r="AE221" i="6"/>
  <c r="K58" i="6"/>
  <c r="M37" i="6"/>
  <c r="M60" i="6"/>
  <c r="M63" i="6"/>
  <c r="K63" i="6"/>
  <c r="AC63" i="6" s="1"/>
  <c r="AF63" i="6" s="1"/>
  <c r="AG63" i="6" s="1"/>
  <c r="N112" i="6"/>
  <c r="O112" i="6" s="1"/>
  <c r="W112" i="6" s="1"/>
  <c r="X112" i="6" s="1"/>
  <c r="Y112" i="6" s="1"/>
  <c r="Z112" i="6" s="1"/>
  <c r="AA112" i="6" s="1"/>
  <c r="AB112" i="6" s="1"/>
  <c r="N158" i="6"/>
  <c r="N59" i="6"/>
  <c r="P59" i="6" s="1"/>
  <c r="N60" i="6"/>
  <c r="O60" i="6" s="1"/>
  <c r="W60" i="6" s="1"/>
  <c r="X60" i="6" s="1"/>
  <c r="Y60" i="6" s="1"/>
  <c r="Z60" i="6" s="1"/>
  <c r="AA60" i="6" s="1"/>
  <c r="AB60" i="6" s="1"/>
  <c r="N75" i="6"/>
  <c r="M73" i="6"/>
  <c r="M76" i="6" s="1"/>
  <c r="K73" i="6"/>
  <c r="N74" i="6"/>
  <c r="M84" i="6"/>
  <c r="K84" i="6"/>
  <c r="M85" i="6"/>
  <c r="K85" i="6"/>
  <c r="AC85" i="6" s="1"/>
  <c r="AF85" i="6" s="1"/>
  <c r="AG85" i="6" s="1"/>
  <c r="M86" i="6"/>
  <c r="K86" i="6"/>
  <c r="AC86" i="6" s="1"/>
  <c r="AF86" i="6" s="1"/>
  <c r="M87" i="6"/>
  <c r="K87" i="6"/>
  <c r="AC87" i="6" s="1"/>
  <c r="AF87" i="6" s="1"/>
  <c r="AG87" i="6" s="1"/>
  <c r="J123" i="6"/>
  <c r="K122" i="6"/>
  <c r="AC122" i="6" s="1"/>
  <c r="M122" i="6"/>
  <c r="M123" i="6" s="1"/>
  <c r="N131" i="6"/>
  <c r="N216" i="6"/>
  <c r="M221" i="6"/>
  <c r="N219" i="6"/>
  <c r="O219" i="6" s="1"/>
  <c r="K56" i="6"/>
  <c r="M56" i="6"/>
  <c r="N72" i="6"/>
  <c r="J99" i="6"/>
  <c r="K97" i="6"/>
  <c r="AC97" i="6" s="1"/>
  <c r="M97" i="6"/>
  <c r="M99" i="6" s="1"/>
  <c r="M132" i="6"/>
  <c r="K132" i="6"/>
  <c r="AC132" i="6" s="1"/>
  <c r="AF132" i="6" s="1"/>
  <c r="J149" i="6"/>
  <c r="K147" i="6"/>
  <c r="AC147" i="6" s="1"/>
  <c r="M147" i="6"/>
  <c r="M149" i="6" s="1"/>
  <c r="K190" i="6"/>
  <c r="N189" i="6"/>
  <c r="W189" i="6" s="1"/>
  <c r="N217" i="6"/>
  <c r="O217" i="6" s="1"/>
  <c r="N148" i="6"/>
  <c r="N170" i="6"/>
  <c r="W170" i="6" s="1"/>
  <c r="N196" i="6"/>
  <c r="M199" i="6"/>
  <c r="M201" i="6" s="1"/>
  <c r="K199" i="6"/>
  <c r="AC199" i="6" s="1"/>
  <c r="AC201" i="6" s="1"/>
  <c r="N212" i="6"/>
  <c r="Q111" i="6"/>
  <c r="O111" i="6"/>
  <c r="W111" i="6" s="1"/>
  <c r="P111" i="6"/>
  <c r="J162" i="6"/>
  <c r="M156" i="6"/>
  <c r="M162" i="6" s="1"/>
  <c r="K156" i="6"/>
  <c r="N159" i="6"/>
  <c r="M179" i="6"/>
  <c r="M180" i="6" s="1"/>
  <c r="N198" i="6"/>
  <c r="N16" i="6"/>
  <c r="W16" i="6" s="1"/>
  <c r="X16" i="6" s="1"/>
  <c r="Z16" i="6" s="1"/>
  <c r="AA16" i="6" s="1"/>
  <c r="AB16" i="6" s="1"/>
  <c r="AD16" i="6" s="1"/>
  <c r="AG16" i="6" s="1"/>
  <c r="N19" i="6"/>
  <c r="N18" i="6"/>
  <c r="M33" i="6"/>
  <c r="K13" i="6"/>
  <c r="K20" i="6" s="1"/>
  <c r="M13" i="6"/>
  <c r="M20" i="6" s="1"/>
  <c r="N15" i="6"/>
  <c r="N108" i="6" l="1"/>
  <c r="M134" i="6"/>
  <c r="M114" i="6"/>
  <c r="AF199" i="6"/>
  <c r="AG199" i="6" s="1"/>
  <c r="AG201" i="6" s="1"/>
  <c r="AC156" i="6"/>
  <c r="AF156" i="6" s="1"/>
  <c r="AF162" i="6" s="1"/>
  <c r="K162" i="6"/>
  <c r="O212" i="6"/>
  <c r="O220" i="6"/>
  <c r="W220" i="6" s="1"/>
  <c r="P220" i="6"/>
  <c r="Q220" i="6"/>
  <c r="N176" i="6"/>
  <c r="AC176" i="6"/>
  <c r="AF176" i="6" s="1"/>
  <c r="AG176" i="6" s="1"/>
  <c r="AC133" i="6"/>
  <c r="AF133" i="6" s="1"/>
  <c r="AF134" i="6" s="1"/>
  <c r="N133" i="6"/>
  <c r="N113" i="6"/>
  <c r="AC113" i="6"/>
  <c r="AC174" i="6"/>
  <c r="AF174" i="6" s="1"/>
  <c r="AG174" i="6" s="1"/>
  <c r="N174" i="6"/>
  <c r="P218" i="6"/>
  <c r="W218" i="6" s="1"/>
  <c r="X218" i="6" s="1"/>
  <c r="Z218" i="6" s="1"/>
  <c r="AA218" i="6" s="1"/>
  <c r="AB218" i="6" s="1"/>
  <c r="AD218" i="6" s="1"/>
  <c r="O218" i="6"/>
  <c r="Q218" i="6"/>
  <c r="W216" i="6"/>
  <c r="X216" i="6" s="1"/>
  <c r="Z216" i="6" s="1"/>
  <c r="AA216" i="6" s="1"/>
  <c r="AB216" i="6" s="1"/>
  <c r="AD216" i="6" s="1"/>
  <c r="AG216" i="6" s="1"/>
  <c r="O216" i="6"/>
  <c r="K114" i="6"/>
  <c r="O213" i="6"/>
  <c r="P213" i="6"/>
  <c r="W213" i="6"/>
  <c r="X213" i="6" s="1"/>
  <c r="Z213" i="6" s="1"/>
  <c r="AA213" i="6" s="1"/>
  <c r="AB213" i="6" s="1"/>
  <c r="Q213" i="6"/>
  <c r="N172" i="6"/>
  <c r="AC172" i="6"/>
  <c r="AF172" i="6" s="1"/>
  <c r="N171" i="6"/>
  <c r="AC171" i="6"/>
  <c r="AF171" i="6" s="1"/>
  <c r="AG171" i="6" s="1"/>
  <c r="N175" i="6"/>
  <c r="AC175" i="6"/>
  <c r="AF175" i="6" s="1"/>
  <c r="W109" i="6"/>
  <c r="X109" i="6" s="1"/>
  <c r="Y109" i="6" s="1"/>
  <c r="Z109" i="6" s="1"/>
  <c r="AA109" i="6" s="1"/>
  <c r="AB109" i="6" s="1"/>
  <c r="AD109" i="6" s="1"/>
  <c r="AG109" i="6" s="1"/>
  <c r="P109" i="6"/>
  <c r="Q109" i="6"/>
  <c r="O109" i="6"/>
  <c r="AC110" i="6"/>
  <c r="AF110" i="6" s="1"/>
  <c r="AG110" i="6" s="1"/>
  <c r="N110" i="6"/>
  <c r="AG218" i="6"/>
  <c r="Q173" i="6"/>
  <c r="O173" i="6"/>
  <c r="W173" i="6" s="1"/>
  <c r="X173" i="6" s="1"/>
  <c r="Y173" i="6" s="1"/>
  <c r="Z173" i="6" s="1"/>
  <c r="AA173" i="6" s="1"/>
  <c r="AB173" i="6" s="1"/>
  <c r="P173" i="6"/>
  <c r="N178" i="6"/>
  <c r="AC178" i="6"/>
  <c r="AF178" i="6" s="1"/>
  <c r="AG178" i="6" s="1"/>
  <c r="AF212" i="6"/>
  <c r="X170" i="6"/>
  <c r="K76" i="6"/>
  <c r="AC73" i="6"/>
  <c r="AC162" i="6"/>
  <c r="X189" i="6"/>
  <c r="W190" i="6"/>
  <c r="AC123" i="6"/>
  <c r="AF122" i="6"/>
  <c r="AC84" i="6"/>
  <c r="K88" i="6"/>
  <c r="N58" i="6"/>
  <c r="P58" i="6" s="1"/>
  <c r="AC58" i="6"/>
  <c r="AF58" i="6" s="1"/>
  <c r="AG58" i="6" s="1"/>
  <c r="P33" i="6"/>
  <c r="Q33" i="6"/>
  <c r="O33" i="6"/>
  <c r="AC35" i="6"/>
  <c r="AF35" i="6" s="1"/>
  <c r="AG35" i="6" s="1"/>
  <c r="N35" i="6"/>
  <c r="P39" i="6"/>
  <c r="O39" i="6"/>
  <c r="W39" i="6" s="1"/>
  <c r="X39" i="6" s="1"/>
  <c r="Z39" i="6" s="1"/>
  <c r="AA39" i="6" s="1"/>
  <c r="AB39" i="6" s="1"/>
  <c r="Q39" i="6"/>
  <c r="AG72" i="6"/>
  <c r="P40" i="6"/>
  <c r="O40" i="6"/>
  <c r="W40" i="6" s="1"/>
  <c r="X40" i="6" s="1"/>
  <c r="Z40" i="6" s="1"/>
  <c r="AA40" i="6" s="1"/>
  <c r="AB40" i="6" s="1"/>
  <c r="Q40" i="6"/>
  <c r="P17" i="6"/>
  <c r="Q17" i="6"/>
  <c r="O17" i="6"/>
  <c r="W17" i="6" s="1"/>
  <c r="X17" i="6" s="1"/>
  <c r="Z17" i="6" s="1"/>
  <c r="AA17" i="6" s="1"/>
  <c r="AB17" i="6" s="1"/>
  <c r="P98" i="6"/>
  <c r="O98" i="6"/>
  <c r="W98" i="6" s="1"/>
  <c r="Q98" i="6"/>
  <c r="AC179" i="6"/>
  <c r="AC99" i="6"/>
  <c r="AF97" i="6"/>
  <c r="AC56" i="6"/>
  <c r="AF56" i="6" s="1"/>
  <c r="K64" i="6"/>
  <c r="P14" i="6"/>
  <c r="W14" i="6" s="1"/>
  <c r="X14" i="6" s="1"/>
  <c r="Z14" i="6" s="1"/>
  <c r="AA14" i="6" s="1"/>
  <c r="AB14" i="6" s="1"/>
  <c r="AD14" i="6" s="1"/>
  <c r="O14" i="6"/>
  <c r="Q14" i="6"/>
  <c r="AC34" i="6"/>
  <c r="AF34" i="6" s="1"/>
  <c r="AG34" i="6" s="1"/>
  <c r="N34" i="6"/>
  <c r="Y227" i="6"/>
  <c r="Z227" i="6" s="1"/>
  <c r="AA227" i="6" s="1"/>
  <c r="X228" i="6"/>
  <c r="Y55" i="6"/>
  <c r="AG131" i="6"/>
  <c r="K41" i="6"/>
  <c r="N32" i="6"/>
  <c r="AC32" i="6"/>
  <c r="AA83" i="6"/>
  <c r="AF201" i="6"/>
  <c r="X111" i="6"/>
  <c r="AC13" i="6"/>
  <c r="AC20" i="6" s="1"/>
  <c r="AC215" i="6"/>
  <c r="AC221" i="6" s="1"/>
  <c r="N215" i="6"/>
  <c r="O215" i="6" s="1"/>
  <c r="AC149" i="6"/>
  <c r="AF147" i="6"/>
  <c r="M41" i="6"/>
  <c r="M64" i="6"/>
  <c r="N63" i="6"/>
  <c r="P63" i="6" s="1"/>
  <c r="P198" i="6"/>
  <c r="Q198" i="6"/>
  <c r="O198" i="6"/>
  <c r="W198" i="6" s="1"/>
  <c r="X198" i="6" s="1"/>
  <c r="Q159" i="6"/>
  <c r="O159" i="6"/>
  <c r="P159" i="6"/>
  <c r="W159" i="6" s="1"/>
  <c r="X159" i="6" s="1"/>
  <c r="Y159" i="6" s="1"/>
  <c r="N201" i="6"/>
  <c r="P196" i="6"/>
  <c r="Q196" i="6"/>
  <c r="O196" i="6"/>
  <c r="W196" i="6" s="1"/>
  <c r="P170" i="6"/>
  <c r="Q170" i="6"/>
  <c r="O170" i="6"/>
  <c r="N190" i="6"/>
  <c r="P189" i="6"/>
  <c r="P190" i="6" s="1"/>
  <c r="O189" i="6"/>
  <c r="Q189" i="6"/>
  <c r="Q190" i="6" s="1"/>
  <c r="P212" i="6"/>
  <c r="Q212" i="6"/>
  <c r="K180" i="6"/>
  <c r="P217" i="6"/>
  <c r="Q217" i="6"/>
  <c r="W217" i="6"/>
  <c r="X217" i="6" s="1"/>
  <c r="Y217" i="6" s="1"/>
  <c r="K149" i="6"/>
  <c r="N147" i="6"/>
  <c r="N149" i="6" s="1"/>
  <c r="N132" i="6"/>
  <c r="P72" i="6"/>
  <c r="Q72" i="6"/>
  <c r="O72" i="6"/>
  <c r="W72" i="6" s="1"/>
  <c r="N56" i="6"/>
  <c r="P131" i="6"/>
  <c r="Q131" i="6"/>
  <c r="O131" i="6"/>
  <c r="W131" i="6" s="1"/>
  <c r="K134" i="6"/>
  <c r="N122" i="6"/>
  <c r="K123" i="6"/>
  <c r="N86" i="6"/>
  <c r="N84" i="6"/>
  <c r="M88" i="6"/>
  <c r="P60" i="6"/>
  <c r="Q60" i="6"/>
  <c r="O179" i="6"/>
  <c r="N156" i="6"/>
  <c r="W156" i="6" s="1"/>
  <c r="K201" i="6"/>
  <c r="Q148" i="6"/>
  <c r="P148" i="6"/>
  <c r="O148" i="6"/>
  <c r="W148" i="6" s="1"/>
  <c r="X148" i="6" s="1"/>
  <c r="N97" i="6"/>
  <c r="N99" i="6" s="1"/>
  <c r="K99" i="6"/>
  <c r="Q219" i="6"/>
  <c r="P219" i="6"/>
  <c r="W219" i="6" s="1"/>
  <c r="P216" i="6"/>
  <c r="Q216" i="6"/>
  <c r="P177" i="6"/>
  <c r="W177" i="6" s="1"/>
  <c r="Q177" i="6"/>
  <c r="O177" i="6"/>
  <c r="Q74" i="6"/>
  <c r="O74" i="6"/>
  <c r="W74" i="6" s="1"/>
  <c r="X74" i="6" s="1"/>
  <c r="Y74" i="6" s="1"/>
  <c r="Z74" i="6" s="1"/>
  <c r="AA74" i="6" s="1"/>
  <c r="AB74" i="6" s="1"/>
  <c r="P74" i="6"/>
  <c r="N73" i="6"/>
  <c r="N76" i="6" s="1"/>
  <c r="Q75" i="6"/>
  <c r="O75" i="6"/>
  <c r="W75" i="6" s="1"/>
  <c r="X75" i="6" s="1"/>
  <c r="Z75" i="6" s="1"/>
  <c r="AA75" i="6" s="1"/>
  <c r="AB75" i="6" s="1"/>
  <c r="P75" i="6"/>
  <c r="O59" i="6"/>
  <c r="Q59" i="6"/>
  <c r="Q158" i="6"/>
  <c r="O158" i="6"/>
  <c r="P158" i="6"/>
  <c r="Q112" i="6"/>
  <c r="P112" i="6"/>
  <c r="N114" i="6"/>
  <c r="P108" i="6"/>
  <c r="Q108" i="6"/>
  <c r="O108" i="6"/>
  <c r="Q15" i="6"/>
  <c r="O15" i="6"/>
  <c r="W15" i="6" s="1"/>
  <c r="X15" i="6" s="1"/>
  <c r="Z15" i="6" s="1"/>
  <c r="AA15" i="6" s="1"/>
  <c r="AB15" i="6" s="1"/>
  <c r="P15" i="6"/>
  <c r="N13" i="6"/>
  <c r="N20" i="6" s="1"/>
  <c r="P18" i="6"/>
  <c r="W18" i="6" s="1"/>
  <c r="X18" i="6" s="1"/>
  <c r="Z18" i="6" s="1"/>
  <c r="AA18" i="6" s="1"/>
  <c r="AB18" i="6" s="1"/>
  <c r="AD18" i="6" s="1"/>
  <c r="AG18" i="6" s="1"/>
  <c r="Q18" i="6"/>
  <c r="O18" i="6"/>
  <c r="Q19" i="6"/>
  <c r="O19" i="6"/>
  <c r="W19" i="6" s="1"/>
  <c r="X19" i="6" s="1"/>
  <c r="Z19" i="6" s="1"/>
  <c r="AA19" i="6" s="1"/>
  <c r="AB19" i="6" s="1"/>
  <c r="P16" i="6"/>
  <c r="Q16" i="6"/>
  <c r="O16" i="6"/>
  <c r="N180" i="6" l="1"/>
  <c r="AC64" i="6"/>
  <c r="AC134" i="6"/>
  <c r="N134" i="6"/>
  <c r="O58" i="6"/>
  <c r="W58" i="6" s="1"/>
  <c r="AG212" i="6"/>
  <c r="P178" i="6"/>
  <c r="Q178" i="6"/>
  <c r="O178" i="6"/>
  <c r="W178" i="6" s="1"/>
  <c r="X178" i="6" s="1"/>
  <c r="Y178" i="6" s="1"/>
  <c r="Z178" i="6" s="1"/>
  <c r="AA178" i="6" s="1"/>
  <c r="AB178" i="6" s="1"/>
  <c r="Q110" i="6"/>
  <c r="P110" i="6"/>
  <c r="O110" i="6"/>
  <c r="AC114" i="6"/>
  <c r="Q175" i="6"/>
  <c r="O175" i="6"/>
  <c r="W175" i="6"/>
  <c r="X175" i="6" s="1"/>
  <c r="Y175" i="6" s="1"/>
  <c r="Z175" i="6" s="1"/>
  <c r="AA175" i="6" s="1"/>
  <c r="AB175" i="6" s="1"/>
  <c r="AD175" i="6" s="1"/>
  <c r="AG175" i="6" s="1"/>
  <c r="P175" i="6"/>
  <c r="O171" i="6"/>
  <c r="W171" i="6" s="1"/>
  <c r="Q171" i="6"/>
  <c r="P171" i="6"/>
  <c r="Q172" i="6"/>
  <c r="O172" i="6"/>
  <c r="W172" i="6" s="1"/>
  <c r="X172" i="6" s="1"/>
  <c r="Y172" i="6" s="1"/>
  <c r="Z172" i="6" s="1"/>
  <c r="AA172" i="6" s="1"/>
  <c r="AB172" i="6" s="1"/>
  <c r="AD172" i="6" s="1"/>
  <c r="P172" i="6"/>
  <c r="W113" i="6"/>
  <c r="X113" i="6" s="1"/>
  <c r="Y113" i="6" s="1"/>
  <c r="Z113" i="6" s="1"/>
  <c r="AA113" i="6" s="1"/>
  <c r="AB113" i="6" s="1"/>
  <c r="AD113" i="6" s="1"/>
  <c r="AG113" i="6" s="1"/>
  <c r="Q113" i="6"/>
  <c r="P113" i="6"/>
  <c r="O113" i="6"/>
  <c r="AD220" i="6"/>
  <c r="AG220" i="6" s="1"/>
  <c r="AB220" i="6"/>
  <c r="X220" i="6"/>
  <c r="X131" i="6"/>
  <c r="AG172" i="6"/>
  <c r="P174" i="6"/>
  <c r="O174" i="6"/>
  <c r="W174" i="6" s="1"/>
  <c r="X174" i="6" s="1"/>
  <c r="Y174" i="6" s="1"/>
  <c r="Z174" i="6" s="1"/>
  <c r="AA174" i="6" s="1"/>
  <c r="AB174" i="6" s="1"/>
  <c r="Q174" i="6"/>
  <c r="W133" i="6"/>
  <c r="X133" i="6" s="1"/>
  <c r="Y133" i="6" s="1"/>
  <c r="Z133" i="6" s="1"/>
  <c r="AA133" i="6" s="1"/>
  <c r="AB133" i="6" s="1"/>
  <c r="AD133" i="6" s="1"/>
  <c r="AG133" i="6" s="1"/>
  <c r="Q133" i="6"/>
  <c r="O133" i="6"/>
  <c r="P133" i="6"/>
  <c r="AG114" i="6"/>
  <c r="Q176" i="6"/>
  <c r="P176" i="6"/>
  <c r="O176" i="6"/>
  <c r="W176" i="6" s="1"/>
  <c r="X176" i="6" s="1"/>
  <c r="Y176" i="6" s="1"/>
  <c r="Z176" i="6" s="1"/>
  <c r="AA176" i="6" s="1"/>
  <c r="AB176" i="6" s="1"/>
  <c r="N221" i="6"/>
  <c r="X177" i="6"/>
  <c r="Y177" i="6" s="1"/>
  <c r="X59" i="6"/>
  <c r="Y59" i="6" s="1"/>
  <c r="W59" i="6"/>
  <c r="X219" i="6"/>
  <c r="Y219" i="6" s="1"/>
  <c r="Z219" i="6" s="1"/>
  <c r="AA219" i="6" s="1"/>
  <c r="AB219" i="6" s="1"/>
  <c r="AD219" i="6" s="1"/>
  <c r="AG219" i="6" s="1"/>
  <c r="X156" i="6"/>
  <c r="X162" i="6" s="1"/>
  <c r="W162" i="6"/>
  <c r="X72" i="6"/>
  <c r="Z217" i="6"/>
  <c r="Y198" i="6"/>
  <c r="X201" i="6"/>
  <c r="AF32" i="6"/>
  <c r="AC41" i="6"/>
  <c r="AG56" i="6"/>
  <c r="AG64" i="6" s="1"/>
  <c r="AF64" i="6"/>
  <c r="Y148" i="6"/>
  <c r="P179" i="6"/>
  <c r="Q179" i="6"/>
  <c r="P84" i="6"/>
  <c r="W84" i="6"/>
  <c r="N88" i="6"/>
  <c r="N64" i="6"/>
  <c r="W201" i="6"/>
  <c r="Z159" i="6"/>
  <c r="AA159" i="6" s="1"/>
  <c r="AB159" i="6" s="1"/>
  <c r="AD159" i="6" s="1"/>
  <c r="AG159" i="6" s="1"/>
  <c r="AF149" i="6"/>
  <c r="AG147" i="6"/>
  <c r="AG149" i="6" s="1"/>
  <c r="Q58" i="6"/>
  <c r="AB83" i="6"/>
  <c r="P32" i="6"/>
  <c r="N41" i="6"/>
  <c r="Q32" i="6"/>
  <c r="O32" i="6"/>
  <c r="Z55" i="6"/>
  <c r="Q34" i="6"/>
  <c r="P34" i="6"/>
  <c r="O34" i="6"/>
  <c r="W34" i="6" s="1"/>
  <c r="X34" i="6" s="1"/>
  <c r="Z34" i="6" s="1"/>
  <c r="AA34" i="6" s="1"/>
  <c r="AB34" i="6" s="1"/>
  <c r="AD20" i="6"/>
  <c r="AG14" i="6"/>
  <c r="AG97" i="6"/>
  <c r="AG99" i="6" s="1"/>
  <c r="AF99" i="6"/>
  <c r="AF179" i="6"/>
  <c r="AF180" i="6" s="1"/>
  <c r="AC180" i="6"/>
  <c r="X98" i="6"/>
  <c r="W99" i="6"/>
  <c r="AG122" i="6"/>
  <c r="AG123" i="6" s="1"/>
  <c r="AF123" i="6"/>
  <c r="AF73" i="6"/>
  <c r="AF76" i="6" s="1"/>
  <c r="AC76" i="6"/>
  <c r="X58" i="6"/>
  <c r="Y228" i="6"/>
  <c r="AD213" i="6"/>
  <c r="Q35" i="6"/>
  <c r="P35" i="6"/>
  <c r="O35" i="6"/>
  <c r="W35" i="6" s="1"/>
  <c r="X35" i="6" s="1"/>
  <c r="Z35" i="6" s="1"/>
  <c r="AA35" i="6" s="1"/>
  <c r="AB35" i="6" s="1"/>
  <c r="AC88" i="6"/>
  <c r="AF84" i="6"/>
  <c r="AF88" i="6" s="1"/>
  <c r="AA189" i="6"/>
  <c r="X190" i="6"/>
  <c r="Y170" i="6"/>
  <c r="W108" i="6"/>
  <c r="Y111" i="6"/>
  <c r="AF13" i="6"/>
  <c r="AF20" i="6" s="1"/>
  <c r="P215" i="6"/>
  <c r="W215" i="6" s="1"/>
  <c r="X215" i="6" s="1"/>
  <c r="Q215" i="6"/>
  <c r="Q221" i="6" s="1"/>
  <c r="AF215" i="6"/>
  <c r="AF221" i="6" s="1"/>
  <c r="P201" i="6"/>
  <c r="O63" i="6"/>
  <c r="W63" i="6" s="1"/>
  <c r="X63" i="6" s="1"/>
  <c r="Y63" i="6" s="1"/>
  <c r="Z63" i="6" s="1"/>
  <c r="AA63" i="6" s="1"/>
  <c r="AB63" i="6" s="1"/>
  <c r="Q63" i="6"/>
  <c r="N162" i="6"/>
  <c r="P156" i="6"/>
  <c r="P162" i="6" s="1"/>
  <c r="Q156" i="6"/>
  <c r="Q162" i="6" s="1"/>
  <c r="O156" i="6"/>
  <c r="O162" i="6" s="1"/>
  <c r="Q114" i="6"/>
  <c r="Q73" i="6"/>
  <c r="Q76" i="6" s="1"/>
  <c r="O73" i="6"/>
  <c r="O76" i="6" s="1"/>
  <c r="P73" i="6"/>
  <c r="W73" i="6" s="1"/>
  <c r="X73" i="6" s="1"/>
  <c r="Y73" i="6" s="1"/>
  <c r="O221" i="6"/>
  <c r="P97" i="6"/>
  <c r="P99" i="6" s="1"/>
  <c r="Q97" i="6"/>
  <c r="Q99" i="6" s="1"/>
  <c r="O97" i="6"/>
  <c r="O99" i="6" s="1"/>
  <c r="O84" i="6"/>
  <c r="Q84" i="6"/>
  <c r="P122" i="6"/>
  <c r="P123" i="6" s="1"/>
  <c r="N123" i="6"/>
  <c r="Q122" i="6"/>
  <c r="Q123" i="6" s="1"/>
  <c r="O122" i="6"/>
  <c r="W122" i="6" s="1"/>
  <c r="P56" i="6"/>
  <c r="P64" i="6" s="1"/>
  <c r="Q56" i="6"/>
  <c r="O56" i="6"/>
  <c r="Q132" i="6"/>
  <c r="O132" i="6"/>
  <c r="P132" i="6"/>
  <c r="W132" i="6" s="1"/>
  <c r="X132" i="6" s="1"/>
  <c r="P147" i="6"/>
  <c r="P149" i="6" s="1"/>
  <c r="Q147" i="6"/>
  <c r="Q149" i="6" s="1"/>
  <c r="O147" i="6"/>
  <c r="W147" i="6" s="1"/>
  <c r="O190" i="6"/>
  <c r="Q201" i="6"/>
  <c r="Q86" i="6"/>
  <c r="W86" i="6" s="1"/>
  <c r="X86" i="6" s="1"/>
  <c r="O86" i="6"/>
  <c r="P86" i="6"/>
  <c r="O201" i="6"/>
  <c r="O13" i="6"/>
  <c r="P13" i="6"/>
  <c r="P20" i="6" s="1"/>
  <c r="Q13" i="6"/>
  <c r="Q20" i="6" s="1"/>
  <c r="Q41" i="6" l="1"/>
  <c r="P180" i="6"/>
  <c r="O114" i="6"/>
  <c r="Q64" i="6"/>
  <c r="P114" i="6"/>
  <c r="O134" i="6"/>
  <c r="AD114" i="6"/>
  <c r="W149" i="6"/>
  <c r="X147" i="6"/>
  <c r="Q88" i="6"/>
  <c r="Q180" i="6"/>
  <c r="Y221" i="6"/>
  <c r="W134" i="6"/>
  <c r="X171" i="6"/>
  <c r="W180" i="6"/>
  <c r="O180" i="6"/>
  <c r="P88" i="6"/>
  <c r="P134" i="6"/>
  <c r="Z177" i="6"/>
  <c r="AA177" i="6" s="1"/>
  <c r="AB177" i="6" s="1"/>
  <c r="AD177" i="6" s="1"/>
  <c r="AG177" i="6" s="1"/>
  <c r="W13" i="6"/>
  <c r="W20" i="6" s="1"/>
  <c r="O20" i="6"/>
  <c r="Z73" i="6"/>
  <c r="Y76" i="6"/>
  <c r="Z170" i="6"/>
  <c r="AB189" i="6"/>
  <c r="AA190" i="6"/>
  <c r="W64" i="6"/>
  <c r="P76" i="6"/>
  <c r="Y131" i="6"/>
  <c r="AA55" i="6"/>
  <c r="P41" i="6"/>
  <c r="Z148" i="6"/>
  <c r="AA148" i="6" s="1"/>
  <c r="AF41" i="6"/>
  <c r="AG32" i="6"/>
  <c r="AG41" i="6" s="1"/>
  <c r="Z198" i="6"/>
  <c r="Y201" i="6"/>
  <c r="AA217" i="6"/>
  <c r="AB217" i="6" s="1"/>
  <c r="Z221" i="6"/>
  <c r="X76" i="6"/>
  <c r="Z72" i="6"/>
  <c r="Y156" i="6"/>
  <c r="Y162" i="6" s="1"/>
  <c r="W221" i="6"/>
  <c r="Z59" i="6"/>
  <c r="AA59" i="6" s="1"/>
  <c r="AB59" i="6" s="1"/>
  <c r="Y86" i="6"/>
  <c r="Y88" i="6" s="1"/>
  <c r="Q134" i="6"/>
  <c r="O64" i="6"/>
  <c r="O88" i="6"/>
  <c r="P221" i="6"/>
  <c r="AG213" i="6"/>
  <c r="Z228" i="6"/>
  <c r="Y58" i="6"/>
  <c r="X64" i="6"/>
  <c r="X99" i="6"/>
  <c r="AA98" i="6"/>
  <c r="AG179" i="6"/>
  <c r="O41" i="6"/>
  <c r="W32" i="6"/>
  <c r="X84" i="6"/>
  <c r="W88" i="6"/>
  <c r="W76" i="6"/>
  <c r="X122" i="6"/>
  <c r="W123" i="6"/>
  <c r="AA215" i="6"/>
  <c r="AA221" i="6" s="1"/>
  <c r="X221" i="6"/>
  <c r="X108" i="6"/>
  <c r="X114" i="6" s="1"/>
  <c r="W114" i="6"/>
  <c r="Z111" i="6"/>
  <c r="AG13" i="6"/>
  <c r="AG20" i="6" s="1"/>
  <c r="O123" i="6"/>
  <c r="O149" i="6"/>
  <c r="X13" i="6" l="1"/>
  <c r="Z13" i="6" s="1"/>
  <c r="Y147" i="6"/>
  <c r="X149" i="6"/>
  <c r="Y171" i="6"/>
  <c r="X180" i="6"/>
  <c r="AA84" i="6"/>
  <c r="X88" i="6"/>
  <c r="Z58" i="6"/>
  <c r="Y64" i="6"/>
  <c r="AB227" i="6"/>
  <c r="AA228" i="6"/>
  <c r="Z156" i="6"/>
  <c r="AA198" i="6"/>
  <c r="Z201" i="6"/>
  <c r="AB148" i="6"/>
  <c r="AB55" i="6"/>
  <c r="Z131" i="6"/>
  <c r="AD189" i="6"/>
  <c r="AB190" i="6"/>
  <c r="AA170" i="6"/>
  <c r="AB73" i="6"/>
  <c r="AD73" i="6" s="1"/>
  <c r="AA73" i="6"/>
  <c r="AB215" i="6"/>
  <c r="AB221" i="6" s="1"/>
  <c r="Y122" i="6"/>
  <c r="X123" i="6"/>
  <c r="X32" i="6"/>
  <c r="W41" i="6"/>
  <c r="AB98" i="6"/>
  <c r="AB99" i="6" s="1"/>
  <c r="AA99" i="6"/>
  <c r="Z86" i="6"/>
  <c r="Z76" i="6"/>
  <c r="AA72" i="6"/>
  <c r="Y108" i="6"/>
  <c r="Y114" i="6" s="1"/>
  <c r="AA111" i="6"/>
  <c r="X20" i="6"/>
  <c r="Z171" i="6" l="1"/>
  <c r="Y180" i="6"/>
  <c r="Z147" i="6"/>
  <c r="Y149" i="6"/>
  <c r="AB72" i="6"/>
  <c r="AB76" i="6" s="1"/>
  <c r="AA76" i="6"/>
  <c r="AA86" i="6"/>
  <c r="AB86" i="6" s="1"/>
  <c r="AD86" i="6" s="1"/>
  <c r="AG86" i="6" s="1"/>
  <c r="Z88" i="6"/>
  <c r="X41" i="6"/>
  <c r="Z32" i="6"/>
  <c r="Z122" i="6"/>
  <c r="Y123" i="6"/>
  <c r="AD215" i="6"/>
  <c r="AD221" i="6" s="1"/>
  <c r="AG73" i="6"/>
  <c r="AG76" i="6" s="1"/>
  <c r="AD76" i="6"/>
  <c r="AB170" i="6"/>
  <c r="AG189" i="6"/>
  <c r="AG190" i="6" s="1"/>
  <c r="AD190" i="6"/>
  <c r="AA131" i="6"/>
  <c r="AB198" i="6"/>
  <c r="AB201" i="6" s="1"/>
  <c r="AA201" i="6"/>
  <c r="AA156" i="6"/>
  <c r="Z162" i="6"/>
  <c r="Y132" i="6"/>
  <c r="X134" i="6"/>
  <c r="AD227" i="6"/>
  <c r="AB228" i="6"/>
  <c r="AA58" i="6"/>
  <c r="Z64" i="6"/>
  <c r="AB84" i="6"/>
  <c r="AA88" i="6"/>
  <c r="Z108" i="6"/>
  <c r="Z114" i="6" s="1"/>
  <c r="AB111" i="6"/>
  <c r="AA13" i="6"/>
  <c r="AA20" i="6" s="1"/>
  <c r="Z20" i="6"/>
  <c r="Z149" i="6" l="1"/>
  <c r="AA147" i="6"/>
  <c r="AA171" i="6"/>
  <c r="Z180" i="6"/>
  <c r="AB131" i="6"/>
  <c r="AD170" i="6"/>
  <c r="AD180" i="6" s="1"/>
  <c r="AG215" i="6"/>
  <c r="AG221" i="6" s="1"/>
  <c r="AA122" i="6"/>
  <c r="Z123" i="6"/>
  <c r="AD84" i="6"/>
  <c r="AB88" i="6"/>
  <c r="AB58" i="6"/>
  <c r="AB64" i="6" s="1"/>
  <c r="AA64" i="6"/>
  <c r="AG227" i="6"/>
  <c r="AG228" i="6" s="1"/>
  <c r="AD228" i="6"/>
  <c r="Z132" i="6"/>
  <c r="AA132" i="6" s="1"/>
  <c r="Y134" i="6"/>
  <c r="AB156" i="6"/>
  <c r="AA162" i="6"/>
  <c r="Z41" i="6"/>
  <c r="AA32" i="6"/>
  <c r="AA108" i="6"/>
  <c r="AB13" i="6"/>
  <c r="AB20" i="6" s="1"/>
  <c r="AB171" i="6" l="1"/>
  <c r="AB180" i="6" s="1"/>
  <c r="AA180" i="6"/>
  <c r="AB147" i="6"/>
  <c r="AB149" i="6" s="1"/>
  <c r="AA149" i="6"/>
  <c r="AD156" i="6"/>
  <c r="AB162" i="6"/>
  <c r="AA134" i="6"/>
  <c r="Z134" i="6"/>
  <c r="AD88" i="6"/>
  <c r="AG84" i="6"/>
  <c r="AG88" i="6" s="1"/>
  <c r="AB122" i="6"/>
  <c r="AB123" i="6" s="1"/>
  <c r="AA123" i="6"/>
  <c r="AG170" i="6"/>
  <c r="AG180" i="6" s="1"/>
  <c r="AB32" i="6"/>
  <c r="AB41" i="6" s="1"/>
  <c r="AA41" i="6"/>
  <c r="AB108" i="6"/>
  <c r="AB114" i="6" s="1"/>
  <c r="AA114" i="6"/>
  <c r="AB132" i="6" l="1"/>
  <c r="AD132" i="6" s="1"/>
  <c r="AG132" i="6" s="1"/>
  <c r="AG134" i="6" s="1"/>
  <c r="AG156" i="6"/>
  <c r="AG162" i="6" s="1"/>
  <c r="AD162" i="6"/>
  <c r="AD134" i="6" l="1"/>
  <c r="AB134" i="6"/>
</calcChain>
</file>

<file path=xl/comments1.xml><?xml version="1.0" encoding="utf-8"?>
<comments xmlns="http://schemas.openxmlformats.org/spreadsheetml/2006/main">
  <authors>
    <author>SIADPP-LM</author>
  </authors>
  <commentList>
    <comment ref="A212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  <comment ref="A220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comments2.xml><?xml version="1.0" encoding="utf-8"?>
<comments xmlns="http://schemas.openxmlformats.org/spreadsheetml/2006/main">
  <authors>
    <author>SIADPP-LM</author>
  </authors>
  <commentList>
    <comment ref="A211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  <comment ref="A219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comments3.xml><?xml version="1.0" encoding="utf-8"?>
<comments xmlns="http://schemas.openxmlformats.org/spreadsheetml/2006/main">
  <authors>
    <author>SIADPP-LM</author>
  </authors>
  <commentList>
    <comment ref="A15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</commentList>
</comments>
</file>

<file path=xl/comments4.xml><?xml version="1.0" encoding="utf-8"?>
<comments xmlns="http://schemas.openxmlformats.org/spreadsheetml/2006/main">
  <authors>
    <author>SIADPP-LM</author>
  </authors>
  <commentList>
    <comment ref="A14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sharedStrings.xml><?xml version="1.0" encoding="utf-8"?>
<sst xmlns="http://schemas.openxmlformats.org/spreadsheetml/2006/main" count="3594" uniqueCount="253">
  <si>
    <t xml:space="preserve">  PANA IN 35 ANI</t>
  </si>
  <si>
    <t>Nr.crt</t>
  </si>
  <si>
    <t>Ap.</t>
  </si>
  <si>
    <t>Numărul de camere</t>
  </si>
  <si>
    <t>Acd/ap (mp)</t>
  </si>
  <si>
    <t>Valoare de investiţie locuinţă</t>
  </si>
  <si>
    <t>Recuperarea investiţiei (amortizare)</t>
  </si>
  <si>
    <t>Cheltuieli de administrare, întreţinere, reparaţii curente şi capitale</t>
  </si>
  <si>
    <t>Cotă autorităţi publice</t>
  </si>
  <si>
    <t>Chirie netă anuală</t>
  </si>
  <si>
    <t>Chirie netă anuală actualizată  INS %</t>
  </si>
  <si>
    <t>Chirie lunară</t>
  </si>
  <si>
    <t>Ponderare rang localităţi (0,7)</t>
  </si>
  <si>
    <t>Ponderare venituri(0,80%; 0,90%; 1.00%)</t>
  </si>
  <si>
    <t>Venit pe membru de familie</t>
  </si>
  <si>
    <t>Chirie lunară conform art.8 alin. (9.1) - 10% pentru venituri&lt; 2079 lei / persoana;- 20% pentru venituri&gt; 2079 si &lt;3300 lei / persoana;- 30% pentru venituri&gt; 3300 lei / persoana;- 10% pentru care declară că nu realizează venituri venituri(10% din3300lei).</t>
  </si>
  <si>
    <t>Chirie fara a aduce veniturile</t>
  </si>
  <si>
    <t>Chirie minimă art.8 alin 9.4</t>
  </si>
  <si>
    <t>Cuantum recuperare investiție                                               Calcul virarea ANL</t>
  </si>
  <si>
    <t>Virat către ANL</t>
  </si>
  <si>
    <t>Chirie lunara</t>
  </si>
  <si>
    <t>Valoare chirie dupa ponderare</t>
  </si>
  <si>
    <t>Amortizarea lunara</t>
  </si>
  <si>
    <t>Ponderea amortizări din chirie (%)</t>
  </si>
  <si>
    <t>3=2: 60 ANI</t>
  </si>
  <si>
    <t>4=2 X1,50%</t>
  </si>
  <si>
    <t>5= 2 x 0,5%</t>
  </si>
  <si>
    <t>6=3+4+5</t>
  </si>
  <si>
    <t>7= 6 x 10,4%</t>
  </si>
  <si>
    <t xml:space="preserve">8= 7/ 12 </t>
  </si>
  <si>
    <t>9= 8 x rang</t>
  </si>
  <si>
    <t>10= 8 x venit</t>
  </si>
  <si>
    <t>9= 8 x venit</t>
  </si>
  <si>
    <t>10.1</t>
  </si>
  <si>
    <t>10.2</t>
  </si>
  <si>
    <t>10.3</t>
  </si>
  <si>
    <t>10.4</t>
  </si>
  <si>
    <t>11</t>
  </si>
  <si>
    <t>12</t>
  </si>
  <si>
    <t>13.1</t>
  </si>
  <si>
    <t>13.2</t>
  </si>
  <si>
    <t>13.3</t>
  </si>
  <si>
    <t>PESTE 35 ANI</t>
  </si>
  <si>
    <t>Model ANEXA 1043/2021</t>
  </si>
  <si>
    <t>Actualizata2024</t>
  </si>
  <si>
    <t>Val.inv./Acd</t>
  </si>
  <si>
    <t>Str.Fantanitei nr.1B Tronson A</t>
  </si>
  <si>
    <t>Str.Fantanitei nr.1B Tronson B</t>
  </si>
  <si>
    <t>Str.Fantanitei nr.1B Tronson C</t>
  </si>
  <si>
    <t>Str.Fantanitei nr.1B Tronson D</t>
  </si>
  <si>
    <t>Str.Gen. Vasile Milea nr.2A BT1</t>
  </si>
  <si>
    <t>Str.Gen. Vasile Milea nr.2A BT2</t>
  </si>
  <si>
    <t>Str.Al. Ioan Cuza nr.30 BT3 Sc.A</t>
  </si>
  <si>
    <t>Str.Al. Ioan Cuza nr.30 BT3 Sc.B</t>
  </si>
  <si>
    <t>Total</t>
  </si>
  <si>
    <t xml:space="preserve">Str.Gral. Vasile Milea nr.2D_BT4 </t>
  </si>
  <si>
    <t>Cod unitate individuala(U)</t>
  </si>
  <si>
    <t>Chirie netă lunar</t>
  </si>
  <si>
    <t>Chirie lunară conform art.8 alin. (9.1) - 10% pentru venituri&lt; 2574lei / persoana;- 20% pentru venituri&gt; 2574 si &lt;4050 lei / persoana;- 30% pentru venituri&gt; 4050 lei / persoana;- 10% pentru care declară că nu realizează venituri venituri(10% din salariu net 2574 rezultat din salariu brut 4050lei).</t>
  </si>
  <si>
    <t>Chirie lunară finală</t>
  </si>
  <si>
    <t>7=6/12</t>
  </si>
  <si>
    <t>7= 6 x 5,6%</t>
  </si>
  <si>
    <t>8=7 x rang</t>
  </si>
  <si>
    <t>8x venit</t>
  </si>
  <si>
    <t>10</t>
  </si>
  <si>
    <t>11=10*12</t>
  </si>
  <si>
    <t>12=11 x 10,4%</t>
  </si>
  <si>
    <t>13=12 x 5,6%</t>
  </si>
  <si>
    <t>101851-C1-U05</t>
  </si>
  <si>
    <t>101851-C1-U07</t>
  </si>
  <si>
    <t>101851-C1-U08</t>
  </si>
  <si>
    <t>101851-C1-U09</t>
  </si>
  <si>
    <t>101851-C1-U10</t>
  </si>
  <si>
    <t>101851-C1-U11</t>
  </si>
  <si>
    <t>101851-C1-U13</t>
  </si>
  <si>
    <t>101851-C1-U14</t>
  </si>
  <si>
    <t>101851-C1-U15</t>
  </si>
  <si>
    <t>TOTAL</t>
  </si>
  <si>
    <t>101851-C1-U01</t>
  </si>
  <si>
    <t>101851-C1-U02</t>
  </si>
  <si>
    <t>101851-C1-U03</t>
  </si>
  <si>
    <t>101851-C1-U04</t>
  </si>
  <si>
    <t>101851-C1-U06</t>
  </si>
  <si>
    <t>101851-C1-U12</t>
  </si>
  <si>
    <t>101851-C1-U16</t>
  </si>
  <si>
    <t>Str.Al Ioan Cuza nr.30 Sc.A_BT3</t>
  </si>
  <si>
    <t>104822-C1-U01</t>
  </si>
  <si>
    <t>104822-C1-U10</t>
  </si>
  <si>
    <t>104822-C1-U02</t>
  </si>
  <si>
    <t>104822-C1-U05</t>
  </si>
  <si>
    <t>104822-C1-U06</t>
  </si>
  <si>
    <t>104822-C1-U07</t>
  </si>
  <si>
    <t>104822-C1-U08</t>
  </si>
  <si>
    <t>104822-C1-U09</t>
  </si>
  <si>
    <t>104822-C1-U11</t>
  </si>
  <si>
    <t>Str.Al Ioan Cuza nr.30 Sc.B_BT3</t>
  </si>
  <si>
    <t>104822-C1-U03</t>
  </si>
  <si>
    <t>104822-C1-U12</t>
  </si>
  <si>
    <t xml:space="preserve">Str.Gl. Vasile Milea _BT1 </t>
  </si>
  <si>
    <t>11043-C1-U06</t>
  </si>
  <si>
    <t>11043-C1-U13</t>
  </si>
  <si>
    <t xml:space="preserve">  PESTE  35 ANI</t>
  </si>
  <si>
    <t>11043-C1-U01</t>
  </si>
  <si>
    <t>11043-C1-U02</t>
  </si>
  <si>
    <t>11043-C1-U03</t>
  </si>
  <si>
    <t>11043-C1-U12</t>
  </si>
  <si>
    <t>11043-C1-U14</t>
  </si>
  <si>
    <t>11043-C1-U15</t>
  </si>
  <si>
    <t>Str.Gl. Vasile Milea _BT2</t>
  </si>
  <si>
    <t>11043-C1-U16</t>
  </si>
  <si>
    <t>11043-C1-U07</t>
  </si>
  <si>
    <t>Str.Fantanitei nr.1B Sc.A</t>
  </si>
  <si>
    <t>11035-C1-U13</t>
  </si>
  <si>
    <t>11035-C1-U14</t>
  </si>
  <si>
    <t>11035-C1-U02</t>
  </si>
  <si>
    <t>11035-C1-U03</t>
  </si>
  <si>
    <t>11035-C1-U05</t>
  </si>
  <si>
    <t>11035-C1-U09</t>
  </si>
  <si>
    <t>11035-C1-U15</t>
  </si>
  <si>
    <t>11035-C1-U16</t>
  </si>
  <si>
    <t>Str.Fantanitei nr.1B Sc.B</t>
  </si>
  <si>
    <t>11036-C2-U01</t>
  </si>
  <si>
    <t>11036-C2-U02</t>
  </si>
  <si>
    <t>11036-C2-U04</t>
  </si>
  <si>
    <t>11036-C2-U05</t>
  </si>
  <si>
    <t>11036-C2-U11</t>
  </si>
  <si>
    <t>11036-C2-U12</t>
  </si>
  <si>
    <t>11036-C2-U13</t>
  </si>
  <si>
    <t>11036-C2-U14</t>
  </si>
  <si>
    <t>11036-C2-U15</t>
  </si>
  <si>
    <t>11036-C2-U16</t>
  </si>
  <si>
    <t>Str.Fantanitei nr.1B Sc.C</t>
  </si>
  <si>
    <t>11037-C3-U04</t>
  </si>
  <si>
    <t>11037-C3-U01</t>
  </si>
  <si>
    <t>11037-C3-U02</t>
  </si>
  <si>
    <t>11037-C3-U03</t>
  </si>
  <si>
    <t>11037-C3-U07</t>
  </si>
  <si>
    <t>11037-C3-U16</t>
  </si>
  <si>
    <t>Str.Fantanitei nr.1B Sc.D</t>
  </si>
  <si>
    <t>11038-C1-U01</t>
  </si>
  <si>
    <t>11038-C1-U03</t>
  </si>
  <si>
    <t>11038-C1-U09</t>
  </si>
  <si>
    <t>11038-C1-U11</t>
  </si>
  <si>
    <t>11038-C1-U12</t>
  </si>
  <si>
    <t>11038-C1-U13</t>
  </si>
  <si>
    <t>11038-C1-U14</t>
  </si>
  <si>
    <t>11038-C1-U15</t>
  </si>
  <si>
    <t>11038-C1-U16</t>
  </si>
  <si>
    <t>11038-C1-U06</t>
  </si>
  <si>
    <t>Sef S.I.A.D.P.P,</t>
  </si>
  <si>
    <t xml:space="preserve">    Ciubuc Cristian</t>
  </si>
  <si>
    <t>Viză C.F.P.P,</t>
  </si>
  <si>
    <t>Bulat Neriman</t>
  </si>
  <si>
    <t>Întocmit,</t>
  </si>
  <si>
    <t>Munteanu Ligia</t>
  </si>
  <si>
    <t xml:space="preserve">                                                </t>
  </si>
  <si>
    <t>Chirie netă anuală actualizată  INS %       2025</t>
  </si>
  <si>
    <t>14=12x?</t>
  </si>
  <si>
    <t>16.1</t>
  </si>
  <si>
    <t>16.2</t>
  </si>
  <si>
    <t>16.3</t>
  </si>
  <si>
    <t>9.1</t>
  </si>
  <si>
    <t>9.2</t>
  </si>
  <si>
    <t>9.3</t>
  </si>
  <si>
    <t>9.4</t>
  </si>
  <si>
    <t>Varga</t>
  </si>
  <si>
    <t>Lupascu</t>
  </si>
  <si>
    <t>Stanciuc</t>
  </si>
  <si>
    <t>Isa</t>
  </si>
  <si>
    <t>Trandafir</t>
  </si>
  <si>
    <t>Boglea</t>
  </si>
  <si>
    <t>Secuiu</t>
  </si>
  <si>
    <t>Suditu</t>
  </si>
  <si>
    <t>Bănică F.</t>
  </si>
  <si>
    <t>Costea</t>
  </si>
  <si>
    <t>Bănică M.</t>
  </si>
  <si>
    <t>Sarcinschi</t>
  </si>
  <si>
    <t>Plamenat</t>
  </si>
  <si>
    <t>Stoica</t>
  </si>
  <si>
    <t>Rusu</t>
  </si>
  <si>
    <t>Butnaru</t>
  </si>
  <si>
    <t>Cîrciu</t>
  </si>
  <si>
    <t>Mihăilă</t>
  </si>
  <si>
    <t>Trifan</t>
  </si>
  <si>
    <t>Anghel</t>
  </si>
  <si>
    <t>Iliescu</t>
  </si>
  <si>
    <t>Pelin</t>
  </si>
  <si>
    <t>Piron</t>
  </si>
  <si>
    <t>Arion</t>
  </si>
  <si>
    <t>Popescu</t>
  </si>
  <si>
    <t>Velixar</t>
  </si>
  <si>
    <t>Zugravu</t>
  </si>
  <si>
    <t>Mihai</t>
  </si>
  <si>
    <t>Mandea</t>
  </si>
  <si>
    <t>Diță</t>
  </si>
  <si>
    <t>Culea</t>
  </si>
  <si>
    <t>Panov</t>
  </si>
  <si>
    <t>Șerban</t>
  </si>
  <si>
    <t>Toma</t>
  </si>
  <si>
    <t>Hăvîrneanu</t>
  </si>
  <si>
    <t>Cuzub</t>
  </si>
  <si>
    <t>Pană</t>
  </si>
  <si>
    <t>Dumuitru</t>
  </si>
  <si>
    <t>Ghiță</t>
  </si>
  <si>
    <t>Rohozneanu</t>
  </si>
  <si>
    <t>Tasoglu</t>
  </si>
  <si>
    <t>Pocora</t>
  </si>
  <si>
    <t>Burcea</t>
  </si>
  <si>
    <t>Stroeșteanu</t>
  </si>
  <si>
    <t>Munteanu</t>
  </si>
  <si>
    <t>Șoperlă</t>
  </si>
  <si>
    <t>Răucescu</t>
  </si>
  <si>
    <t>Grigore</t>
  </si>
  <si>
    <t>Iordache</t>
  </si>
  <si>
    <t>Gheorghiu</t>
  </si>
  <si>
    <t>Rachieru</t>
  </si>
  <si>
    <t>Vasile</t>
  </si>
  <si>
    <t>Muha</t>
  </si>
  <si>
    <t>Gradinariu</t>
  </si>
  <si>
    <t>Agapie</t>
  </si>
  <si>
    <t>Petrescu</t>
  </si>
  <si>
    <t>Roman</t>
  </si>
  <si>
    <t>Barbu</t>
  </si>
  <si>
    <t>Neacșu</t>
  </si>
  <si>
    <t>Bocșe</t>
  </si>
  <si>
    <t>Axinte</t>
  </si>
  <si>
    <t>Carabineru</t>
  </si>
  <si>
    <t>Leonte</t>
  </si>
  <si>
    <t>Smaranda</t>
  </si>
  <si>
    <t>Pavel</t>
  </si>
  <si>
    <t>Sima</t>
  </si>
  <si>
    <t>Crețu</t>
  </si>
  <si>
    <t>Mocanu</t>
  </si>
  <si>
    <t>Oprea</t>
  </si>
  <si>
    <t>Ichim</t>
  </si>
  <si>
    <t>Brutcă</t>
  </si>
  <si>
    <t>Droanță</t>
  </si>
  <si>
    <t>Bîcă</t>
  </si>
  <si>
    <t>Irizea</t>
  </si>
  <si>
    <t>Novac</t>
  </si>
  <si>
    <t>15=14/12</t>
  </si>
  <si>
    <t>Fătu</t>
  </si>
  <si>
    <t>Chirie netă anuală actualizată  INS %      2023</t>
  </si>
  <si>
    <t>Chirie netă anuală actualizată  INS %       2024</t>
  </si>
  <si>
    <t>Recalculare chirii pentru tineri până în 35 ani  aferente anului 2026</t>
  </si>
  <si>
    <t>Fără venit</t>
  </si>
  <si>
    <t>14=12x7,3</t>
  </si>
  <si>
    <t>Recalculare chirii actualizate cu rata inflației comunicata de INS de 7,3 pe anulul 2025 pentru tineri până în 35 ani și peste 35 ani aferente anului 2026</t>
  </si>
  <si>
    <t>Recalculare chirii actualizate cu rata inflației comunicata de INS de 5,6 pe anulul 2025 pentru tineri până în 35 ani și peste 35 ani aferente anului 2026</t>
  </si>
  <si>
    <t>Pădurariu</t>
  </si>
  <si>
    <t>Fara doc</t>
  </si>
  <si>
    <t>Fără doc.</t>
  </si>
  <si>
    <t>Recalculare chirii actualizate cu rata inflației comunicata de INS de 7,3 pe anulul 2025 pentru tineri până în 35 ani și peste 35 ani aferente anului 2026_Valoarea de recuperare a investiției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</si>
</sst>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\(0.00\)"/>
  </numFmts>
  <fonts count="29" x14ac:knownFonts="1">
    <font>
      <sz val="11"/>
      <color theme="1"/>
      <name val="Calibri"/>
      <charset val="238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10"/>
      <color theme="8" tint="-0.499984740745262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Verdana"/>
      <family val="2"/>
    </font>
    <font>
      <sz val="10"/>
      <color rgb="FF00B0F0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206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002060"/>
      <name val="Times New Roman"/>
      <family val="1"/>
    </font>
    <font>
      <b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0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vertical="center"/>
    </xf>
    <xf numFmtId="2" fontId="2" fillId="0" borderId="0" xfId="1" applyNumberFormat="1" applyFont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Fill="1" applyBorder="1">
      <alignment vertical="center"/>
    </xf>
    <xf numFmtId="0" fontId="6" fillId="0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" fontId="6" fillId="0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8" fillId="0" borderId="0" xfId="0" applyFont="1"/>
    <xf numFmtId="0" fontId="5" fillId="6" borderId="3" xfId="1" applyFont="1" applyFill="1" applyBorder="1" applyAlignment="1">
      <alignment horizontal="center" vertical="center" wrapText="1"/>
    </xf>
    <xf numFmtId="9" fontId="5" fillId="7" borderId="3" xfId="1" applyNumberFormat="1" applyFont="1" applyFill="1" applyBorder="1" applyAlignment="1">
      <alignment horizontal="center" vertical="center" wrapText="1"/>
    </xf>
    <xf numFmtId="9" fontId="2" fillId="7" borderId="3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/>
    </xf>
    <xf numFmtId="2" fontId="12" fillId="0" borderId="3" xfId="1" applyNumberFormat="1" applyFont="1" applyFill="1" applyBorder="1" applyAlignment="1">
      <alignment horizontal="center" vertical="center"/>
    </xf>
    <xf numFmtId="49" fontId="2" fillId="8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2" fontId="2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1" fillId="0" borderId="0" xfId="1" applyNumberFormat="1" applyFill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1" fillId="0" borderId="0" xfId="1" applyFill="1">
      <alignment vertical="center"/>
    </xf>
    <xf numFmtId="2" fontId="4" fillId="0" borderId="0" xfId="1" applyNumberFormat="1" applyFont="1">
      <alignment vertical="center"/>
    </xf>
    <xf numFmtId="2" fontId="13" fillId="0" borderId="0" xfId="1" applyNumberFormat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>
      <alignment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2" fontId="1" fillId="0" borderId="0" xfId="1" applyNumberFormat="1">
      <alignment vertical="center"/>
    </xf>
    <xf numFmtId="2" fontId="16" fillId="0" borderId="0" xfId="1" applyNumberFormat="1" applyFont="1">
      <alignment vertical="center"/>
    </xf>
    <xf numFmtId="2" fontId="17" fillId="0" borderId="0" xfId="1" applyNumberFormat="1" applyFont="1">
      <alignment vertical="center"/>
    </xf>
    <xf numFmtId="2" fontId="15" fillId="0" borderId="0" xfId="1" applyNumberFormat="1" applyFont="1">
      <alignment vertical="center"/>
    </xf>
    <xf numFmtId="0" fontId="16" fillId="0" borderId="0" xfId="1" applyFont="1">
      <alignment vertical="center"/>
    </xf>
    <xf numFmtId="0" fontId="19" fillId="0" borderId="3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2" fontId="1" fillId="2" borderId="3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 wrapText="1"/>
    </xf>
    <xf numFmtId="0" fontId="1" fillId="2" borderId="3" xfId="1" applyFill="1" applyBorder="1">
      <alignment vertical="center"/>
    </xf>
    <xf numFmtId="2" fontId="1" fillId="2" borderId="3" xfId="1" applyNumberFormat="1" applyFill="1" applyBorder="1">
      <alignment vertical="center"/>
    </xf>
    <xf numFmtId="0" fontId="1" fillId="2" borderId="3" xfId="1" applyFill="1" applyBorder="1" applyAlignment="1">
      <alignment vertical="center" wrapText="1"/>
    </xf>
    <xf numFmtId="0" fontId="16" fillId="0" borderId="3" xfId="1" applyFont="1" applyBorder="1" applyAlignment="1">
      <alignment horizontal="center" vertical="center"/>
    </xf>
    <xf numFmtId="0" fontId="16" fillId="0" borderId="3" xfId="1" applyFont="1" applyBorder="1">
      <alignment vertical="center"/>
    </xf>
    <xf numFmtId="2" fontId="16" fillId="0" borderId="3" xfId="1" applyNumberFormat="1" applyFont="1" applyBorder="1">
      <alignment vertical="center"/>
    </xf>
    <xf numFmtId="0" fontId="18" fillId="2" borderId="3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6" borderId="3" xfId="1" applyFont="1" applyFill="1" applyBorder="1" applyAlignment="1">
      <alignment horizontal="center" vertical="center" wrapText="1"/>
    </xf>
    <xf numFmtId="9" fontId="18" fillId="7" borderId="3" xfId="1" applyNumberFormat="1" applyFont="1" applyFill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/>
    </xf>
    <xf numFmtId="2" fontId="1" fillId="0" borderId="3" xfId="1" applyNumberFormat="1" applyBorder="1">
      <alignment vertical="center"/>
    </xf>
    <xf numFmtId="9" fontId="21" fillId="7" borderId="3" xfId="1" applyNumberFormat="1" applyFont="1" applyFill="1" applyBorder="1" applyAlignment="1">
      <alignment horizontal="center" vertical="center" wrapText="1"/>
    </xf>
    <xf numFmtId="49" fontId="1" fillId="8" borderId="3" xfId="1" applyNumberFormat="1" applyFill="1" applyBorder="1" applyAlignment="1">
      <alignment horizontal="center" vertical="center" wrapText="1"/>
    </xf>
    <xf numFmtId="2" fontId="22" fillId="2" borderId="3" xfId="1" applyNumberFormat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2" fontId="23" fillId="2" borderId="3" xfId="1" applyNumberFormat="1" applyFont="1" applyFill="1" applyBorder="1" applyAlignment="1">
      <alignment horizontal="center" vertical="center"/>
    </xf>
    <xf numFmtId="2" fontId="23" fillId="0" borderId="3" xfId="1" applyNumberFormat="1" applyFont="1" applyBorder="1">
      <alignment vertical="center"/>
    </xf>
    <xf numFmtId="2" fontId="16" fillId="0" borderId="3" xfId="1" applyNumberFormat="1" applyFont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 wrapText="1"/>
    </xf>
    <xf numFmtId="2" fontId="16" fillId="0" borderId="3" xfId="1" applyNumberFormat="1" applyFont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" fillId="9" borderId="3" xfId="1" applyFont="1" applyFill="1" applyBorder="1" applyAlignment="1">
      <alignment horizontal="center" vertical="center"/>
    </xf>
    <xf numFmtId="0" fontId="2" fillId="9" borderId="3" xfId="1" applyFont="1" applyFill="1" applyBorder="1" applyAlignment="1">
      <alignment horizontal="right" vertical="center"/>
    </xf>
    <xf numFmtId="2" fontId="2" fillId="9" borderId="3" xfId="1" applyNumberFormat="1" applyFont="1" applyFill="1" applyBorder="1" applyAlignment="1">
      <alignment horizontal="center" vertical="center"/>
    </xf>
    <xf numFmtId="2" fontId="2" fillId="9" borderId="3" xfId="1" applyNumberFormat="1" applyFont="1" applyFill="1" applyBorder="1" applyAlignment="1">
      <alignment horizontal="center" vertical="center" wrapText="1"/>
    </xf>
    <xf numFmtId="2" fontId="4" fillId="9" borderId="3" xfId="1" applyNumberFormat="1" applyFont="1" applyFill="1" applyBorder="1" applyAlignment="1">
      <alignment horizontal="center" vertical="center" wrapText="1"/>
    </xf>
    <xf numFmtId="0" fontId="1" fillId="9" borderId="0" xfId="1" applyFill="1">
      <alignment vertical="center"/>
    </xf>
    <xf numFmtId="0" fontId="2" fillId="0" borderId="3" xfId="1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right" vertical="center"/>
    </xf>
    <xf numFmtId="0" fontId="2" fillId="9" borderId="3" xfId="1" applyFont="1" applyFill="1" applyBorder="1">
      <alignment vertical="center"/>
    </xf>
    <xf numFmtId="0" fontId="8" fillId="9" borderId="3" xfId="0" applyNumberFormat="1" applyFont="1" applyFill="1" applyBorder="1" applyAlignment="1">
      <alignment horizontal="right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Border="1">
      <alignment vertical="center"/>
    </xf>
    <xf numFmtId="4" fontId="2" fillId="0" borderId="3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2" fontId="2" fillId="3" borderId="3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4" fontId="2" fillId="3" borderId="3" xfId="1" applyNumberFormat="1" applyFont="1" applyFill="1" applyBorder="1" applyAlignment="1">
      <alignment horizontal="center" vertical="center"/>
    </xf>
    <xf numFmtId="4" fontId="12" fillId="3" borderId="3" xfId="1" applyNumberFormat="1" applyFont="1" applyFill="1" applyBorder="1" applyAlignment="1">
      <alignment horizontal="center" vertical="center"/>
    </xf>
    <xf numFmtId="4" fontId="2" fillId="3" borderId="3" xfId="1" applyNumberFormat="1" applyFont="1" applyFill="1" applyBorder="1" applyAlignment="1">
      <alignment horizontal="center" vertical="center" wrapText="1"/>
    </xf>
    <xf numFmtId="4" fontId="4" fillId="3" borderId="3" xfId="1" applyNumberFormat="1" applyFont="1" applyFill="1" applyBorder="1" applyAlignment="1">
      <alignment horizontal="center" vertical="center" wrapText="1"/>
    </xf>
    <xf numFmtId="2" fontId="2" fillId="3" borderId="3" xfId="1" applyNumberFormat="1" applyFont="1" applyFill="1" applyBorder="1" applyAlignment="1">
      <alignment horizontal="center" vertical="center"/>
    </xf>
    <xf numFmtId="2" fontId="4" fillId="3" borderId="3" xfId="1" applyNumberFormat="1" applyFont="1" applyFill="1" applyBorder="1" applyAlignment="1">
      <alignment horizontal="center" vertical="center" wrapText="1"/>
    </xf>
    <xf numFmtId="4" fontId="2" fillId="5" borderId="3" xfId="1" applyNumberFormat="1" applyFont="1" applyFill="1" applyBorder="1" applyAlignment="1">
      <alignment horizontal="center" vertical="center"/>
    </xf>
    <xf numFmtId="4" fontId="2" fillId="5" borderId="3" xfId="1" applyNumberFormat="1" applyFont="1" applyFill="1" applyBorder="1" applyAlignment="1">
      <alignment horizontal="center" vertical="center" wrapText="1"/>
    </xf>
    <xf numFmtId="4" fontId="4" fillId="5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/>
    </xf>
    <xf numFmtId="4" fontId="24" fillId="0" borderId="3" xfId="1" applyNumberFormat="1" applyFont="1" applyFill="1" applyBorder="1" applyAlignment="1">
      <alignment horizontal="center" vertical="center"/>
    </xf>
    <xf numFmtId="4" fontId="27" fillId="0" borderId="3" xfId="1" applyNumberFormat="1" applyFont="1" applyFill="1" applyBorder="1" applyAlignment="1">
      <alignment horizontal="center" vertical="center"/>
    </xf>
    <xf numFmtId="4" fontId="24" fillId="5" borderId="3" xfId="1" applyNumberFormat="1" applyFont="1" applyFill="1" applyBorder="1" applyAlignment="1">
      <alignment horizontal="center" vertical="center"/>
    </xf>
    <xf numFmtId="4" fontId="2" fillId="0" borderId="0" xfId="1" applyNumberFormat="1" applyFont="1">
      <alignment vertical="center"/>
    </xf>
    <xf numFmtId="4" fontId="2" fillId="9" borderId="3" xfId="1" applyNumberFormat="1" applyFont="1" applyFill="1" applyBorder="1" applyAlignment="1">
      <alignment horizontal="center" vertical="center"/>
    </xf>
    <xf numFmtId="4" fontId="2" fillId="0" borderId="0" xfId="1" applyNumberFormat="1" applyFont="1" applyFill="1">
      <alignment vertical="center"/>
    </xf>
    <xf numFmtId="4" fontId="4" fillId="9" borderId="3" xfId="1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4" fontId="2" fillId="9" borderId="3" xfId="1" applyNumberFormat="1" applyFont="1" applyFill="1" applyBorder="1" applyAlignment="1">
      <alignment horizontal="center" vertical="center" wrapText="1"/>
    </xf>
    <xf numFmtId="4" fontId="4" fillId="9" borderId="3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4" fillId="0" borderId="0" xfId="1" applyNumberFormat="1" applyFont="1" applyBorder="1" applyAlignment="1">
      <alignment horizontal="center" vertical="center"/>
    </xf>
    <xf numFmtId="4" fontId="28" fillId="0" borderId="0" xfId="1" applyNumberFormat="1" applyFont="1">
      <alignment vertical="center"/>
    </xf>
    <xf numFmtId="4" fontId="28" fillId="0" borderId="0" xfId="1" applyNumberFormat="1" applyFont="1" applyAlignment="1">
      <alignment vertical="center" wrapText="1"/>
    </xf>
    <xf numFmtId="2" fontId="8" fillId="9" borderId="3" xfId="0" applyNumberFormat="1" applyFont="1" applyFill="1" applyBorder="1" applyAlignment="1">
      <alignment horizontal="center" vertical="center"/>
    </xf>
    <xf numFmtId="2" fontId="7" fillId="9" borderId="3" xfId="0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4" fontId="4" fillId="3" borderId="3" xfId="1" applyNumberFormat="1" applyFont="1" applyFill="1" applyBorder="1" applyAlignment="1">
      <alignment horizontal="center" vertical="center"/>
    </xf>
    <xf numFmtId="0" fontId="2" fillId="3" borderId="3" xfId="1" applyFont="1" applyFill="1" applyBorder="1">
      <alignment vertical="center"/>
    </xf>
    <xf numFmtId="2" fontId="4" fillId="3" borderId="3" xfId="1" applyNumberFormat="1" applyFont="1" applyFill="1" applyBorder="1" applyAlignment="1">
      <alignment horizontal="center" vertical="center"/>
    </xf>
    <xf numFmtId="4" fontId="24" fillId="3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right" vertical="center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>
      <alignment vertical="center"/>
    </xf>
    <xf numFmtId="0" fontId="8" fillId="2" borderId="3" xfId="0" applyNumberFormat="1" applyFont="1" applyFill="1" applyBorder="1" applyAlignment="1">
      <alignment horizontal="right" vertical="center"/>
    </xf>
    <xf numFmtId="2" fontId="4" fillId="0" borderId="3" xfId="1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/>
  <colors>
    <mruColors>
      <color rgb="FF66FF33"/>
      <color rgb="FFCCCCFF"/>
      <color rgb="FFB2BBC5"/>
      <color rgb="FFFF0066"/>
      <color rgb="FF7448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3" zoomScale="70" zoomScaleNormal="70" workbookViewId="0">
      <selection activeCell="M28" sqref="M28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11.285156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78" t="s">
        <v>0</v>
      </c>
    </row>
    <row r="7" spans="1:27" ht="147" customHeight="1" x14ac:dyDescent="0.25">
      <c r="A7" s="203" t="s">
        <v>1</v>
      </c>
      <c r="B7" s="203" t="s">
        <v>2</v>
      </c>
      <c r="C7" s="188" t="s">
        <v>3</v>
      </c>
      <c r="D7" s="188" t="s">
        <v>4</v>
      </c>
      <c r="E7" s="188" t="s">
        <v>5</v>
      </c>
      <c r="F7" s="188" t="s">
        <v>6</v>
      </c>
      <c r="G7" s="188" t="s">
        <v>7</v>
      </c>
      <c r="H7" s="188" t="s">
        <v>8</v>
      </c>
      <c r="I7" s="188" t="s">
        <v>9</v>
      </c>
      <c r="J7" s="93" t="s">
        <v>10</v>
      </c>
      <c r="K7" s="188" t="s">
        <v>11</v>
      </c>
      <c r="L7" s="93" t="s">
        <v>12</v>
      </c>
      <c r="M7" s="192" t="s">
        <v>13</v>
      </c>
      <c r="N7" s="193"/>
      <c r="O7" s="194"/>
      <c r="P7" s="188" t="s">
        <v>14</v>
      </c>
      <c r="Q7" s="195" t="s">
        <v>15</v>
      </c>
      <c r="R7" s="196"/>
      <c r="S7" s="196"/>
      <c r="T7" s="197"/>
      <c r="U7" s="190" t="s">
        <v>16</v>
      </c>
      <c r="V7" s="201" t="s">
        <v>17</v>
      </c>
      <c r="W7" s="198" t="s">
        <v>18</v>
      </c>
      <c r="X7" s="199"/>
      <c r="Y7" s="199"/>
      <c r="Z7" s="200"/>
      <c r="AA7" s="186" t="s">
        <v>19</v>
      </c>
    </row>
    <row r="8" spans="1:27" ht="66.599999999999994" customHeight="1" x14ac:dyDescent="0.25">
      <c r="A8" s="204"/>
      <c r="B8" s="204"/>
      <c r="C8" s="189"/>
      <c r="D8" s="189"/>
      <c r="E8" s="189"/>
      <c r="F8" s="189"/>
      <c r="G8" s="189"/>
      <c r="H8" s="189"/>
      <c r="I8" s="189"/>
      <c r="J8" s="93">
        <v>10.4</v>
      </c>
      <c r="K8" s="189"/>
      <c r="L8" s="93">
        <v>0.7</v>
      </c>
      <c r="M8" s="94">
        <v>0.8</v>
      </c>
      <c r="N8" s="95">
        <v>0.9</v>
      </c>
      <c r="O8" s="96">
        <v>1</v>
      </c>
      <c r="P8" s="189"/>
      <c r="Q8" s="97">
        <v>0.1</v>
      </c>
      <c r="R8" s="100">
        <v>0.2</v>
      </c>
      <c r="S8" s="100">
        <v>0.3</v>
      </c>
      <c r="T8" s="100">
        <v>0.1</v>
      </c>
      <c r="U8" s="191"/>
      <c r="V8" s="202"/>
      <c r="W8" s="101" t="s">
        <v>20</v>
      </c>
      <c r="X8" s="101" t="s">
        <v>21</v>
      </c>
      <c r="Y8" s="101" t="s">
        <v>22</v>
      </c>
      <c r="Z8" s="101" t="s">
        <v>23</v>
      </c>
      <c r="AA8" s="187"/>
    </row>
    <row r="9" spans="1:27" x14ac:dyDescent="0.25">
      <c r="A9" s="105"/>
      <c r="B9" s="105"/>
      <c r="C9" s="79">
        <v>0</v>
      </c>
      <c r="D9" s="79">
        <v>1</v>
      </c>
      <c r="E9" s="79">
        <v>2</v>
      </c>
      <c r="F9" s="79" t="s">
        <v>24</v>
      </c>
      <c r="G9" s="79" t="s">
        <v>25</v>
      </c>
      <c r="H9" s="79" t="s">
        <v>26</v>
      </c>
      <c r="I9" s="79" t="s">
        <v>27</v>
      </c>
      <c r="J9" s="79" t="s">
        <v>28</v>
      </c>
      <c r="K9" s="79" t="s">
        <v>29</v>
      </c>
      <c r="L9" s="79" t="s">
        <v>30</v>
      </c>
      <c r="M9" s="79" t="s">
        <v>31</v>
      </c>
      <c r="N9" s="79" t="s">
        <v>32</v>
      </c>
      <c r="O9" s="79" t="s">
        <v>32</v>
      </c>
      <c r="P9" s="79">
        <v>10</v>
      </c>
      <c r="Q9" s="98" t="s">
        <v>33</v>
      </c>
      <c r="R9" s="98" t="s">
        <v>34</v>
      </c>
      <c r="S9" s="98" t="s">
        <v>35</v>
      </c>
      <c r="T9" s="98" t="s">
        <v>36</v>
      </c>
      <c r="U9" s="98" t="s">
        <v>37</v>
      </c>
      <c r="V9" s="98" t="s">
        <v>38</v>
      </c>
      <c r="W9" s="79">
        <v>13</v>
      </c>
      <c r="X9" s="98" t="s">
        <v>39</v>
      </c>
      <c r="Y9" s="98" t="s">
        <v>40</v>
      </c>
      <c r="Z9" s="98" t="s">
        <v>41</v>
      </c>
      <c r="AA9" s="79">
        <v>14</v>
      </c>
    </row>
    <row r="10" spans="1:27" x14ac:dyDescent="0.25">
      <c r="A10" s="81">
        <v>1</v>
      </c>
      <c r="B10" s="105"/>
      <c r="C10" s="81">
        <v>1</v>
      </c>
      <c r="D10" s="81">
        <v>61.69</v>
      </c>
      <c r="E10" s="81">
        <f>E20</f>
        <v>94343.554375000007</v>
      </c>
      <c r="F10" s="82">
        <f t="shared" ref="F10:F12" si="0">E10/60</f>
        <v>1572.3925729166699</v>
      </c>
      <c r="G10" s="82">
        <f t="shared" ref="G10:G12" si="1">E10*1.5%</f>
        <v>1415.153315625</v>
      </c>
      <c r="H10" s="81">
        <f t="shared" ref="H10:H12" si="2">E10*0%</f>
        <v>0</v>
      </c>
      <c r="I10" s="82">
        <f t="shared" ref="I10:I12" si="3">F10+G10+H10</f>
        <v>2987.5458885416701</v>
      </c>
      <c r="J10" s="82">
        <f t="shared" ref="J10:J12" si="4">I10*(100%+10.4%)</f>
        <v>3298.2506609500001</v>
      </c>
      <c r="K10" s="82">
        <f t="shared" ref="K10:K12" si="5">J10/12</f>
        <v>274.854221745833</v>
      </c>
      <c r="L10" s="82">
        <f t="shared" ref="L10:L12" si="6">K10*0.7</f>
        <v>192.397955222083</v>
      </c>
      <c r="M10" s="82">
        <f>L10*M8</f>
        <v>153.918364177667</v>
      </c>
      <c r="N10" s="82">
        <f>L10*N8</f>
        <v>173.158159699875</v>
      </c>
      <c r="O10" s="82">
        <f>L10*O8</f>
        <v>192.397955222083</v>
      </c>
      <c r="P10" s="82"/>
      <c r="Q10" s="82"/>
      <c r="R10" s="82"/>
      <c r="S10" s="82"/>
      <c r="T10" s="102"/>
      <c r="U10" s="102"/>
      <c r="V10" s="103">
        <v>53</v>
      </c>
      <c r="W10" s="104">
        <f>K10</f>
        <v>274.854221745833</v>
      </c>
      <c r="X10" s="104">
        <f>M10</f>
        <v>153.918364177667</v>
      </c>
      <c r="Y10" s="104">
        <f t="shared" ref="Y10:Y12" si="7">F10/12</f>
        <v>131.03271440972199</v>
      </c>
      <c r="Z10" s="109">
        <f>(Y10/W10)*100</f>
        <v>47.673531655224998</v>
      </c>
      <c r="AA10" s="110">
        <f>X10*Z10%</f>
        <v>73.378320069444399</v>
      </c>
    </row>
    <row r="11" spans="1:27" x14ac:dyDescent="0.25">
      <c r="A11" s="81">
        <v>2</v>
      </c>
      <c r="B11" s="105"/>
      <c r="C11" s="81">
        <v>2</v>
      </c>
      <c r="D11" s="81"/>
      <c r="E11" s="81">
        <v>1509496.87</v>
      </c>
      <c r="F11" s="82">
        <f t="shared" si="0"/>
        <v>25158.2811666667</v>
      </c>
      <c r="G11" s="82">
        <f t="shared" si="1"/>
        <v>22642.45305</v>
      </c>
      <c r="H11" s="81">
        <f t="shared" si="2"/>
        <v>0</v>
      </c>
      <c r="I11" s="82">
        <f t="shared" si="3"/>
        <v>47800.7342166667</v>
      </c>
      <c r="J11" s="82">
        <f t="shared" si="4"/>
        <v>52772.010575200002</v>
      </c>
      <c r="K11" s="82">
        <f t="shared" si="5"/>
        <v>4397.6675479333298</v>
      </c>
      <c r="L11" s="82">
        <f t="shared" si="6"/>
        <v>3078.3672835533298</v>
      </c>
      <c r="M11" s="82">
        <f>L11*M8</f>
        <v>2462.6938268426702</v>
      </c>
      <c r="N11" s="82">
        <f>L11*N8</f>
        <v>2770.530555198</v>
      </c>
      <c r="O11" s="82">
        <f>L11*O8</f>
        <v>3078.3672835533298</v>
      </c>
      <c r="P11" s="82"/>
      <c r="Q11" s="82"/>
      <c r="R11" s="82"/>
      <c r="S11" s="82"/>
      <c r="T11" s="102"/>
      <c r="U11" s="102"/>
      <c r="V11" s="103">
        <v>73</v>
      </c>
      <c r="W11" s="104">
        <f t="shared" ref="W11:W12" si="8">K11</f>
        <v>4397.6675479333298</v>
      </c>
      <c r="X11" s="104">
        <f t="shared" ref="X11:X12" si="9">M11</f>
        <v>2462.6938268426702</v>
      </c>
      <c r="Y11" s="104">
        <f t="shared" si="7"/>
        <v>2096.52343055556</v>
      </c>
      <c r="Z11" s="109">
        <f t="shared" ref="Z11:Z12" si="10">(Y11/W11)*100</f>
        <v>47.673531655224998</v>
      </c>
      <c r="AA11" s="109">
        <f>X11*Z11%</f>
        <v>1174.0531211111099</v>
      </c>
    </row>
    <row r="12" spans="1:27" x14ac:dyDescent="0.25">
      <c r="A12" s="81">
        <v>3</v>
      </c>
      <c r="B12" s="105"/>
      <c r="C12" s="81"/>
      <c r="D12" s="81"/>
      <c r="E12" s="81">
        <v>1509496.87</v>
      </c>
      <c r="F12" s="82">
        <f t="shared" si="0"/>
        <v>25158.2811666667</v>
      </c>
      <c r="G12" s="82">
        <f t="shared" si="1"/>
        <v>22642.45305</v>
      </c>
      <c r="H12" s="81">
        <f t="shared" si="2"/>
        <v>0</v>
      </c>
      <c r="I12" s="82">
        <f t="shared" si="3"/>
        <v>47800.7342166667</v>
      </c>
      <c r="J12" s="82">
        <f t="shared" si="4"/>
        <v>52772.010575200002</v>
      </c>
      <c r="K12" s="82">
        <f t="shared" si="5"/>
        <v>4397.6675479333298</v>
      </c>
      <c r="L12" s="82">
        <f t="shared" si="6"/>
        <v>3078.3672835533298</v>
      </c>
      <c r="M12" s="82">
        <f>L12*M8</f>
        <v>2462.6938268426702</v>
      </c>
      <c r="N12" s="82">
        <f>L12*N8</f>
        <v>2770.530555198</v>
      </c>
      <c r="O12" s="82">
        <f>L12*O8</f>
        <v>3078.3672835533298</v>
      </c>
      <c r="P12" s="82"/>
      <c r="Q12" s="82"/>
      <c r="R12" s="82"/>
      <c r="S12" s="82"/>
      <c r="T12" s="102"/>
      <c r="U12" s="102"/>
      <c r="V12" s="103"/>
      <c r="W12" s="104">
        <f t="shared" si="8"/>
        <v>4397.6675479333298</v>
      </c>
      <c r="X12" s="104">
        <f t="shared" si="9"/>
        <v>2462.6938268426702</v>
      </c>
      <c r="Y12" s="104">
        <f t="shared" si="7"/>
        <v>2096.52343055556</v>
      </c>
      <c r="Z12" s="109">
        <f t="shared" si="10"/>
        <v>47.673531655224998</v>
      </c>
      <c r="AA12" s="109">
        <f t="shared" ref="AA12" si="11">X12*Z12%</f>
        <v>1174.0531211111099</v>
      </c>
    </row>
    <row r="13" spans="1:27" x14ac:dyDescent="0.25">
      <c r="A13" s="83">
        <v>4</v>
      </c>
      <c r="B13" s="105"/>
      <c r="C13" s="83"/>
      <c r="D13" s="81"/>
      <c r="E13" s="81"/>
      <c r="F13" s="82"/>
      <c r="G13" s="82"/>
      <c r="H13" s="81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102"/>
      <c r="U13" s="102"/>
      <c r="V13" s="105"/>
      <c r="W13" s="105"/>
      <c r="X13" s="105"/>
      <c r="Y13" s="105"/>
      <c r="Z13" s="105"/>
      <c r="AA13" s="105"/>
    </row>
    <row r="14" spans="1:27" x14ac:dyDescent="0.25">
      <c r="A14" s="83">
        <v>5</v>
      </c>
      <c r="B14" s="105"/>
      <c r="C14" s="83"/>
      <c r="D14" s="81"/>
      <c r="E14" s="81"/>
      <c r="F14" s="82"/>
      <c r="G14" s="82"/>
      <c r="H14" s="81"/>
      <c r="I14" s="82"/>
      <c r="J14" s="82"/>
      <c r="K14" s="82">
        <v>274.85000000000002</v>
      </c>
      <c r="L14" s="82"/>
      <c r="M14" s="82"/>
      <c r="N14" s="82"/>
      <c r="O14" s="82"/>
      <c r="P14" s="82"/>
      <c r="Q14" s="82"/>
      <c r="R14" s="82"/>
      <c r="S14" s="82"/>
      <c r="T14" s="102"/>
      <c r="U14" s="102"/>
      <c r="V14" s="105"/>
      <c r="W14" s="104"/>
      <c r="X14" s="104"/>
      <c r="Y14" s="104"/>
      <c r="Z14" s="109"/>
      <c r="AA14" s="110"/>
    </row>
    <row r="15" spans="1:27" x14ac:dyDescent="0.25">
      <c r="A15" s="83">
        <v>6</v>
      </c>
      <c r="B15" s="105"/>
      <c r="C15" s="83"/>
      <c r="D15" s="81"/>
      <c r="E15" s="82"/>
      <c r="F15" s="82"/>
      <c r="G15" s="82"/>
      <c r="H15" s="8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102"/>
      <c r="U15" s="102"/>
      <c r="V15" s="105"/>
      <c r="W15" s="105"/>
      <c r="X15" s="105"/>
      <c r="Y15" s="105"/>
      <c r="Z15" s="109"/>
      <c r="AA15" s="110"/>
    </row>
    <row r="16" spans="1:27" x14ac:dyDescent="0.25">
      <c r="A16" s="81">
        <v>7</v>
      </c>
      <c r="B16" s="105"/>
      <c r="C16" s="81"/>
      <c r="D16" s="81"/>
      <c r="E16" s="81"/>
      <c r="F16" s="81">
        <v>1699.28</v>
      </c>
      <c r="G16" s="81"/>
      <c r="H16" s="81"/>
      <c r="I16" s="81"/>
      <c r="J16" s="81"/>
      <c r="K16" s="81"/>
      <c r="L16" s="81"/>
      <c r="M16" s="82"/>
      <c r="N16" s="81"/>
      <c r="O16" s="82"/>
      <c r="P16" s="82"/>
      <c r="Q16" s="82"/>
      <c r="R16" s="82"/>
      <c r="S16" s="82"/>
      <c r="T16" s="102"/>
      <c r="U16" s="102"/>
      <c r="V16" s="105"/>
      <c r="W16" s="105"/>
      <c r="X16" s="105"/>
      <c r="Y16" s="99"/>
      <c r="Z16" s="109"/>
      <c r="AA16" s="110"/>
    </row>
    <row r="17" spans="1:27" x14ac:dyDescent="0.25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  <c r="N17" s="81"/>
      <c r="O17" s="82"/>
      <c r="P17" s="82"/>
      <c r="Q17" s="82"/>
      <c r="R17" s="82"/>
      <c r="S17" s="82"/>
      <c r="T17" s="102"/>
      <c r="U17" s="102"/>
      <c r="V17" s="105"/>
      <c r="W17" s="105"/>
      <c r="X17" s="105"/>
      <c r="Y17" s="105"/>
      <c r="Z17" s="105"/>
      <c r="AA17" s="105"/>
    </row>
    <row r="18" spans="1:27" x14ac:dyDescent="0.25">
      <c r="C18" s="81"/>
      <c r="D18" s="81"/>
      <c r="E18" s="81"/>
      <c r="F18" s="82"/>
      <c r="G18" s="82"/>
      <c r="H18" s="81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102"/>
      <c r="U18" s="102"/>
      <c r="V18" s="92"/>
      <c r="W18" s="105"/>
      <c r="X18" s="105"/>
      <c r="Y18" s="92"/>
      <c r="Z18" s="105"/>
      <c r="AA18" s="105"/>
    </row>
    <row r="20" spans="1:27" x14ac:dyDescent="0.25">
      <c r="E20" s="1">
        <f>E12/16</f>
        <v>94343.554375000007</v>
      </c>
    </row>
    <row r="21" spans="1:27" x14ac:dyDescent="0.25">
      <c r="C21" s="78" t="s">
        <v>42</v>
      </c>
    </row>
    <row r="23" spans="1:27" ht="175.15" customHeight="1" x14ac:dyDescent="0.25">
      <c r="A23" s="203" t="s">
        <v>1</v>
      </c>
      <c r="B23" s="203" t="s">
        <v>2</v>
      </c>
      <c r="C23" s="188" t="s">
        <v>3</v>
      </c>
      <c r="D23" s="188" t="s">
        <v>4</v>
      </c>
      <c r="E23" s="188" t="s">
        <v>5</v>
      </c>
      <c r="F23" s="188" t="s">
        <v>6</v>
      </c>
      <c r="G23" s="188" t="s">
        <v>7</v>
      </c>
      <c r="H23" s="188" t="s">
        <v>8</v>
      </c>
      <c r="I23" s="188" t="s">
        <v>9</v>
      </c>
      <c r="J23" s="93" t="s">
        <v>10</v>
      </c>
      <c r="K23" s="188" t="s">
        <v>11</v>
      </c>
      <c r="L23" s="93" t="s">
        <v>12</v>
      </c>
      <c r="M23" s="192" t="s">
        <v>13</v>
      </c>
      <c r="N23" s="193"/>
      <c r="O23" s="194"/>
      <c r="P23" s="188" t="s">
        <v>14</v>
      </c>
      <c r="Q23" s="195" t="s">
        <v>15</v>
      </c>
      <c r="R23" s="196"/>
      <c r="S23" s="196"/>
      <c r="T23" s="197"/>
      <c r="U23" s="190" t="s">
        <v>16</v>
      </c>
      <c r="V23" s="201" t="s">
        <v>17</v>
      </c>
      <c r="W23" s="198" t="s">
        <v>18</v>
      </c>
      <c r="X23" s="199"/>
      <c r="Y23" s="199"/>
      <c r="Z23" s="200"/>
      <c r="AA23" s="186" t="s">
        <v>19</v>
      </c>
    </row>
    <row r="24" spans="1:27" ht="51" x14ac:dyDescent="0.25">
      <c r="A24" s="204"/>
      <c r="B24" s="204"/>
      <c r="C24" s="189"/>
      <c r="D24" s="189"/>
      <c r="E24" s="189"/>
      <c r="F24" s="189"/>
      <c r="G24" s="189"/>
      <c r="H24" s="189"/>
      <c r="I24" s="189"/>
      <c r="J24" s="93">
        <v>10.4</v>
      </c>
      <c r="K24" s="189"/>
      <c r="L24" s="93">
        <v>0.7</v>
      </c>
      <c r="M24" s="94">
        <v>0.8</v>
      </c>
      <c r="N24" s="95">
        <v>0.9</v>
      </c>
      <c r="O24" s="96">
        <v>1</v>
      </c>
      <c r="P24" s="189"/>
      <c r="Q24" s="97">
        <v>0.1</v>
      </c>
      <c r="R24" s="100">
        <v>0.2</v>
      </c>
      <c r="S24" s="100">
        <v>0.3</v>
      </c>
      <c r="T24" s="100">
        <v>0.1</v>
      </c>
      <c r="U24" s="191"/>
      <c r="V24" s="202"/>
      <c r="W24" s="101" t="s">
        <v>20</v>
      </c>
      <c r="X24" s="101" t="s">
        <v>21</v>
      </c>
      <c r="Y24" s="101" t="s">
        <v>22</v>
      </c>
      <c r="Z24" s="101" t="s">
        <v>23</v>
      </c>
      <c r="AA24" s="187"/>
    </row>
    <row r="25" spans="1:27" x14ac:dyDescent="0.25">
      <c r="A25" s="105"/>
      <c r="B25" s="105"/>
      <c r="C25" s="79">
        <v>0</v>
      </c>
      <c r="D25" s="79">
        <v>1</v>
      </c>
      <c r="E25" s="79">
        <v>2</v>
      </c>
      <c r="F25" s="79" t="s">
        <v>24</v>
      </c>
      <c r="G25" s="79" t="s">
        <v>25</v>
      </c>
      <c r="H25" s="79" t="s">
        <v>26</v>
      </c>
      <c r="I25" s="79" t="s">
        <v>27</v>
      </c>
      <c r="J25" s="79" t="s">
        <v>28</v>
      </c>
      <c r="K25" s="79" t="s">
        <v>29</v>
      </c>
      <c r="L25" s="79" t="s">
        <v>30</v>
      </c>
      <c r="M25" s="79" t="s">
        <v>31</v>
      </c>
      <c r="N25" s="79" t="s">
        <v>32</v>
      </c>
      <c r="O25" s="79" t="s">
        <v>32</v>
      </c>
      <c r="P25" s="79">
        <v>10</v>
      </c>
      <c r="Q25" s="98" t="s">
        <v>33</v>
      </c>
      <c r="R25" s="98" t="s">
        <v>34</v>
      </c>
      <c r="S25" s="98" t="s">
        <v>35</v>
      </c>
      <c r="T25" s="98" t="s">
        <v>36</v>
      </c>
      <c r="U25" s="98" t="s">
        <v>37</v>
      </c>
      <c r="V25" s="98" t="s">
        <v>38</v>
      </c>
      <c r="W25" s="79">
        <v>13</v>
      </c>
      <c r="X25" s="98" t="s">
        <v>39</v>
      </c>
      <c r="Y25" s="98" t="s">
        <v>40</v>
      </c>
      <c r="Z25" s="98" t="s">
        <v>41</v>
      </c>
      <c r="AA25" s="79">
        <v>14</v>
      </c>
    </row>
    <row r="26" spans="1:27" x14ac:dyDescent="0.25">
      <c r="A26" s="81">
        <v>1</v>
      </c>
      <c r="B26" s="105"/>
      <c r="C26" s="87"/>
      <c r="D26" s="87"/>
      <c r="E26" s="87">
        <v>1509496.87</v>
      </c>
      <c r="F26" s="88">
        <f t="shared" ref="F26:F30" si="12">E26/60</f>
        <v>25158.2811666667</v>
      </c>
      <c r="G26" s="88">
        <f t="shared" ref="G26:G30" si="13">E26*1.5%</f>
        <v>22642.45305</v>
      </c>
      <c r="H26" s="88">
        <f t="shared" ref="H26:H30" si="14">E26*0.5%</f>
        <v>7547.4843499999997</v>
      </c>
      <c r="I26" s="88">
        <f t="shared" ref="I26:I30" si="15">F26+G26+H26</f>
        <v>55348.218566666699</v>
      </c>
      <c r="J26" s="88">
        <f t="shared" ref="J26:J29" si="16">I26*(100%+10.4%)</f>
        <v>61104.433297600001</v>
      </c>
      <c r="K26" s="88">
        <f t="shared" ref="K26:K33" si="17">J26/12</f>
        <v>5092.0361081333303</v>
      </c>
      <c r="L26" s="88">
        <f>K26*L24</f>
        <v>3564.4252756933301</v>
      </c>
      <c r="M26" s="82">
        <f>L26*M24</f>
        <v>2851.5402205546702</v>
      </c>
      <c r="N26" s="82">
        <f>L26*N24</f>
        <v>3207.982748124</v>
      </c>
      <c r="O26" s="82">
        <f>L26*O24</f>
        <v>3564.4252756933301</v>
      </c>
      <c r="P26" s="82"/>
      <c r="Q26" s="82"/>
      <c r="R26" s="82"/>
      <c r="S26" s="82"/>
      <c r="T26" s="102"/>
      <c r="U26" s="102"/>
      <c r="V26" s="103">
        <v>53</v>
      </c>
      <c r="W26" s="104">
        <f>K26</f>
        <v>5092.0361081333303</v>
      </c>
      <c r="X26" s="104">
        <f>M26</f>
        <v>2851.5402205546702</v>
      </c>
      <c r="Y26" s="104">
        <f>F26/12</f>
        <v>2096.52343055556</v>
      </c>
      <c r="Z26" s="109">
        <f>(Y26/W26)*100</f>
        <v>41.172595520421602</v>
      </c>
      <c r="AA26" s="110">
        <f>X26*Z26%</f>
        <v>1174.0531211111099</v>
      </c>
    </row>
    <row r="27" spans="1:27" x14ac:dyDescent="0.25">
      <c r="A27" s="81">
        <v>2</v>
      </c>
      <c r="B27" s="105"/>
      <c r="C27" s="87"/>
      <c r="D27" s="87"/>
      <c r="E27" s="87">
        <v>1509496.87</v>
      </c>
      <c r="F27" s="88">
        <f t="shared" si="12"/>
        <v>25158.2811666667</v>
      </c>
      <c r="G27" s="88">
        <f t="shared" si="13"/>
        <v>22642.45305</v>
      </c>
      <c r="H27" s="88">
        <f t="shared" si="14"/>
        <v>7547.4843499999997</v>
      </c>
      <c r="I27" s="88">
        <f t="shared" si="15"/>
        <v>55348.218566666699</v>
      </c>
      <c r="J27" s="88">
        <f t="shared" si="16"/>
        <v>61104.433297600001</v>
      </c>
      <c r="K27" s="88">
        <f t="shared" si="17"/>
        <v>5092.0361081333303</v>
      </c>
      <c r="L27" s="88">
        <f>K27*L24</f>
        <v>3564.4252756933301</v>
      </c>
      <c r="M27" s="88">
        <f>L27*M24</f>
        <v>2851.5402205546702</v>
      </c>
      <c r="N27" s="88">
        <f>L27*N24</f>
        <v>3207.982748124</v>
      </c>
      <c r="O27" s="99">
        <f>L27*O24</f>
        <v>3564.4252756933301</v>
      </c>
      <c r="P27" s="99"/>
      <c r="Q27" s="99"/>
      <c r="R27" s="99"/>
      <c r="S27" s="99"/>
      <c r="T27" s="102">
        <f t="shared" ref="T27:T28" si="18">(M27/12)-(10%)</f>
        <v>237.52835171288899</v>
      </c>
      <c r="U27" s="102"/>
      <c r="V27" s="105"/>
      <c r="W27" s="104">
        <f t="shared" ref="W27:W34" si="19">K27</f>
        <v>5092.0361081333303</v>
      </c>
      <c r="X27" s="104">
        <f t="shared" ref="X27:X34" si="20">M27</f>
        <v>2851.5402205546702</v>
      </c>
      <c r="Y27" s="104">
        <f t="shared" ref="Y27:Y34" si="21">F27/12</f>
        <v>2096.52343055556</v>
      </c>
      <c r="Z27" s="109">
        <f t="shared" ref="Z27:Z34" si="22">(Y27/W27)*100</f>
        <v>41.172595520421602</v>
      </c>
      <c r="AA27" s="110">
        <f t="shared" ref="AA27:AA34" si="23">X27*Z27%</f>
        <v>1174.0531211111099</v>
      </c>
    </row>
    <row r="28" spans="1:27" ht="51" x14ac:dyDescent="0.25">
      <c r="A28" s="81">
        <v>3</v>
      </c>
      <c r="B28" s="105"/>
      <c r="C28" s="89" t="s">
        <v>43</v>
      </c>
      <c r="D28" s="87">
        <v>58</v>
      </c>
      <c r="E28" s="87">
        <v>70207</v>
      </c>
      <c r="F28" s="88">
        <f t="shared" si="12"/>
        <v>1170.11666666667</v>
      </c>
      <c r="G28" s="88">
        <f t="shared" si="13"/>
        <v>1053.105</v>
      </c>
      <c r="H28" s="88">
        <f t="shared" si="14"/>
        <v>351.03500000000003</v>
      </c>
      <c r="I28" s="88">
        <f t="shared" si="15"/>
        <v>2574.2566666666698</v>
      </c>
      <c r="J28" s="88">
        <f t="shared" ref="J28:J33" si="24">I28*(100%+1.5%)</f>
        <v>2612.87051666667</v>
      </c>
      <c r="K28" s="88">
        <f t="shared" si="17"/>
        <v>217.739209722222</v>
      </c>
      <c r="L28" s="88">
        <f>K28*L24</f>
        <v>152.41744680555499</v>
      </c>
      <c r="M28" s="88">
        <f>L28*M24</f>
        <v>121.933957444444</v>
      </c>
      <c r="N28" s="88">
        <f>L28*N24</f>
        <v>137.17570212499999</v>
      </c>
      <c r="O28" s="99">
        <f>L28*O24</f>
        <v>152.41744680555499</v>
      </c>
      <c r="P28" s="99"/>
      <c r="Q28" s="99"/>
      <c r="R28" s="99"/>
      <c r="S28" s="99"/>
      <c r="T28" s="102">
        <f t="shared" si="18"/>
        <v>10.0611631203704</v>
      </c>
      <c r="U28" s="102"/>
      <c r="V28" s="105"/>
      <c r="W28" s="104">
        <f t="shared" si="19"/>
        <v>217.739209722222</v>
      </c>
      <c r="X28" s="104">
        <f t="shared" si="20"/>
        <v>121.933957444444</v>
      </c>
      <c r="Y28" s="104">
        <f t="shared" si="21"/>
        <v>97.509722222222194</v>
      </c>
      <c r="Z28" s="109">
        <f t="shared" si="22"/>
        <v>44.782803403493098</v>
      </c>
      <c r="AA28" s="110">
        <f t="shared" si="23"/>
        <v>54.605444444444402</v>
      </c>
    </row>
    <row r="29" spans="1:27" ht="25.5" x14ac:dyDescent="0.25">
      <c r="A29" s="83">
        <v>4</v>
      </c>
      <c r="B29" s="105"/>
      <c r="C29" s="89" t="s">
        <v>44</v>
      </c>
      <c r="D29" s="87">
        <v>58</v>
      </c>
      <c r="E29" s="87">
        <v>70207</v>
      </c>
      <c r="F29" s="88">
        <f t="shared" si="12"/>
        <v>1170.11666666667</v>
      </c>
      <c r="G29" s="88">
        <f t="shared" si="13"/>
        <v>1053.105</v>
      </c>
      <c r="H29" s="88">
        <f t="shared" si="14"/>
        <v>351.03500000000003</v>
      </c>
      <c r="I29" s="88">
        <f t="shared" si="15"/>
        <v>2574.2566666666698</v>
      </c>
      <c r="J29" s="88">
        <f t="shared" si="16"/>
        <v>2841.9793599999998</v>
      </c>
      <c r="K29" s="88">
        <f t="shared" si="17"/>
        <v>236.831613333333</v>
      </c>
      <c r="L29" s="88">
        <f>K29*L24</f>
        <v>165.78212933333299</v>
      </c>
      <c r="M29" s="88">
        <f>L29*M24</f>
        <v>132.62570346666701</v>
      </c>
      <c r="N29" s="88">
        <f>L29*N24</f>
        <v>149.2039164</v>
      </c>
      <c r="O29" s="99">
        <f>L29*O24</f>
        <v>165.78212933333299</v>
      </c>
      <c r="P29" s="99"/>
      <c r="Q29" s="99"/>
      <c r="R29" s="99"/>
      <c r="S29" s="99"/>
      <c r="T29" s="102"/>
      <c r="U29" s="102"/>
      <c r="V29" s="105"/>
      <c r="W29" s="104">
        <f t="shared" si="19"/>
        <v>236.831613333333</v>
      </c>
      <c r="X29" s="104">
        <f t="shared" si="20"/>
        <v>132.62570346666701</v>
      </c>
      <c r="Y29" s="104">
        <f t="shared" si="21"/>
        <v>97.509722222222194</v>
      </c>
      <c r="Z29" s="109">
        <f t="shared" si="22"/>
        <v>41.172595520421602</v>
      </c>
      <c r="AA29" s="110">
        <f t="shared" si="23"/>
        <v>54.605444444444402</v>
      </c>
    </row>
    <row r="30" spans="1:27" ht="25.5" x14ac:dyDescent="0.25">
      <c r="A30" s="83">
        <v>5</v>
      </c>
      <c r="B30" s="105"/>
      <c r="C30" s="89" t="s">
        <v>45</v>
      </c>
      <c r="D30" s="87"/>
      <c r="E30" s="88">
        <f>E25/D25</f>
        <v>2</v>
      </c>
      <c r="F30" s="88">
        <f t="shared" si="12"/>
        <v>3.3333333333333298E-2</v>
      </c>
      <c r="G30" s="88">
        <f t="shared" si="13"/>
        <v>0.03</v>
      </c>
      <c r="H30" s="88">
        <f t="shared" si="14"/>
        <v>0.01</v>
      </c>
      <c r="I30" s="88">
        <f t="shared" si="15"/>
        <v>7.3333333333333306E-2</v>
      </c>
      <c r="J30" s="88">
        <f t="shared" si="24"/>
        <v>7.4433333333333296E-2</v>
      </c>
      <c r="K30" s="88">
        <f t="shared" si="17"/>
        <v>6.2027777777777801E-3</v>
      </c>
      <c r="L30" s="88">
        <f>K30*L24</f>
        <v>4.3419444444444399E-3</v>
      </c>
      <c r="M30" s="88">
        <f>L30*M24</f>
        <v>3.47355555555555E-3</v>
      </c>
      <c r="N30" s="88">
        <f>L30*N24</f>
        <v>3.9077499999999998E-3</v>
      </c>
      <c r="O30" s="99">
        <f>L30*O24</f>
        <v>4.3419444444444399E-3</v>
      </c>
      <c r="P30" s="99"/>
      <c r="Q30" s="99"/>
      <c r="R30" s="99"/>
      <c r="S30" s="99"/>
      <c r="T30" s="102"/>
      <c r="U30" s="102"/>
      <c r="V30" s="105"/>
      <c r="W30" s="104">
        <f t="shared" si="19"/>
        <v>6.2027777777777801E-3</v>
      </c>
      <c r="X30" s="104">
        <f t="shared" si="20"/>
        <v>3.47355555555555E-3</v>
      </c>
      <c r="Y30" s="104">
        <f t="shared" si="21"/>
        <v>2.7777777777777801E-3</v>
      </c>
      <c r="Z30" s="109">
        <f t="shared" si="22"/>
        <v>44.782803403493098</v>
      </c>
      <c r="AA30" s="110">
        <f t="shared" si="23"/>
        <v>1.55555555555556E-3</v>
      </c>
    </row>
    <row r="31" spans="1:27" x14ac:dyDescent="0.25">
      <c r="A31" s="83">
        <v>6</v>
      </c>
      <c r="B31" s="105"/>
      <c r="C31" s="87"/>
      <c r="D31" s="87"/>
      <c r="E31" s="87"/>
      <c r="F31" s="87"/>
      <c r="G31" s="87"/>
      <c r="H31" s="87"/>
      <c r="I31" s="87"/>
      <c r="J31" s="87">
        <v>1.5</v>
      </c>
      <c r="K31" s="88">
        <f t="shared" si="17"/>
        <v>0.125</v>
      </c>
      <c r="L31" s="88">
        <f>K31*L24</f>
        <v>8.7499999999999994E-2</v>
      </c>
      <c r="M31" s="88">
        <f>L31*M24</f>
        <v>7.0000000000000007E-2</v>
      </c>
      <c r="N31" s="88">
        <f>L31*N24</f>
        <v>7.8750000000000001E-2</v>
      </c>
      <c r="O31" s="99">
        <f>L31*O24</f>
        <v>8.7499999999999994E-2</v>
      </c>
      <c r="P31" s="99"/>
      <c r="Q31" s="99"/>
      <c r="R31" s="99"/>
      <c r="S31" s="99"/>
      <c r="T31" s="102"/>
      <c r="U31" s="102"/>
      <c r="V31" s="105"/>
      <c r="W31" s="104">
        <f t="shared" si="19"/>
        <v>0.125</v>
      </c>
      <c r="X31" s="104">
        <f t="shared" si="20"/>
        <v>7.0000000000000007E-2</v>
      </c>
      <c r="Y31" s="104">
        <f t="shared" si="21"/>
        <v>0</v>
      </c>
      <c r="Z31" s="109">
        <f t="shared" si="22"/>
        <v>0</v>
      </c>
      <c r="AA31" s="110">
        <f t="shared" si="23"/>
        <v>0</v>
      </c>
    </row>
    <row r="32" spans="1:27" x14ac:dyDescent="0.25">
      <c r="A32" s="81">
        <v>7</v>
      </c>
      <c r="B32" s="105"/>
      <c r="C32" s="87"/>
      <c r="D32" s="87"/>
      <c r="E32" s="87"/>
      <c r="F32" s="87"/>
      <c r="G32" s="87"/>
      <c r="H32" s="87"/>
      <c r="I32" s="87"/>
      <c r="J32" s="87"/>
      <c r="K32" s="88">
        <f t="shared" si="17"/>
        <v>0</v>
      </c>
      <c r="L32" s="88">
        <f>K32*L24</f>
        <v>0</v>
      </c>
      <c r="M32" s="88">
        <f>L32*M24</f>
        <v>0</v>
      </c>
      <c r="N32" s="88">
        <f>L32*N24</f>
        <v>0</v>
      </c>
      <c r="O32" s="99">
        <f>L32*O24</f>
        <v>0</v>
      </c>
      <c r="P32" s="99"/>
      <c r="Q32" s="99"/>
      <c r="R32" s="99"/>
      <c r="S32" s="99"/>
      <c r="T32" s="102"/>
      <c r="U32" s="102"/>
      <c r="V32" s="105"/>
      <c r="W32" s="104">
        <f t="shared" si="19"/>
        <v>0</v>
      </c>
      <c r="X32" s="104">
        <f t="shared" si="20"/>
        <v>0</v>
      </c>
      <c r="Y32" s="104">
        <f t="shared" si="21"/>
        <v>0</v>
      </c>
      <c r="Z32" s="109" t="e">
        <f t="shared" si="22"/>
        <v>#DIV/0!</v>
      </c>
      <c r="AA32" s="110" t="e">
        <f t="shared" si="23"/>
        <v>#DIV/0!</v>
      </c>
    </row>
    <row r="33" spans="3:27" x14ac:dyDescent="0.25">
      <c r="C33" s="87"/>
      <c r="D33" s="87">
        <v>1585</v>
      </c>
      <c r="E33" s="87">
        <v>1509496.87</v>
      </c>
      <c r="F33" s="88">
        <f>E33/60</f>
        <v>25158.2811666667</v>
      </c>
      <c r="G33" s="88">
        <f>E33*1.5%</f>
        <v>22642.45305</v>
      </c>
      <c r="H33" s="87">
        <f>E33*0.5%</f>
        <v>7547.4843499999997</v>
      </c>
      <c r="I33" s="88">
        <f>F33+G33+H33</f>
        <v>55348.218566666699</v>
      </c>
      <c r="J33" s="88">
        <f t="shared" si="24"/>
        <v>56178.441845166701</v>
      </c>
      <c r="K33" s="88">
        <f t="shared" si="17"/>
        <v>4681.5368204305596</v>
      </c>
      <c r="L33" s="88">
        <f>K33*L24</f>
        <v>3277.0757743013901</v>
      </c>
      <c r="M33" s="88">
        <f>L33*M24</f>
        <v>2621.6606194411102</v>
      </c>
      <c r="N33" s="88">
        <f>L33*N24</f>
        <v>2949.3681968712499</v>
      </c>
      <c r="O33" s="99">
        <f>L33*O24</f>
        <v>3277.0757743013901</v>
      </c>
      <c r="P33" s="99"/>
      <c r="Q33" s="99"/>
      <c r="R33" s="99"/>
      <c r="S33" s="99"/>
      <c r="T33" s="102"/>
      <c r="U33" s="102"/>
      <c r="V33" s="107"/>
      <c r="W33" s="104">
        <f t="shared" si="19"/>
        <v>4681.5368204305596</v>
      </c>
      <c r="X33" s="104">
        <f t="shared" si="20"/>
        <v>2621.6606194411102</v>
      </c>
      <c r="Y33" s="104">
        <f t="shared" si="21"/>
        <v>2096.52343055556</v>
      </c>
      <c r="Z33" s="109">
        <f t="shared" si="22"/>
        <v>44.782803403493098</v>
      </c>
      <c r="AA33" s="110">
        <f t="shared" si="23"/>
        <v>1174.0531211111099</v>
      </c>
    </row>
    <row r="34" spans="3:27" x14ac:dyDescent="0.25"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82"/>
      <c r="U34" s="82"/>
      <c r="V34" s="105"/>
      <c r="W34" s="104">
        <f t="shared" si="19"/>
        <v>0</v>
      </c>
      <c r="X34" s="104">
        <f t="shared" si="20"/>
        <v>0</v>
      </c>
      <c r="Y34" s="104">
        <f t="shared" si="21"/>
        <v>0</v>
      </c>
      <c r="Z34" s="109" t="e">
        <f t="shared" si="22"/>
        <v>#DIV/0!</v>
      </c>
      <c r="AA34" s="110" t="e">
        <f t="shared" si="23"/>
        <v>#DIV/0!</v>
      </c>
    </row>
    <row r="35" spans="3:27" x14ac:dyDescent="0.25"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</row>
    <row r="36" spans="3:27" x14ac:dyDescent="0.25"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9" zoomScale="70" zoomScaleNormal="70" workbookViewId="0">
      <selection activeCell="B39" sqref="B39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9.57031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78" t="s">
        <v>0</v>
      </c>
    </row>
    <row r="7" spans="1:27" ht="147" customHeight="1" x14ac:dyDescent="0.25">
      <c r="A7" s="203" t="s">
        <v>1</v>
      </c>
      <c r="B7" s="203" t="s">
        <v>2</v>
      </c>
      <c r="C7" s="188" t="s">
        <v>3</v>
      </c>
      <c r="D7" s="188" t="s">
        <v>4</v>
      </c>
      <c r="E7" s="188" t="s">
        <v>5</v>
      </c>
      <c r="F7" s="188" t="s">
        <v>6</v>
      </c>
      <c r="G7" s="188" t="s">
        <v>7</v>
      </c>
      <c r="H7" s="188" t="s">
        <v>8</v>
      </c>
      <c r="I7" s="188" t="s">
        <v>9</v>
      </c>
      <c r="J7" s="93" t="s">
        <v>10</v>
      </c>
      <c r="K7" s="188" t="s">
        <v>11</v>
      </c>
      <c r="L7" s="93" t="s">
        <v>12</v>
      </c>
      <c r="M7" s="192" t="s">
        <v>13</v>
      </c>
      <c r="N7" s="193"/>
      <c r="O7" s="194"/>
      <c r="P7" s="188" t="s">
        <v>14</v>
      </c>
      <c r="Q7" s="195" t="s">
        <v>15</v>
      </c>
      <c r="R7" s="196"/>
      <c r="S7" s="196"/>
      <c r="T7" s="197"/>
      <c r="U7" s="190" t="s">
        <v>16</v>
      </c>
      <c r="V7" s="201" t="s">
        <v>17</v>
      </c>
      <c r="W7" s="198" t="s">
        <v>18</v>
      </c>
      <c r="X7" s="199"/>
      <c r="Y7" s="199"/>
      <c r="Z7" s="200"/>
      <c r="AA7" s="186" t="s">
        <v>19</v>
      </c>
    </row>
    <row r="8" spans="1:27" ht="66.599999999999994" customHeight="1" x14ac:dyDescent="0.25">
      <c r="A8" s="204"/>
      <c r="B8" s="204"/>
      <c r="C8" s="189"/>
      <c r="D8" s="189"/>
      <c r="E8" s="189"/>
      <c r="F8" s="189"/>
      <c r="G8" s="189"/>
      <c r="H8" s="189"/>
      <c r="I8" s="189"/>
      <c r="J8" s="93">
        <v>10.4</v>
      </c>
      <c r="K8" s="189"/>
      <c r="L8" s="93">
        <v>0.7</v>
      </c>
      <c r="M8" s="94">
        <v>0.8</v>
      </c>
      <c r="N8" s="95">
        <v>0.9</v>
      </c>
      <c r="O8" s="96">
        <v>1</v>
      </c>
      <c r="P8" s="189"/>
      <c r="Q8" s="97">
        <v>0.1</v>
      </c>
      <c r="R8" s="100">
        <v>0.2</v>
      </c>
      <c r="S8" s="100">
        <v>0.3</v>
      </c>
      <c r="T8" s="100">
        <v>0.1</v>
      </c>
      <c r="U8" s="191"/>
      <c r="V8" s="202"/>
      <c r="W8" s="101" t="s">
        <v>20</v>
      </c>
      <c r="X8" s="101" t="s">
        <v>21</v>
      </c>
      <c r="Y8" s="101" t="s">
        <v>22</v>
      </c>
      <c r="Z8" s="101" t="s">
        <v>23</v>
      </c>
      <c r="AA8" s="187"/>
    </row>
    <row r="9" spans="1:27" x14ac:dyDescent="0.25">
      <c r="A9" s="105"/>
      <c r="B9" s="105"/>
      <c r="C9" s="79">
        <v>0</v>
      </c>
      <c r="D9" s="79">
        <v>1</v>
      </c>
      <c r="E9" s="79">
        <v>2</v>
      </c>
      <c r="F9" s="79" t="s">
        <v>24</v>
      </c>
      <c r="G9" s="79" t="s">
        <v>25</v>
      </c>
      <c r="H9" s="79" t="s">
        <v>26</v>
      </c>
      <c r="I9" s="79" t="s">
        <v>27</v>
      </c>
      <c r="J9" s="79" t="s">
        <v>28</v>
      </c>
      <c r="K9" s="79" t="s">
        <v>29</v>
      </c>
      <c r="L9" s="79" t="s">
        <v>30</v>
      </c>
      <c r="M9" s="79" t="s">
        <v>31</v>
      </c>
      <c r="N9" s="79" t="s">
        <v>32</v>
      </c>
      <c r="O9" s="79" t="s">
        <v>32</v>
      </c>
      <c r="P9" s="79">
        <v>10</v>
      </c>
      <c r="Q9" s="98" t="s">
        <v>33</v>
      </c>
      <c r="R9" s="98" t="s">
        <v>34</v>
      </c>
      <c r="S9" s="98" t="s">
        <v>35</v>
      </c>
      <c r="T9" s="98" t="s">
        <v>36</v>
      </c>
      <c r="U9" s="98" t="s">
        <v>37</v>
      </c>
      <c r="V9" s="98" t="s">
        <v>38</v>
      </c>
      <c r="W9" s="79">
        <v>13</v>
      </c>
      <c r="X9" s="98" t="s">
        <v>39</v>
      </c>
      <c r="Y9" s="98" t="s">
        <v>40</v>
      </c>
      <c r="Z9" s="98" t="s">
        <v>41</v>
      </c>
      <c r="AA9" s="79">
        <v>14</v>
      </c>
    </row>
    <row r="10" spans="1:27" x14ac:dyDescent="0.25">
      <c r="A10" s="81">
        <v>1</v>
      </c>
      <c r="B10" s="105"/>
      <c r="C10" s="81">
        <v>1</v>
      </c>
      <c r="D10" s="81">
        <v>61.69</v>
      </c>
      <c r="E10" s="81">
        <f>E20</f>
        <v>94343.554375000007</v>
      </c>
      <c r="F10" s="82">
        <f t="shared" ref="F10:F12" si="0">E10/60</f>
        <v>1572.3925729166699</v>
      </c>
      <c r="G10" s="82">
        <f t="shared" ref="G10:G12" si="1">E10*1.5%</f>
        <v>1415.153315625</v>
      </c>
      <c r="H10" s="81">
        <f t="shared" ref="H10:H12" si="2">E10*0%</f>
        <v>0</v>
      </c>
      <c r="I10" s="82">
        <f t="shared" ref="I10:I12" si="3">F10+G10+H10</f>
        <v>2987.5458885416701</v>
      </c>
      <c r="J10" s="82">
        <f t="shared" ref="J10:J12" si="4">I10*(100%+10.4%)</f>
        <v>3298.2506609500001</v>
      </c>
      <c r="K10" s="82">
        <f t="shared" ref="K10:K12" si="5">J10/12</f>
        <v>274.854221745833</v>
      </c>
      <c r="L10" s="82">
        <f t="shared" ref="L10:L12" si="6">K10*0.7</f>
        <v>192.397955222083</v>
      </c>
      <c r="M10" s="82">
        <f>L10*M8</f>
        <v>153.918364177667</v>
      </c>
      <c r="N10" s="82">
        <f>L10*N8</f>
        <v>173.158159699875</v>
      </c>
      <c r="O10" s="82">
        <f>L10*O8</f>
        <v>192.397955222083</v>
      </c>
      <c r="P10" s="82"/>
      <c r="Q10" s="82"/>
      <c r="R10" s="82"/>
      <c r="S10" s="82"/>
      <c r="T10" s="102"/>
      <c r="U10" s="102"/>
      <c r="V10" s="103">
        <v>53</v>
      </c>
      <c r="W10" s="104">
        <f>K10</f>
        <v>274.854221745833</v>
      </c>
      <c r="X10" s="104">
        <f>M10</f>
        <v>153.918364177667</v>
      </c>
      <c r="Y10" s="104">
        <f t="shared" ref="Y10:Y12" si="7">F10/12</f>
        <v>131.03271440972199</v>
      </c>
      <c r="Z10" s="109">
        <f>(Y10/W10)*100</f>
        <v>47.673531655224998</v>
      </c>
      <c r="AA10" s="110">
        <f>X10*Z10%</f>
        <v>73.378320069444399</v>
      </c>
    </row>
    <row r="11" spans="1:27" x14ac:dyDescent="0.25">
      <c r="A11" s="81">
        <v>2</v>
      </c>
      <c r="B11" s="105"/>
      <c r="C11" s="81">
        <v>2</v>
      </c>
      <c r="D11" s="81"/>
      <c r="E11" s="81">
        <v>1509496.87</v>
      </c>
      <c r="F11" s="82">
        <f t="shared" si="0"/>
        <v>25158.2811666667</v>
      </c>
      <c r="G11" s="82">
        <f t="shared" si="1"/>
        <v>22642.45305</v>
      </c>
      <c r="H11" s="81">
        <f t="shared" si="2"/>
        <v>0</v>
      </c>
      <c r="I11" s="82">
        <f t="shared" si="3"/>
        <v>47800.7342166667</v>
      </c>
      <c r="J11" s="82">
        <f t="shared" si="4"/>
        <v>52772.010575200002</v>
      </c>
      <c r="K11" s="82">
        <f t="shared" si="5"/>
        <v>4397.6675479333298</v>
      </c>
      <c r="L11" s="82">
        <f t="shared" si="6"/>
        <v>3078.3672835533298</v>
      </c>
      <c r="M11" s="82">
        <f>L11*M8</f>
        <v>2462.6938268426702</v>
      </c>
      <c r="N11" s="82">
        <f>L11*N8</f>
        <v>2770.530555198</v>
      </c>
      <c r="O11" s="82">
        <f>L11*O8</f>
        <v>3078.3672835533298</v>
      </c>
      <c r="P11" s="82"/>
      <c r="Q11" s="82"/>
      <c r="R11" s="82"/>
      <c r="S11" s="82"/>
      <c r="T11" s="102"/>
      <c r="U11" s="102"/>
      <c r="V11" s="103">
        <v>73</v>
      </c>
      <c r="W11" s="104">
        <f t="shared" ref="W11:W12" si="8">K11</f>
        <v>4397.6675479333298</v>
      </c>
      <c r="X11" s="104">
        <f t="shared" ref="X11:X12" si="9">M11</f>
        <v>2462.6938268426702</v>
      </c>
      <c r="Y11" s="104">
        <f t="shared" si="7"/>
        <v>2096.52343055556</v>
      </c>
      <c r="Z11" s="109">
        <f t="shared" ref="Z11:Z12" si="10">(Y11/W11)*100</f>
        <v>47.673531655224998</v>
      </c>
      <c r="AA11" s="109">
        <f>X11*Z11%</f>
        <v>1174.0531211111099</v>
      </c>
    </row>
    <row r="12" spans="1:27" x14ac:dyDescent="0.25">
      <c r="A12" s="81">
        <v>3</v>
      </c>
      <c r="B12" s="105"/>
      <c r="C12" s="81"/>
      <c r="D12" s="81"/>
      <c r="E12" s="81">
        <v>1509496.87</v>
      </c>
      <c r="F12" s="82">
        <f t="shared" si="0"/>
        <v>25158.2811666667</v>
      </c>
      <c r="G12" s="82">
        <f t="shared" si="1"/>
        <v>22642.45305</v>
      </c>
      <c r="H12" s="81">
        <f t="shared" si="2"/>
        <v>0</v>
      </c>
      <c r="I12" s="82">
        <f t="shared" si="3"/>
        <v>47800.7342166667</v>
      </c>
      <c r="J12" s="82">
        <f t="shared" si="4"/>
        <v>52772.010575200002</v>
      </c>
      <c r="K12" s="82">
        <f t="shared" si="5"/>
        <v>4397.6675479333298</v>
      </c>
      <c r="L12" s="82">
        <f t="shared" si="6"/>
        <v>3078.3672835533298</v>
      </c>
      <c r="M12" s="82">
        <f>L12*M8</f>
        <v>2462.6938268426702</v>
      </c>
      <c r="N12" s="82">
        <f>L12*N8</f>
        <v>2770.530555198</v>
      </c>
      <c r="O12" s="82">
        <f>L12*O8</f>
        <v>3078.3672835533298</v>
      </c>
      <c r="P12" s="82"/>
      <c r="Q12" s="82"/>
      <c r="R12" s="82"/>
      <c r="S12" s="82"/>
      <c r="T12" s="102"/>
      <c r="U12" s="102"/>
      <c r="V12" s="103"/>
      <c r="W12" s="104">
        <f t="shared" si="8"/>
        <v>4397.6675479333298</v>
      </c>
      <c r="X12" s="104">
        <f t="shared" si="9"/>
        <v>2462.6938268426702</v>
      </c>
      <c r="Y12" s="104">
        <f t="shared" si="7"/>
        <v>2096.52343055556</v>
      </c>
      <c r="Z12" s="109">
        <f t="shared" si="10"/>
        <v>47.673531655224998</v>
      </c>
      <c r="AA12" s="109">
        <f t="shared" ref="AA12" si="11">X12*Z12%</f>
        <v>1174.0531211111099</v>
      </c>
    </row>
    <row r="13" spans="1:27" x14ac:dyDescent="0.25">
      <c r="A13" s="83">
        <v>4</v>
      </c>
      <c r="B13" s="105"/>
      <c r="C13" s="83"/>
      <c r="D13" s="81"/>
      <c r="E13" s="81"/>
      <c r="F13" s="82"/>
      <c r="G13" s="82"/>
      <c r="H13" s="81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102"/>
      <c r="U13" s="102"/>
      <c r="V13" s="105"/>
      <c r="W13" s="105"/>
      <c r="X13" s="105"/>
      <c r="Y13" s="105"/>
      <c r="Z13" s="105"/>
      <c r="AA13" s="105"/>
    </row>
    <row r="14" spans="1:27" x14ac:dyDescent="0.25">
      <c r="A14" s="83">
        <v>5</v>
      </c>
      <c r="B14" s="105"/>
      <c r="C14" s="83"/>
      <c r="D14" s="81"/>
      <c r="E14" s="81"/>
      <c r="F14" s="82"/>
      <c r="G14" s="82"/>
      <c r="H14" s="81"/>
      <c r="I14" s="82"/>
      <c r="J14" s="82"/>
      <c r="K14" s="82">
        <v>274.85000000000002</v>
      </c>
      <c r="L14" s="82"/>
      <c r="M14" s="82"/>
      <c r="N14" s="82"/>
      <c r="O14" s="82"/>
      <c r="P14" s="82"/>
      <c r="Q14" s="82"/>
      <c r="R14" s="82"/>
      <c r="S14" s="82"/>
      <c r="T14" s="102"/>
      <c r="U14" s="102"/>
      <c r="V14" s="105"/>
      <c r="W14" s="104"/>
      <c r="X14" s="104"/>
      <c r="Y14" s="104"/>
      <c r="Z14" s="109"/>
      <c r="AA14" s="110"/>
    </row>
    <row r="15" spans="1:27" x14ac:dyDescent="0.25">
      <c r="A15" s="83">
        <v>6</v>
      </c>
      <c r="B15" s="105"/>
      <c r="C15" s="83"/>
      <c r="D15" s="81"/>
      <c r="E15" s="82"/>
      <c r="F15" s="82"/>
      <c r="G15" s="82"/>
      <c r="H15" s="8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102"/>
      <c r="U15" s="102"/>
      <c r="V15" s="105"/>
      <c r="W15" s="105"/>
      <c r="X15" s="105"/>
      <c r="Y15" s="105"/>
      <c r="Z15" s="109"/>
      <c r="AA15" s="110"/>
    </row>
    <row r="16" spans="1:27" x14ac:dyDescent="0.25">
      <c r="A16" s="81">
        <v>7</v>
      </c>
      <c r="B16" s="105"/>
      <c r="C16" s="81"/>
      <c r="D16" s="81"/>
      <c r="E16" s="81"/>
      <c r="F16" s="81">
        <v>1699.28</v>
      </c>
      <c r="G16" s="81"/>
      <c r="H16" s="81"/>
      <c r="I16" s="81"/>
      <c r="J16" s="81"/>
      <c r="K16" s="81"/>
      <c r="L16" s="81"/>
      <c r="M16" s="82"/>
      <c r="N16" s="81"/>
      <c r="O16" s="82"/>
      <c r="P16" s="82"/>
      <c r="Q16" s="82"/>
      <c r="R16" s="82"/>
      <c r="S16" s="82"/>
      <c r="T16" s="102"/>
      <c r="U16" s="102"/>
      <c r="V16" s="105"/>
      <c r="W16" s="105"/>
      <c r="X16" s="105"/>
      <c r="Y16" s="99"/>
      <c r="Z16" s="109"/>
      <c r="AA16" s="110"/>
    </row>
    <row r="17" spans="1:27" x14ac:dyDescent="0.25">
      <c r="A17" s="81">
        <v>8</v>
      </c>
      <c r="B17" s="105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  <c r="N17" s="81"/>
      <c r="O17" s="82"/>
      <c r="P17" s="82"/>
      <c r="Q17" s="82"/>
      <c r="R17" s="82"/>
      <c r="S17" s="82"/>
      <c r="T17" s="102"/>
      <c r="U17" s="102"/>
      <c r="V17" s="105"/>
      <c r="W17" s="105"/>
      <c r="X17" s="105"/>
      <c r="Y17" s="105"/>
      <c r="Z17" s="105"/>
      <c r="AA17" s="105"/>
    </row>
    <row r="18" spans="1:27" x14ac:dyDescent="0.25">
      <c r="A18" s="81">
        <v>9</v>
      </c>
      <c r="B18" s="105"/>
      <c r="C18" s="81"/>
      <c r="D18" s="81"/>
      <c r="E18" s="81"/>
      <c r="F18" s="82"/>
      <c r="G18" s="82"/>
      <c r="H18" s="81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102"/>
      <c r="U18" s="102"/>
      <c r="V18" s="92"/>
      <c r="W18" s="105"/>
      <c r="X18" s="105"/>
      <c r="Y18" s="92"/>
      <c r="Z18" s="105"/>
      <c r="AA18" s="105"/>
    </row>
    <row r="19" spans="1:27" x14ac:dyDescent="0.25">
      <c r="A19" s="111"/>
    </row>
    <row r="20" spans="1:27" x14ac:dyDescent="0.25">
      <c r="A20" s="111"/>
      <c r="E20" s="1">
        <f>E12/16</f>
        <v>94343.554375000007</v>
      </c>
    </row>
    <row r="21" spans="1:27" x14ac:dyDescent="0.25">
      <c r="A21" s="111"/>
      <c r="C21" s="78" t="s">
        <v>42</v>
      </c>
    </row>
    <row r="22" spans="1:27" x14ac:dyDescent="0.25">
      <c r="A22" s="111"/>
    </row>
    <row r="23" spans="1:27" ht="175.15" customHeight="1" x14ac:dyDescent="0.25">
      <c r="A23" s="203" t="s">
        <v>1</v>
      </c>
      <c r="B23" s="203" t="s">
        <v>2</v>
      </c>
      <c r="C23" s="188" t="s">
        <v>3</v>
      </c>
      <c r="D23" s="188" t="s">
        <v>4</v>
      </c>
      <c r="E23" s="188" t="s">
        <v>5</v>
      </c>
      <c r="F23" s="188" t="s">
        <v>6</v>
      </c>
      <c r="G23" s="188" t="s">
        <v>7</v>
      </c>
      <c r="H23" s="188" t="s">
        <v>8</v>
      </c>
      <c r="I23" s="188" t="s">
        <v>9</v>
      </c>
      <c r="J23" s="93" t="s">
        <v>10</v>
      </c>
      <c r="K23" s="188" t="s">
        <v>11</v>
      </c>
      <c r="L23" s="93" t="s">
        <v>12</v>
      </c>
      <c r="M23" s="192" t="s">
        <v>13</v>
      </c>
      <c r="N23" s="193"/>
      <c r="O23" s="194"/>
      <c r="P23" s="188" t="s">
        <v>14</v>
      </c>
      <c r="Q23" s="195" t="s">
        <v>15</v>
      </c>
      <c r="R23" s="196"/>
      <c r="S23" s="196"/>
      <c r="T23" s="197"/>
      <c r="U23" s="190" t="s">
        <v>16</v>
      </c>
      <c r="V23" s="201" t="s">
        <v>17</v>
      </c>
      <c r="W23" s="198" t="s">
        <v>18</v>
      </c>
      <c r="X23" s="199"/>
      <c r="Y23" s="199"/>
      <c r="Z23" s="200"/>
      <c r="AA23" s="186" t="s">
        <v>19</v>
      </c>
    </row>
    <row r="24" spans="1:27" ht="51" x14ac:dyDescent="0.25">
      <c r="A24" s="204"/>
      <c r="B24" s="204"/>
      <c r="C24" s="189"/>
      <c r="D24" s="189"/>
      <c r="E24" s="189"/>
      <c r="F24" s="189"/>
      <c r="G24" s="189"/>
      <c r="H24" s="189"/>
      <c r="I24" s="189"/>
      <c r="J24" s="93">
        <v>10.4</v>
      </c>
      <c r="K24" s="189"/>
      <c r="L24" s="93">
        <v>0.7</v>
      </c>
      <c r="M24" s="94">
        <v>0.8</v>
      </c>
      <c r="N24" s="95">
        <v>0.9</v>
      </c>
      <c r="O24" s="96">
        <v>1</v>
      </c>
      <c r="P24" s="189"/>
      <c r="Q24" s="97">
        <v>0.1</v>
      </c>
      <c r="R24" s="100">
        <v>0.2</v>
      </c>
      <c r="S24" s="100">
        <v>0.3</v>
      </c>
      <c r="T24" s="100">
        <v>0.1</v>
      </c>
      <c r="U24" s="191"/>
      <c r="V24" s="202"/>
      <c r="W24" s="101" t="s">
        <v>20</v>
      </c>
      <c r="X24" s="101" t="s">
        <v>21</v>
      </c>
      <c r="Y24" s="101" t="s">
        <v>22</v>
      </c>
      <c r="Z24" s="101" t="s">
        <v>23</v>
      </c>
      <c r="AA24" s="187"/>
    </row>
    <row r="25" spans="1:27" x14ac:dyDescent="0.25">
      <c r="A25" s="105"/>
      <c r="B25" s="105"/>
      <c r="C25" s="79">
        <v>0</v>
      </c>
      <c r="D25" s="79">
        <v>1</v>
      </c>
      <c r="E25" s="79">
        <v>2</v>
      </c>
      <c r="F25" s="79" t="s">
        <v>24</v>
      </c>
      <c r="G25" s="79" t="s">
        <v>25</v>
      </c>
      <c r="H25" s="79" t="s">
        <v>26</v>
      </c>
      <c r="I25" s="79" t="s">
        <v>27</v>
      </c>
      <c r="J25" s="79" t="s">
        <v>28</v>
      </c>
      <c r="K25" s="79" t="s">
        <v>29</v>
      </c>
      <c r="L25" s="79" t="s">
        <v>30</v>
      </c>
      <c r="M25" s="79" t="s">
        <v>31</v>
      </c>
      <c r="N25" s="79" t="s">
        <v>32</v>
      </c>
      <c r="O25" s="79" t="s">
        <v>32</v>
      </c>
      <c r="P25" s="79">
        <v>10</v>
      </c>
      <c r="Q25" s="98" t="s">
        <v>33</v>
      </c>
      <c r="R25" s="98" t="s">
        <v>34</v>
      </c>
      <c r="S25" s="98" t="s">
        <v>35</v>
      </c>
      <c r="T25" s="98" t="s">
        <v>36</v>
      </c>
      <c r="U25" s="98" t="s">
        <v>37</v>
      </c>
      <c r="V25" s="98" t="s">
        <v>38</v>
      </c>
      <c r="W25" s="79">
        <v>13</v>
      </c>
      <c r="X25" s="98" t="s">
        <v>39</v>
      </c>
      <c r="Y25" s="98" t="s">
        <v>40</v>
      </c>
      <c r="Z25" s="98" t="s">
        <v>41</v>
      </c>
      <c r="AA25" s="79">
        <v>14</v>
      </c>
    </row>
    <row r="26" spans="1:27" x14ac:dyDescent="0.25">
      <c r="A26" s="81">
        <v>1</v>
      </c>
      <c r="B26" s="105"/>
      <c r="C26" s="87"/>
      <c r="D26" s="87"/>
      <c r="E26" s="87">
        <v>1509496.87</v>
      </c>
      <c r="F26" s="88">
        <f t="shared" ref="F26:F30" si="12">E26/60</f>
        <v>25158.2811666667</v>
      </c>
      <c r="G26" s="88">
        <f t="shared" ref="G26:G30" si="13">E26*1.5%</f>
        <v>22642.45305</v>
      </c>
      <c r="H26" s="88">
        <f t="shared" ref="H26:H30" si="14">E26*0.5%</f>
        <v>7547.4843499999997</v>
      </c>
      <c r="I26" s="88">
        <f t="shared" ref="I26:I30" si="15">F26+G26+H26</f>
        <v>55348.218566666699</v>
      </c>
      <c r="J26" s="88">
        <f t="shared" ref="J26:J29" si="16">I26*(100%+10.4%)</f>
        <v>61104.433297600001</v>
      </c>
      <c r="K26" s="88">
        <f t="shared" ref="K26:K33" si="17">J26/12</f>
        <v>5092.0361081333303</v>
      </c>
      <c r="L26" s="88">
        <f>K26*L24</f>
        <v>3564.4252756933301</v>
      </c>
      <c r="M26" s="82">
        <f>L26*M24</f>
        <v>2851.5402205546702</v>
      </c>
      <c r="N26" s="82">
        <f>L26*N24</f>
        <v>3207.982748124</v>
      </c>
      <c r="O26" s="82">
        <f>L26*O24</f>
        <v>3564.4252756933301</v>
      </c>
      <c r="P26" s="82"/>
      <c r="Q26" s="82"/>
      <c r="R26" s="82"/>
      <c r="S26" s="82"/>
      <c r="T26" s="102"/>
      <c r="U26" s="102"/>
      <c r="V26" s="103">
        <v>53</v>
      </c>
      <c r="W26" s="104">
        <f>K26</f>
        <v>5092.0361081333303</v>
      </c>
      <c r="X26" s="104">
        <f>M26</f>
        <v>2851.5402205546702</v>
      </c>
      <c r="Y26" s="104">
        <f>F26/12</f>
        <v>2096.52343055556</v>
      </c>
      <c r="Z26" s="109">
        <f>(Y26/W26)*100</f>
        <v>41.172595520421602</v>
      </c>
      <c r="AA26" s="110">
        <f>X26*Z26%</f>
        <v>1174.0531211111099</v>
      </c>
    </row>
    <row r="27" spans="1:27" x14ac:dyDescent="0.25">
      <c r="A27" s="81">
        <v>2</v>
      </c>
      <c r="B27" s="105"/>
      <c r="C27" s="87"/>
      <c r="D27" s="87"/>
      <c r="E27" s="87">
        <v>1509496.87</v>
      </c>
      <c r="F27" s="88">
        <f t="shared" si="12"/>
        <v>25158.2811666667</v>
      </c>
      <c r="G27" s="88">
        <f t="shared" si="13"/>
        <v>22642.45305</v>
      </c>
      <c r="H27" s="88">
        <f t="shared" si="14"/>
        <v>7547.4843499999997</v>
      </c>
      <c r="I27" s="88">
        <f t="shared" si="15"/>
        <v>55348.218566666699</v>
      </c>
      <c r="J27" s="88">
        <f t="shared" si="16"/>
        <v>61104.433297600001</v>
      </c>
      <c r="K27" s="88">
        <f t="shared" si="17"/>
        <v>5092.0361081333303</v>
      </c>
      <c r="L27" s="88">
        <f>K27*L24</f>
        <v>3564.4252756933301</v>
      </c>
      <c r="M27" s="88">
        <f>L27*M24</f>
        <v>2851.5402205546702</v>
      </c>
      <c r="N27" s="88">
        <f>L27*N24</f>
        <v>3207.982748124</v>
      </c>
      <c r="O27" s="99">
        <f>L27*O24</f>
        <v>3564.4252756933301</v>
      </c>
      <c r="P27" s="99"/>
      <c r="Q27" s="99"/>
      <c r="R27" s="99"/>
      <c r="S27" s="99"/>
      <c r="T27" s="102">
        <f t="shared" ref="T27:T28" si="18">(M27/12)-(10%)</f>
        <v>237.52835171288899</v>
      </c>
      <c r="U27" s="102"/>
      <c r="V27" s="105"/>
      <c r="W27" s="104">
        <f t="shared" ref="W27:W34" si="19">K27</f>
        <v>5092.0361081333303</v>
      </c>
      <c r="X27" s="104">
        <f t="shared" ref="X27:X34" si="20">M27</f>
        <v>2851.5402205546702</v>
      </c>
      <c r="Y27" s="104">
        <f t="shared" ref="Y27:Y34" si="21">F27/12</f>
        <v>2096.52343055556</v>
      </c>
      <c r="Z27" s="109">
        <f t="shared" ref="Z27:Z34" si="22">(Y27/W27)*100</f>
        <v>41.172595520421602</v>
      </c>
      <c r="AA27" s="110">
        <f t="shared" ref="AA27:AA34" si="23">X27*Z27%</f>
        <v>1174.0531211111099</v>
      </c>
    </row>
    <row r="28" spans="1:27" ht="51" x14ac:dyDescent="0.25">
      <c r="A28" s="81">
        <v>3</v>
      </c>
      <c r="B28" s="105"/>
      <c r="C28" s="89" t="s">
        <v>43</v>
      </c>
      <c r="D28" s="87">
        <v>58</v>
      </c>
      <c r="E28" s="87">
        <v>70207</v>
      </c>
      <c r="F28" s="88">
        <f t="shared" si="12"/>
        <v>1170.11666666667</v>
      </c>
      <c r="G28" s="88">
        <f t="shared" si="13"/>
        <v>1053.105</v>
      </c>
      <c r="H28" s="88">
        <f t="shared" si="14"/>
        <v>351.03500000000003</v>
      </c>
      <c r="I28" s="88">
        <f t="shared" si="15"/>
        <v>2574.2566666666698</v>
      </c>
      <c r="J28" s="88">
        <f t="shared" ref="J28:J33" si="24">I28*(100%+1.5%)</f>
        <v>2612.87051666667</v>
      </c>
      <c r="K28" s="88">
        <f t="shared" si="17"/>
        <v>217.739209722222</v>
      </c>
      <c r="L28" s="88">
        <f>K28*L24</f>
        <v>152.41744680555499</v>
      </c>
      <c r="M28" s="88">
        <f>L28*M24</f>
        <v>121.933957444444</v>
      </c>
      <c r="N28" s="88">
        <f>L28*N24</f>
        <v>137.17570212499999</v>
      </c>
      <c r="O28" s="99">
        <f>L28*O24</f>
        <v>152.41744680555499</v>
      </c>
      <c r="P28" s="99"/>
      <c r="Q28" s="99"/>
      <c r="R28" s="99"/>
      <c r="S28" s="99"/>
      <c r="T28" s="102">
        <f t="shared" si="18"/>
        <v>10.0611631203704</v>
      </c>
      <c r="U28" s="102"/>
      <c r="V28" s="105"/>
      <c r="W28" s="104">
        <f t="shared" si="19"/>
        <v>217.739209722222</v>
      </c>
      <c r="X28" s="104">
        <f t="shared" si="20"/>
        <v>121.933957444444</v>
      </c>
      <c r="Y28" s="104">
        <f t="shared" si="21"/>
        <v>97.509722222222194</v>
      </c>
      <c r="Z28" s="109">
        <f t="shared" si="22"/>
        <v>44.782803403493098</v>
      </c>
      <c r="AA28" s="110">
        <f t="shared" si="23"/>
        <v>54.605444444444402</v>
      </c>
    </row>
    <row r="29" spans="1:27" ht="25.5" x14ac:dyDescent="0.25">
      <c r="A29" s="83">
        <v>4</v>
      </c>
      <c r="B29" s="105"/>
      <c r="C29" s="89" t="s">
        <v>44</v>
      </c>
      <c r="D29" s="87">
        <v>58</v>
      </c>
      <c r="E29" s="87">
        <v>70207</v>
      </c>
      <c r="F29" s="88">
        <f t="shared" si="12"/>
        <v>1170.11666666667</v>
      </c>
      <c r="G29" s="88">
        <f t="shared" si="13"/>
        <v>1053.105</v>
      </c>
      <c r="H29" s="88">
        <f t="shared" si="14"/>
        <v>351.03500000000003</v>
      </c>
      <c r="I29" s="88">
        <f t="shared" si="15"/>
        <v>2574.2566666666698</v>
      </c>
      <c r="J29" s="88">
        <f t="shared" si="16"/>
        <v>2841.9793599999998</v>
      </c>
      <c r="K29" s="88">
        <f t="shared" si="17"/>
        <v>236.831613333333</v>
      </c>
      <c r="L29" s="88">
        <f>K29*L24</f>
        <v>165.78212933333299</v>
      </c>
      <c r="M29" s="88">
        <f>L29*M24</f>
        <v>132.62570346666701</v>
      </c>
      <c r="N29" s="88">
        <f>L29*N24</f>
        <v>149.2039164</v>
      </c>
      <c r="O29" s="99">
        <f>L29*O24</f>
        <v>165.78212933333299</v>
      </c>
      <c r="P29" s="99"/>
      <c r="Q29" s="99"/>
      <c r="R29" s="99"/>
      <c r="S29" s="99"/>
      <c r="T29" s="102"/>
      <c r="U29" s="102"/>
      <c r="V29" s="105"/>
      <c r="W29" s="104">
        <f t="shared" si="19"/>
        <v>236.831613333333</v>
      </c>
      <c r="X29" s="104">
        <f t="shared" si="20"/>
        <v>132.62570346666701</v>
      </c>
      <c r="Y29" s="104">
        <f t="shared" si="21"/>
        <v>97.509722222222194</v>
      </c>
      <c r="Z29" s="109">
        <f t="shared" si="22"/>
        <v>41.172595520421602</v>
      </c>
      <c r="AA29" s="110">
        <f t="shared" si="23"/>
        <v>54.605444444444402</v>
      </c>
    </row>
    <row r="30" spans="1:27" ht="25.5" x14ac:dyDescent="0.25">
      <c r="A30" s="83">
        <v>5</v>
      </c>
      <c r="B30" s="105"/>
      <c r="C30" s="89" t="s">
        <v>45</v>
      </c>
      <c r="D30" s="87"/>
      <c r="E30" s="88">
        <f>E25/D25</f>
        <v>2</v>
      </c>
      <c r="F30" s="88">
        <f t="shared" si="12"/>
        <v>3.3333333333333298E-2</v>
      </c>
      <c r="G30" s="88">
        <f t="shared" si="13"/>
        <v>0.03</v>
      </c>
      <c r="H30" s="88">
        <f t="shared" si="14"/>
        <v>0.01</v>
      </c>
      <c r="I30" s="88">
        <f t="shared" si="15"/>
        <v>7.3333333333333306E-2</v>
      </c>
      <c r="J30" s="88">
        <f t="shared" si="24"/>
        <v>7.4433333333333296E-2</v>
      </c>
      <c r="K30" s="88">
        <f t="shared" si="17"/>
        <v>6.2027777777777801E-3</v>
      </c>
      <c r="L30" s="88">
        <f>K30*L24</f>
        <v>4.3419444444444399E-3</v>
      </c>
      <c r="M30" s="88">
        <f>L30*M24</f>
        <v>3.47355555555555E-3</v>
      </c>
      <c r="N30" s="88">
        <f>L30*N24</f>
        <v>3.9077499999999998E-3</v>
      </c>
      <c r="O30" s="99">
        <f>L30*O24</f>
        <v>4.3419444444444399E-3</v>
      </c>
      <c r="P30" s="99"/>
      <c r="Q30" s="99"/>
      <c r="R30" s="99"/>
      <c r="S30" s="99"/>
      <c r="T30" s="102"/>
      <c r="U30" s="102"/>
      <c r="V30" s="105"/>
      <c r="W30" s="104">
        <f t="shared" si="19"/>
        <v>6.2027777777777801E-3</v>
      </c>
      <c r="X30" s="104">
        <f t="shared" si="20"/>
        <v>3.47355555555555E-3</v>
      </c>
      <c r="Y30" s="104">
        <f t="shared" si="21"/>
        <v>2.7777777777777801E-3</v>
      </c>
      <c r="Z30" s="109">
        <f t="shared" si="22"/>
        <v>44.782803403493098</v>
      </c>
      <c r="AA30" s="110">
        <f t="shared" si="23"/>
        <v>1.55555555555556E-3</v>
      </c>
    </row>
    <row r="31" spans="1:27" x14ac:dyDescent="0.25">
      <c r="A31" s="83">
        <v>6</v>
      </c>
      <c r="B31" s="105"/>
      <c r="C31" s="87"/>
      <c r="D31" s="87"/>
      <c r="E31" s="87"/>
      <c r="F31" s="87"/>
      <c r="G31" s="87"/>
      <c r="H31" s="87"/>
      <c r="I31" s="87"/>
      <c r="J31" s="87">
        <v>1.5</v>
      </c>
      <c r="K31" s="88">
        <f t="shared" si="17"/>
        <v>0.125</v>
      </c>
      <c r="L31" s="88">
        <f>K31*L24</f>
        <v>8.7499999999999994E-2</v>
      </c>
      <c r="M31" s="88">
        <f>L31*M24</f>
        <v>7.0000000000000007E-2</v>
      </c>
      <c r="N31" s="88">
        <f>L31*N24</f>
        <v>7.8750000000000001E-2</v>
      </c>
      <c r="O31" s="99">
        <f>L31*O24</f>
        <v>8.7499999999999994E-2</v>
      </c>
      <c r="P31" s="99"/>
      <c r="Q31" s="99"/>
      <c r="R31" s="99"/>
      <c r="S31" s="99"/>
      <c r="T31" s="102"/>
      <c r="U31" s="102"/>
      <c r="V31" s="105"/>
      <c r="W31" s="104">
        <f t="shared" si="19"/>
        <v>0.125</v>
      </c>
      <c r="X31" s="104">
        <f t="shared" si="20"/>
        <v>7.0000000000000007E-2</v>
      </c>
      <c r="Y31" s="104">
        <f t="shared" si="21"/>
        <v>0</v>
      </c>
      <c r="Z31" s="109">
        <f t="shared" si="22"/>
        <v>0</v>
      </c>
      <c r="AA31" s="110">
        <f t="shared" si="23"/>
        <v>0</v>
      </c>
    </row>
    <row r="32" spans="1:27" x14ac:dyDescent="0.25">
      <c r="A32" s="81">
        <v>7</v>
      </c>
      <c r="B32" s="105"/>
      <c r="C32" s="87"/>
      <c r="D32" s="87"/>
      <c r="E32" s="87"/>
      <c r="F32" s="87"/>
      <c r="G32" s="87"/>
      <c r="H32" s="87"/>
      <c r="I32" s="87"/>
      <c r="J32" s="87"/>
      <c r="K32" s="88">
        <f t="shared" si="17"/>
        <v>0</v>
      </c>
      <c r="L32" s="88">
        <f>K32*L24</f>
        <v>0</v>
      </c>
      <c r="M32" s="88">
        <f>L32*M24</f>
        <v>0</v>
      </c>
      <c r="N32" s="88">
        <f>L32*N24</f>
        <v>0</v>
      </c>
      <c r="O32" s="99">
        <f>L32*O24</f>
        <v>0</v>
      </c>
      <c r="P32" s="99"/>
      <c r="Q32" s="99"/>
      <c r="R32" s="99"/>
      <c r="S32" s="99"/>
      <c r="T32" s="102"/>
      <c r="U32" s="102"/>
      <c r="V32" s="105"/>
      <c r="W32" s="104">
        <f t="shared" si="19"/>
        <v>0</v>
      </c>
      <c r="X32" s="104">
        <f t="shared" si="20"/>
        <v>0</v>
      </c>
      <c r="Y32" s="104">
        <f t="shared" si="21"/>
        <v>0</v>
      </c>
      <c r="Z32" s="109" t="e">
        <f t="shared" si="22"/>
        <v>#DIV/0!</v>
      </c>
      <c r="AA32" s="110" t="e">
        <f t="shared" si="23"/>
        <v>#DIV/0!</v>
      </c>
    </row>
    <row r="33" spans="3:27" x14ac:dyDescent="0.25">
      <c r="C33" s="87"/>
      <c r="D33" s="87">
        <v>1585</v>
      </c>
      <c r="E33" s="87">
        <v>1509496.87</v>
      </c>
      <c r="F33" s="88">
        <f>E33/60</f>
        <v>25158.2811666667</v>
      </c>
      <c r="G33" s="88">
        <f>E33*1.5%</f>
        <v>22642.45305</v>
      </c>
      <c r="H33" s="87">
        <f>E33*0.5%</f>
        <v>7547.4843499999997</v>
      </c>
      <c r="I33" s="88">
        <f>F33+G33+H33</f>
        <v>55348.218566666699</v>
      </c>
      <c r="J33" s="88">
        <f t="shared" si="24"/>
        <v>56178.441845166701</v>
      </c>
      <c r="K33" s="88">
        <f t="shared" si="17"/>
        <v>4681.5368204305596</v>
      </c>
      <c r="L33" s="88">
        <f>K33*L24</f>
        <v>3277.0757743013901</v>
      </c>
      <c r="M33" s="88">
        <f>L33*M24</f>
        <v>2621.6606194411102</v>
      </c>
      <c r="N33" s="88">
        <f>L33*N24</f>
        <v>2949.3681968712499</v>
      </c>
      <c r="O33" s="99">
        <f>L33*O24</f>
        <v>3277.0757743013901</v>
      </c>
      <c r="P33" s="99"/>
      <c r="Q33" s="99"/>
      <c r="R33" s="99"/>
      <c r="S33" s="99"/>
      <c r="T33" s="102"/>
      <c r="U33" s="102"/>
      <c r="V33" s="107"/>
      <c r="W33" s="104">
        <f t="shared" si="19"/>
        <v>4681.5368204305596</v>
      </c>
      <c r="X33" s="104">
        <f t="shared" si="20"/>
        <v>2621.6606194411102</v>
      </c>
      <c r="Y33" s="104">
        <f t="shared" si="21"/>
        <v>2096.52343055556</v>
      </c>
      <c r="Z33" s="109">
        <f t="shared" si="22"/>
        <v>44.782803403493098</v>
      </c>
      <c r="AA33" s="110">
        <f t="shared" si="23"/>
        <v>1174.0531211111099</v>
      </c>
    </row>
    <row r="34" spans="3:27" x14ac:dyDescent="0.25"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82"/>
      <c r="U34" s="82"/>
      <c r="V34" s="105"/>
      <c r="W34" s="104">
        <f t="shared" si="19"/>
        <v>0</v>
      </c>
      <c r="X34" s="104">
        <f t="shared" si="20"/>
        <v>0</v>
      </c>
      <c r="Y34" s="104">
        <f t="shared" si="21"/>
        <v>0</v>
      </c>
      <c r="Z34" s="109" t="e">
        <f t="shared" si="22"/>
        <v>#DIV/0!</v>
      </c>
      <c r="AA34" s="110" t="e">
        <f t="shared" si="23"/>
        <v>#DIV/0!</v>
      </c>
    </row>
    <row r="35" spans="3:27" x14ac:dyDescent="0.25"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</row>
    <row r="36" spans="3:27" x14ac:dyDescent="0.25"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34"/>
  <sheetViews>
    <sheetView zoomScale="70" zoomScaleNormal="70" workbookViewId="0">
      <selection activeCell="B7" sqref="B7:Z9"/>
    </sheetView>
  </sheetViews>
  <sheetFormatPr defaultColWidth="9.140625" defaultRowHeight="12.75" x14ac:dyDescent="0.25"/>
  <cols>
    <col min="1" max="1" width="13.7109375" style="1" customWidth="1"/>
    <col min="2" max="2" width="9.140625" style="1"/>
    <col min="3" max="3" width="9.5703125" style="1"/>
    <col min="4" max="4" width="16.85546875" style="1" customWidth="1"/>
    <col min="5" max="5" width="13.28515625" style="1" customWidth="1"/>
    <col min="6" max="6" width="10.28515625" style="1" customWidth="1"/>
    <col min="7" max="7" width="10.5703125" style="1" customWidth="1"/>
    <col min="8" max="8" width="10.140625" style="1"/>
    <col min="9" max="9" width="12.5703125" style="1" customWidth="1"/>
    <col min="10" max="10" width="9.140625" style="1"/>
    <col min="11" max="11" width="12.7109375" style="1" customWidth="1"/>
    <col min="12" max="12" width="11.42578125" style="1" customWidth="1"/>
    <col min="13" max="13" width="10.42578125" style="1" customWidth="1"/>
    <col min="14" max="15" width="12.28515625" style="1" customWidth="1"/>
    <col min="16" max="16" width="7.28515625" style="1" customWidth="1"/>
    <col min="17" max="17" width="7" style="1" customWidth="1"/>
    <col min="18" max="18" width="6.28515625" style="1" customWidth="1"/>
    <col min="19" max="20" width="7" style="1" customWidth="1"/>
    <col min="21" max="22" width="9.140625" style="1"/>
    <col min="23" max="23" width="9.85546875" style="1" customWidth="1"/>
    <col min="24" max="24" width="10.85546875" style="1" customWidth="1"/>
    <col min="25" max="25" width="10.5703125" style="1" customWidth="1"/>
    <col min="26" max="263" width="9.140625" style="1"/>
    <col min="264" max="264" width="11.28515625" style="1" customWidth="1"/>
    <col min="265" max="265" width="13.28515625" style="1" customWidth="1"/>
    <col min="266" max="266" width="10.7109375" style="1" customWidth="1"/>
    <col min="267" max="267" width="9.5703125" style="1" customWidth="1"/>
    <col min="268" max="269" width="9.140625" style="1"/>
    <col min="270" max="270" width="12.7109375" style="1" customWidth="1"/>
    <col min="271" max="271" width="10.7109375" style="1" customWidth="1"/>
    <col min="272" max="272" width="12.5703125" style="1" customWidth="1"/>
    <col min="273" max="273" width="9.140625" style="1"/>
    <col min="274" max="274" width="11" style="1" customWidth="1"/>
    <col min="275" max="275" width="10.85546875" style="1" customWidth="1"/>
    <col min="276" max="519" width="9.140625" style="1"/>
    <col min="520" max="520" width="11.28515625" style="1" customWidth="1"/>
    <col min="521" max="521" width="13.28515625" style="1" customWidth="1"/>
    <col min="522" max="522" width="10.7109375" style="1" customWidth="1"/>
    <col min="523" max="523" width="9.5703125" style="1" customWidth="1"/>
    <col min="524" max="525" width="9.140625" style="1"/>
    <col min="526" max="526" width="12.7109375" style="1" customWidth="1"/>
    <col min="527" max="527" width="10.7109375" style="1" customWidth="1"/>
    <col min="528" max="528" width="12.5703125" style="1" customWidth="1"/>
    <col min="529" max="529" width="9.140625" style="1"/>
    <col min="530" max="530" width="11" style="1" customWidth="1"/>
    <col min="531" max="531" width="10.85546875" style="1" customWidth="1"/>
    <col min="532" max="775" width="9.140625" style="1"/>
    <col min="776" max="776" width="11.28515625" style="1" customWidth="1"/>
    <col min="777" max="777" width="13.28515625" style="1" customWidth="1"/>
    <col min="778" max="778" width="10.7109375" style="1" customWidth="1"/>
    <col min="779" max="779" width="9.5703125" style="1" customWidth="1"/>
    <col min="780" max="781" width="9.140625" style="1"/>
    <col min="782" max="782" width="12.7109375" style="1" customWidth="1"/>
    <col min="783" max="783" width="10.7109375" style="1" customWidth="1"/>
    <col min="784" max="784" width="12.5703125" style="1" customWidth="1"/>
    <col min="785" max="785" width="9.140625" style="1"/>
    <col min="786" max="786" width="11" style="1" customWidth="1"/>
    <col min="787" max="787" width="10.85546875" style="1" customWidth="1"/>
    <col min="788" max="1031" width="9.140625" style="1"/>
    <col min="1032" max="1032" width="11.28515625" style="1" customWidth="1"/>
    <col min="1033" max="1033" width="13.28515625" style="1" customWidth="1"/>
    <col min="1034" max="1034" width="10.7109375" style="1" customWidth="1"/>
    <col min="1035" max="1035" width="9.5703125" style="1" customWidth="1"/>
    <col min="1036" max="1037" width="9.140625" style="1"/>
    <col min="1038" max="1038" width="12.7109375" style="1" customWidth="1"/>
    <col min="1039" max="1039" width="10.7109375" style="1" customWidth="1"/>
    <col min="1040" max="1040" width="12.5703125" style="1" customWidth="1"/>
    <col min="1041" max="1041" width="9.140625" style="1"/>
    <col min="1042" max="1042" width="11" style="1" customWidth="1"/>
    <col min="1043" max="1043" width="10.85546875" style="1" customWidth="1"/>
    <col min="1044" max="1287" width="9.140625" style="1"/>
    <col min="1288" max="1288" width="11.28515625" style="1" customWidth="1"/>
    <col min="1289" max="1289" width="13.28515625" style="1" customWidth="1"/>
    <col min="1290" max="1290" width="10.7109375" style="1" customWidth="1"/>
    <col min="1291" max="1291" width="9.5703125" style="1" customWidth="1"/>
    <col min="1292" max="1293" width="9.140625" style="1"/>
    <col min="1294" max="1294" width="12.7109375" style="1" customWidth="1"/>
    <col min="1295" max="1295" width="10.7109375" style="1" customWidth="1"/>
    <col min="1296" max="1296" width="12.5703125" style="1" customWidth="1"/>
    <col min="1297" max="1297" width="9.140625" style="1"/>
    <col min="1298" max="1298" width="11" style="1" customWidth="1"/>
    <col min="1299" max="1299" width="10.85546875" style="1" customWidth="1"/>
    <col min="1300" max="1543" width="9.140625" style="1"/>
    <col min="1544" max="1544" width="11.28515625" style="1" customWidth="1"/>
    <col min="1545" max="1545" width="13.28515625" style="1" customWidth="1"/>
    <col min="1546" max="1546" width="10.7109375" style="1" customWidth="1"/>
    <col min="1547" max="1547" width="9.5703125" style="1" customWidth="1"/>
    <col min="1548" max="1549" width="9.140625" style="1"/>
    <col min="1550" max="1550" width="12.7109375" style="1" customWidth="1"/>
    <col min="1551" max="1551" width="10.7109375" style="1" customWidth="1"/>
    <col min="1552" max="1552" width="12.5703125" style="1" customWidth="1"/>
    <col min="1553" max="1553" width="9.140625" style="1"/>
    <col min="1554" max="1554" width="11" style="1" customWidth="1"/>
    <col min="1555" max="1555" width="10.85546875" style="1" customWidth="1"/>
    <col min="1556" max="1799" width="9.140625" style="1"/>
    <col min="1800" max="1800" width="11.28515625" style="1" customWidth="1"/>
    <col min="1801" max="1801" width="13.28515625" style="1" customWidth="1"/>
    <col min="1802" max="1802" width="10.7109375" style="1" customWidth="1"/>
    <col min="1803" max="1803" width="9.5703125" style="1" customWidth="1"/>
    <col min="1804" max="1805" width="9.140625" style="1"/>
    <col min="1806" max="1806" width="12.7109375" style="1" customWidth="1"/>
    <col min="1807" max="1807" width="10.7109375" style="1" customWidth="1"/>
    <col min="1808" max="1808" width="12.5703125" style="1" customWidth="1"/>
    <col min="1809" max="1809" width="9.140625" style="1"/>
    <col min="1810" max="1810" width="11" style="1" customWidth="1"/>
    <col min="1811" max="1811" width="10.85546875" style="1" customWidth="1"/>
    <col min="1812" max="2055" width="9.140625" style="1"/>
    <col min="2056" max="2056" width="11.28515625" style="1" customWidth="1"/>
    <col min="2057" max="2057" width="13.28515625" style="1" customWidth="1"/>
    <col min="2058" max="2058" width="10.7109375" style="1" customWidth="1"/>
    <col min="2059" max="2059" width="9.5703125" style="1" customWidth="1"/>
    <col min="2060" max="2061" width="9.140625" style="1"/>
    <col min="2062" max="2062" width="12.7109375" style="1" customWidth="1"/>
    <col min="2063" max="2063" width="10.7109375" style="1" customWidth="1"/>
    <col min="2064" max="2064" width="12.5703125" style="1" customWidth="1"/>
    <col min="2065" max="2065" width="9.140625" style="1"/>
    <col min="2066" max="2066" width="11" style="1" customWidth="1"/>
    <col min="2067" max="2067" width="10.85546875" style="1" customWidth="1"/>
    <col min="2068" max="2311" width="9.140625" style="1"/>
    <col min="2312" max="2312" width="11.28515625" style="1" customWidth="1"/>
    <col min="2313" max="2313" width="13.28515625" style="1" customWidth="1"/>
    <col min="2314" max="2314" width="10.7109375" style="1" customWidth="1"/>
    <col min="2315" max="2315" width="9.5703125" style="1" customWidth="1"/>
    <col min="2316" max="2317" width="9.140625" style="1"/>
    <col min="2318" max="2318" width="12.7109375" style="1" customWidth="1"/>
    <col min="2319" max="2319" width="10.7109375" style="1" customWidth="1"/>
    <col min="2320" max="2320" width="12.5703125" style="1" customWidth="1"/>
    <col min="2321" max="2321" width="9.140625" style="1"/>
    <col min="2322" max="2322" width="11" style="1" customWidth="1"/>
    <col min="2323" max="2323" width="10.85546875" style="1" customWidth="1"/>
    <col min="2324" max="2567" width="9.140625" style="1"/>
    <col min="2568" max="2568" width="11.28515625" style="1" customWidth="1"/>
    <col min="2569" max="2569" width="13.28515625" style="1" customWidth="1"/>
    <col min="2570" max="2570" width="10.7109375" style="1" customWidth="1"/>
    <col min="2571" max="2571" width="9.5703125" style="1" customWidth="1"/>
    <col min="2572" max="2573" width="9.140625" style="1"/>
    <col min="2574" max="2574" width="12.7109375" style="1" customWidth="1"/>
    <col min="2575" max="2575" width="10.7109375" style="1" customWidth="1"/>
    <col min="2576" max="2576" width="12.5703125" style="1" customWidth="1"/>
    <col min="2577" max="2577" width="9.140625" style="1"/>
    <col min="2578" max="2578" width="11" style="1" customWidth="1"/>
    <col min="2579" max="2579" width="10.85546875" style="1" customWidth="1"/>
    <col min="2580" max="2823" width="9.140625" style="1"/>
    <col min="2824" max="2824" width="11.28515625" style="1" customWidth="1"/>
    <col min="2825" max="2825" width="13.28515625" style="1" customWidth="1"/>
    <col min="2826" max="2826" width="10.7109375" style="1" customWidth="1"/>
    <col min="2827" max="2827" width="9.5703125" style="1" customWidth="1"/>
    <col min="2828" max="2829" width="9.140625" style="1"/>
    <col min="2830" max="2830" width="12.7109375" style="1" customWidth="1"/>
    <col min="2831" max="2831" width="10.7109375" style="1" customWidth="1"/>
    <col min="2832" max="2832" width="12.5703125" style="1" customWidth="1"/>
    <col min="2833" max="2833" width="9.140625" style="1"/>
    <col min="2834" max="2834" width="11" style="1" customWidth="1"/>
    <col min="2835" max="2835" width="10.85546875" style="1" customWidth="1"/>
    <col min="2836" max="3079" width="9.140625" style="1"/>
    <col min="3080" max="3080" width="11.28515625" style="1" customWidth="1"/>
    <col min="3081" max="3081" width="13.28515625" style="1" customWidth="1"/>
    <col min="3082" max="3082" width="10.7109375" style="1" customWidth="1"/>
    <col min="3083" max="3083" width="9.5703125" style="1" customWidth="1"/>
    <col min="3084" max="3085" width="9.140625" style="1"/>
    <col min="3086" max="3086" width="12.7109375" style="1" customWidth="1"/>
    <col min="3087" max="3087" width="10.7109375" style="1" customWidth="1"/>
    <col min="3088" max="3088" width="12.5703125" style="1" customWidth="1"/>
    <col min="3089" max="3089" width="9.140625" style="1"/>
    <col min="3090" max="3090" width="11" style="1" customWidth="1"/>
    <col min="3091" max="3091" width="10.85546875" style="1" customWidth="1"/>
    <col min="3092" max="3335" width="9.140625" style="1"/>
    <col min="3336" max="3336" width="11.28515625" style="1" customWidth="1"/>
    <col min="3337" max="3337" width="13.28515625" style="1" customWidth="1"/>
    <col min="3338" max="3338" width="10.7109375" style="1" customWidth="1"/>
    <col min="3339" max="3339" width="9.5703125" style="1" customWidth="1"/>
    <col min="3340" max="3341" width="9.140625" style="1"/>
    <col min="3342" max="3342" width="12.7109375" style="1" customWidth="1"/>
    <col min="3343" max="3343" width="10.7109375" style="1" customWidth="1"/>
    <col min="3344" max="3344" width="12.5703125" style="1" customWidth="1"/>
    <col min="3345" max="3345" width="9.140625" style="1"/>
    <col min="3346" max="3346" width="11" style="1" customWidth="1"/>
    <col min="3347" max="3347" width="10.85546875" style="1" customWidth="1"/>
    <col min="3348" max="3591" width="9.140625" style="1"/>
    <col min="3592" max="3592" width="11.28515625" style="1" customWidth="1"/>
    <col min="3593" max="3593" width="13.28515625" style="1" customWidth="1"/>
    <col min="3594" max="3594" width="10.7109375" style="1" customWidth="1"/>
    <col min="3595" max="3595" width="9.5703125" style="1" customWidth="1"/>
    <col min="3596" max="3597" width="9.140625" style="1"/>
    <col min="3598" max="3598" width="12.7109375" style="1" customWidth="1"/>
    <col min="3599" max="3599" width="10.7109375" style="1" customWidth="1"/>
    <col min="3600" max="3600" width="12.5703125" style="1" customWidth="1"/>
    <col min="3601" max="3601" width="9.140625" style="1"/>
    <col min="3602" max="3602" width="11" style="1" customWidth="1"/>
    <col min="3603" max="3603" width="10.85546875" style="1" customWidth="1"/>
    <col min="3604" max="3847" width="9.140625" style="1"/>
    <col min="3848" max="3848" width="11.28515625" style="1" customWidth="1"/>
    <col min="3849" max="3849" width="13.28515625" style="1" customWidth="1"/>
    <col min="3850" max="3850" width="10.7109375" style="1" customWidth="1"/>
    <col min="3851" max="3851" width="9.5703125" style="1" customWidth="1"/>
    <col min="3852" max="3853" width="9.140625" style="1"/>
    <col min="3854" max="3854" width="12.7109375" style="1" customWidth="1"/>
    <col min="3855" max="3855" width="10.7109375" style="1" customWidth="1"/>
    <col min="3856" max="3856" width="12.5703125" style="1" customWidth="1"/>
    <col min="3857" max="3857" width="9.140625" style="1"/>
    <col min="3858" max="3858" width="11" style="1" customWidth="1"/>
    <col min="3859" max="3859" width="10.85546875" style="1" customWidth="1"/>
    <col min="3860" max="4103" width="9.140625" style="1"/>
    <col min="4104" max="4104" width="11.28515625" style="1" customWidth="1"/>
    <col min="4105" max="4105" width="13.28515625" style="1" customWidth="1"/>
    <col min="4106" max="4106" width="10.7109375" style="1" customWidth="1"/>
    <col min="4107" max="4107" width="9.5703125" style="1" customWidth="1"/>
    <col min="4108" max="4109" width="9.140625" style="1"/>
    <col min="4110" max="4110" width="12.7109375" style="1" customWidth="1"/>
    <col min="4111" max="4111" width="10.7109375" style="1" customWidth="1"/>
    <col min="4112" max="4112" width="12.5703125" style="1" customWidth="1"/>
    <col min="4113" max="4113" width="9.140625" style="1"/>
    <col min="4114" max="4114" width="11" style="1" customWidth="1"/>
    <col min="4115" max="4115" width="10.85546875" style="1" customWidth="1"/>
    <col min="4116" max="4359" width="9.140625" style="1"/>
    <col min="4360" max="4360" width="11.28515625" style="1" customWidth="1"/>
    <col min="4361" max="4361" width="13.28515625" style="1" customWidth="1"/>
    <col min="4362" max="4362" width="10.7109375" style="1" customWidth="1"/>
    <col min="4363" max="4363" width="9.5703125" style="1" customWidth="1"/>
    <col min="4364" max="4365" width="9.140625" style="1"/>
    <col min="4366" max="4366" width="12.7109375" style="1" customWidth="1"/>
    <col min="4367" max="4367" width="10.7109375" style="1" customWidth="1"/>
    <col min="4368" max="4368" width="12.5703125" style="1" customWidth="1"/>
    <col min="4369" max="4369" width="9.140625" style="1"/>
    <col min="4370" max="4370" width="11" style="1" customWidth="1"/>
    <col min="4371" max="4371" width="10.85546875" style="1" customWidth="1"/>
    <col min="4372" max="4615" width="9.140625" style="1"/>
    <col min="4616" max="4616" width="11.28515625" style="1" customWidth="1"/>
    <col min="4617" max="4617" width="13.28515625" style="1" customWidth="1"/>
    <col min="4618" max="4618" width="10.7109375" style="1" customWidth="1"/>
    <col min="4619" max="4619" width="9.5703125" style="1" customWidth="1"/>
    <col min="4620" max="4621" width="9.140625" style="1"/>
    <col min="4622" max="4622" width="12.7109375" style="1" customWidth="1"/>
    <col min="4623" max="4623" width="10.7109375" style="1" customWidth="1"/>
    <col min="4624" max="4624" width="12.5703125" style="1" customWidth="1"/>
    <col min="4625" max="4625" width="9.140625" style="1"/>
    <col min="4626" max="4626" width="11" style="1" customWidth="1"/>
    <col min="4627" max="4627" width="10.85546875" style="1" customWidth="1"/>
    <col min="4628" max="4871" width="9.140625" style="1"/>
    <col min="4872" max="4872" width="11.28515625" style="1" customWidth="1"/>
    <col min="4873" max="4873" width="13.28515625" style="1" customWidth="1"/>
    <col min="4874" max="4874" width="10.7109375" style="1" customWidth="1"/>
    <col min="4875" max="4875" width="9.5703125" style="1" customWidth="1"/>
    <col min="4876" max="4877" width="9.140625" style="1"/>
    <col min="4878" max="4878" width="12.7109375" style="1" customWidth="1"/>
    <col min="4879" max="4879" width="10.7109375" style="1" customWidth="1"/>
    <col min="4880" max="4880" width="12.5703125" style="1" customWidth="1"/>
    <col min="4881" max="4881" width="9.140625" style="1"/>
    <col min="4882" max="4882" width="11" style="1" customWidth="1"/>
    <col min="4883" max="4883" width="10.85546875" style="1" customWidth="1"/>
    <col min="4884" max="5127" width="9.140625" style="1"/>
    <col min="5128" max="5128" width="11.28515625" style="1" customWidth="1"/>
    <col min="5129" max="5129" width="13.28515625" style="1" customWidth="1"/>
    <col min="5130" max="5130" width="10.7109375" style="1" customWidth="1"/>
    <col min="5131" max="5131" width="9.5703125" style="1" customWidth="1"/>
    <col min="5132" max="5133" width="9.140625" style="1"/>
    <col min="5134" max="5134" width="12.7109375" style="1" customWidth="1"/>
    <col min="5135" max="5135" width="10.7109375" style="1" customWidth="1"/>
    <col min="5136" max="5136" width="12.5703125" style="1" customWidth="1"/>
    <col min="5137" max="5137" width="9.140625" style="1"/>
    <col min="5138" max="5138" width="11" style="1" customWidth="1"/>
    <col min="5139" max="5139" width="10.85546875" style="1" customWidth="1"/>
    <col min="5140" max="5383" width="9.140625" style="1"/>
    <col min="5384" max="5384" width="11.28515625" style="1" customWidth="1"/>
    <col min="5385" max="5385" width="13.28515625" style="1" customWidth="1"/>
    <col min="5386" max="5386" width="10.7109375" style="1" customWidth="1"/>
    <col min="5387" max="5387" width="9.5703125" style="1" customWidth="1"/>
    <col min="5388" max="5389" width="9.140625" style="1"/>
    <col min="5390" max="5390" width="12.7109375" style="1" customWidth="1"/>
    <col min="5391" max="5391" width="10.7109375" style="1" customWidth="1"/>
    <col min="5392" max="5392" width="12.5703125" style="1" customWidth="1"/>
    <col min="5393" max="5393" width="9.140625" style="1"/>
    <col min="5394" max="5394" width="11" style="1" customWidth="1"/>
    <col min="5395" max="5395" width="10.85546875" style="1" customWidth="1"/>
    <col min="5396" max="5639" width="9.140625" style="1"/>
    <col min="5640" max="5640" width="11.28515625" style="1" customWidth="1"/>
    <col min="5641" max="5641" width="13.28515625" style="1" customWidth="1"/>
    <col min="5642" max="5642" width="10.7109375" style="1" customWidth="1"/>
    <col min="5643" max="5643" width="9.5703125" style="1" customWidth="1"/>
    <col min="5644" max="5645" width="9.140625" style="1"/>
    <col min="5646" max="5646" width="12.7109375" style="1" customWidth="1"/>
    <col min="5647" max="5647" width="10.7109375" style="1" customWidth="1"/>
    <col min="5648" max="5648" width="12.5703125" style="1" customWidth="1"/>
    <col min="5649" max="5649" width="9.140625" style="1"/>
    <col min="5650" max="5650" width="11" style="1" customWidth="1"/>
    <col min="5651" max="5651" width="10.85546875" style="1" customWidth="1"/>
    <col min="5652" max="5895" width="9.140625" style="1"/>
    <col min="5896" max="5896" width="11.28515625" style="1" customWidth="1"/>
    <col min="5897" max="5897" width="13.28515625" style="1" customWidth="1"/>
    <col min="5898" max="5898" width="10.7109375" style="1" customWidth="1"/>
    <col min="5899" max="5899" width="9.5703125" style="1" customWidth="1"/>
    <col min="5900" max="5901" width="9.140625" style="1"/>
    <col min="5902" max="5902" width="12.7109375" style="1" customWidth="1"/>
    <col min="5903" max="5903" width="10.7109375" style="1" customWidth="1"/>
    <col min="5904" max="5904" width="12.5703125" style="1" customWidth="1"/>
    <col min="5905" max="5905" width="9.140625" style="1"/>
    <col min="5906" max="5906" width="11" style="1" customWidth="1"/>
    <col min="5907" max="5907" width="10.85546875" style="1" customWidth="1"/>
    <col min="5908" max="6151" width="9.140625" style="1"/>
    <col min="6152" max="6152" width="11.28515625" style="1" customWidth="1"/>
    <col min="6153" max="6153" width="13.28515625" style="1" customWidth="1"/>
    <col min="6154" max="6154" width="10.7109375" style="1" customWidth="1"/>
    <col min="6155" max="6155" width="9.5703125" style="1" customWidth="1"/>
    <col min="6156" max="6157" width="9.140625" style="1"/>
    <col min="6158" max="6158" width="12.7109375" style="1" customWidth="1"/>
    <col min="6159" max="6159" width="10.7109375" style="1" customWidth="1"/>
    <col min="6160" max="6160" width="12.5703125" style="1" customWidth="1"/>
    <col min="6161" max="6161" width="9.140625" style="1"/>
    <col min="6162" max="6162" width="11" style="1" customWidth="1"/>
    <col min="6163" max="6163" width="10.85546875" style="1" customWidth="1"/>
    <col min="6164" max="6407" width="9.140625" style="1"/>
    <col min="6408" max="6408" width="11.28515625" style="1" customWidth="1"/>
    <col min="6409" max="6409" width="13.28515625" style="1" customWidth="1"/>
    <col min="6410" max="6410" width="10.7109375" style="1" customWidth="1"/>
    <col min="6411" max="6411" width="9.5703125" style="1" customWidth="1"/>
    <col min="6412" max="6413" width="9.140625" style="1"/>
    <col min="6414" max="6414" width="12.7109375" style="1" customWidth="1"/>
    <col min="6415" max="6415" width="10.7109375" style="1" customWidth="1"/>
    <col min="6416" max="6416" width="12.5703125" style="1" customWidth="1"/>
    <col min="6417" max="6417" width="9.140625" style="1"/>
    <col min="6418" max="6418" width="11" style="1" customWidth="1"/>
    <col min="6419" max="6419" width="10.85546875" style="1" customWidth="1"/>
    <col min="6420" max="6663" width="9.140625" style="1"/>
    <col min="6664" max="6664" width="11.28515625" style="1" customWidth="1"/>
    <col min="6665" max="6665" width="13.28515625" style="1" customWidth="1"/>
    <col min="6666" max="6666" width="10.7109375" style="1" customWidth="1"/>
    <col min="6667" max="6667" width="9.5703125" style="1" customWidth="1"/>
    <col min="6668" max="6669" width="9.140625" style="1"/>
    <col min="6670" max="6670" width="12.7109375" style="1" customWidth="1"/>
    <col min="6671" max="6671" width="10.7109375" style="1" customWidth="1"/>
    <col min="6672" max="6672" width="12.5703125" style="1" customWidth="1"/>
    <col min="6673" max="6673" width="9.140625" style="1"/>
    <col min="6674" max="6674" width="11" style="1" customWidth="1"/>
    <col min="6675" max="6675" width="10.85546875" style="1" customWidth="1"/>
    <col min="6676" max="6919" width="9.140625" style="1"/>
    <col min="6920" max="6920" width="11.28515625" style="1" customWidth="1"/>
    <col min="6921" max="6921" width="13.28515625" style="1" customWidth="1"/>
    <col min="6922" max="6922" width="10.7109375" style="1" customWidth="1"/>
    <col min="6923" max="6923" width="9.5703125" style="1" customWidth="1"/>
    <col min="6924" max="6925" width="9.140625" style="1"/>
    <col min="6926" max="6926" width="12.7109375" style="1" customWidth="1"/>
    <col min="6927" max="6927" width="10.7109375" style="1" customWidth="1"/>
    <col min="6928" max="6928" width="12.5703125" style="1" customWidth="1"/>
    <col min="6929" max="6929" width="9.140625" style="1"/>
    <col min="6930" max="6930" width="11" style="1" customWidth="1"/>
    <col min="6931" max="6931" width="10.85546875" style="1" customWidth="1"/>
    <col min="6932" max="7175" width="9.140625" style="1"/>
    <col min="7176" max="7176" width="11.28515625" style="1" customWidth="1"/>
    <col min="7177" max="7177" width="13.28515625" style="1" customWidth="1"/>
    <col min="7178" max="7178" width="10.7109375" style="1" customWidth="1"/>
    <col min="7179" max="7179" width="9.5703125" style="1" customWidth="1"/>
    <col min="7180" max="7181" width="9.140625" style="1"/>
    <col min="7182" max="7182" width="12.7109375" style="1" customWidth="1"/>
    <col min="7183" max="7183" width="10.7109375" style="1" customWidth="1"/>
    <col min="7184" max="7184" width="12.5703125" style="1" customWidth="1"/>
    <col min="7185" max="7185" width="9.140625" style="1"/>
    <col min="7186" max="7186" width="11" style="1" customWidth="1"/>
    <col min="7187" max="7187" width="10.85546875" style="1" customWidth="1"/>
    <col min="7188" max="7431" width="9.140625" style="1"/>
    <col min="7432" max="7432" width="11.28515625" style="1" customWidth="1"/>
    <col min="7433" max="7433" width="13.28515625" style="1" customWidth="1"/>
    <col min="7434" max="7434" width="10.7109375" style="1" customWidth="1"/>
    <col min="7435" max="7435" width="9.5703125" style="1" customWidth="1"/>
    <col min="7436" max="7437" width="9.140625" style="1"/>
    <col min="7438" max="7438" width="12.7109375" style="1" customWidth="1"/>
    <col min="7439" max="7439" width="10.7109375" style="1" customWidth="1"/>
    <col min="7440" max="7440" width="12.5703125" style="1" customWidth="1"/>
    <col min="7441" max="7441" width="9.140625" style="1"/>
    <col min="7442" max="7442" width="11" style="1" customWidth="1"/>
    <col min="7443" max="7443" width="10.85546875" style="1" customWidth="1"/>
    <col min="7444" max="7687" width="9.140625" style="1"/>
    <col min="7688" max="7688" width="11.28515625" style="1" customWidth="1"/>
    <col min="7689" max="7689" width="13.28515625" style="1" customWidth="1"/>
    <col min="7690" max="7690" width="10.7109375" style="1" customWidth="1"/>
    <col min="7691" max="7691" width="9.5703125" style="1" customWidth="1"/>
    <col min="7692" max="7693" width="9.140625" style="1"/>
    <col min="7694" max="7694" width="12.7109375" style="1" customWidth="1"/>
    <col min="7695" max="7695" width="10.7109375" style="1" customWidth="1"/>
    <col min="7696" max="7696" width="12.5703125" style="1" customWidth="1"/>
    <col min="7697" max="7697" width="9.140625" style="1"/>
    <col min="7698" max="7698" width="11" style="1" customWidth="1"/>
    <col min="7699" max="7699" width="10.85546875" style="1" customWidth="1"/>
    <col min="7700" max="7943" width="9.140625" style="1"/>
    <col min="7944" max="7944" width="11.28515625" style="1" customWidth="1"/>
    <col min="7945" max="7945" width="13.28515625" style="1" customWidth="1"/>
    <col min="7946" max="7946" width="10.7109375" style="1" customWidth="1"/>
    <col min="7947" max="7947" width="9.5703125" style="1" customWidth="1"/>
    <col min="7948" max="7949" width="9.140625" style="1"/>
    <col min="7950" max="7950" width="12.7109375" style="1" customWidth="1"/>
    <col min="7951" max="7951" width="10.7109375" style="1" customWidth="1"/>
    <col min="7952" max="7952" width="12.5703125" style="1" customWidth="1"/>
    <col min="7953" max="7953" width="9.140625" style="1"/>
    <col min="7954" max="7954" width="11" style="1" customWidth="1"/>
    <col min="7955" max="7955" width="10.85546875" style="1" customWidth="1"/>
    <col min="7956" max="8199" width="9.140625" style="1"/>
    <col min="8200" max="8200" width="11.28515625" style="1" customWidth="1"/>
    <col min="8201" max="8201" width="13.28515625" style="1" customWidth="1"/>
    <col min="8202" max="8202" width="10.7109375" style="1" customWidth="1"/>
    <col min="8203" max="8203" width="9.5703125" style="1" customWidth="1"/>
    <col min="8204" max="8205" width="9.140625" style="1"/>
    <col min="8206" max="8206" width="12.7109375" style="1" customWidth="1"/>
    <col min="8207" max="8207" width="10.7109375" style="1" customWidth="1"/>
    <col min="8208" max="8208" width="12.5703125" style="1" customWidth="1"/>
    <col min="8209" max="8209" width="9.140625" style="1"/>
    <col min="8210" max="8210" width="11" style="1" customWidth="1"/>
    <col min="8211" max="8211" width="10.85546875" style="1" customWidth="1"/>
    <col min="8212" max="8455" width="9.140625" style="1"/>
    <col min="8456" max="8456" width="11.28515625" style="1" customWidth="1"/>
    <col min="8457" max="8457" width="13.28515625" style="1" customWidth="1"/>
    <col min="8458" max="8458" width="10.7109375" style="1" customWidth="1"/>
    <col min="8459" max="8459" width="9.5703125" style="1" customWidth="1"/>
    <col min="8460" max="8461" width="9.140625" style="1"/>
    <col min="8462" max="8462" width="12.7109375" style="1" customWidth="1"/>
    <col min="8463" max="8463" width="10.7109375" style="1" customWidth="1"/>
    <col min="8464" max="8464" width="12.5703125" style="1" customWidth="1"/>
    <col min="8465" max="8465" width="9.140625" style="1"/>
    <col min="8466" max="8466" width="11" style="1" customWidth="1"/>
    <col min="8467" max="8467" width="10.85546875" style="1" customWidth="1"/>
    <col min="8468" max="8711" width="9.140625" style="1"/>
    <col min="8712" max="8712" width="11.28515625" style="1" customWidth="1"/>
    <col min="8713" max="8713" width="13.28515625" style="1" customWidth="1"/>
    <col min="8714" max="8714" width="10.7109375" style="1" customWidth="1"/>
    <col min="8715" max="8715" width="9.5703125" style="1" customWidth="1"/>
    <col min="8716" max="8717" width="9.140625" style="1"/>
    <col min="8718" max="8718" width="12.7109375" style="1" customWidth="1"/>
    <col min="8719" max="8719" width="10.7109375" style="1" customWidth="1"/>
    <col min="8720" max="8720" width="12.5703125" style="1" customWidth="1"/>
    <col min="8721" max="8721" width="9.140625" style="1"/>
    <col min="8722" max="8722" width="11" style="1" customWidth="1"/>
    <col min="8723" max="8723" width="10.85546875" style="1" customWidth="1"/>
    <col min="8724" max="8967" width="9.140625" style="1"/>
    <col min="8968" max="8968" width="11.28515625" style="1" customWidth="1"/>
    <col min="8969" max="8969" width="13.28515625" style="1" customWidth="1"/>
    <col min="8970" max="8970" width="10.7109375" style="1" customWidth="1"/>
    <col min="8971" max="8971" width="9.5703125" style="1" customWidth="1"/>
    <col min="8972" max="8973" width="9.140625" style="1"/>
    <col min="8974" max="8974" width="12.7109375" style="1" customWidth="1"/>
    <col min="8975" max="8975" width="10.7109375" style="1" customWidth="1"/>
    <col min="8976" max="8976" width="12.5703125" style="1" customWidth="1"/>
    <col min="8977" max="8977" width="9.140625" style="1"/>
    <col min="8978" max="8978" width="11" style="1" customWidth="1"/>
    <col min="8979" max="8979" width="10.85546875" style="1" customWidth="1"/>
    <col min="8980" max="9223" width="9.140625" style="1"/>
    <col min="9224" max="9224" width="11.28515625" style="1" customWidth="1"/>
    <col min="9225" max="9225" width="13.28515625" style="1" customWidth="1"/>
    <col min="9226" max="9226" width="10.7109375" style="1" customWidth="1"/>
    <col min="9227" max="9227" width="9.5703125" style="1" customWidth="1"/>
    <col min="9228" max="9229" width="9.140625" style="1"/>
    <col min="9230" max="9230" width="12.7109375" style="1" customWidth="1"/>
    <col min="9231" max="9231" width="10.7109375" style="1" customWidth="1"/>
    <col min="9232" max="9232" width="12.5703125" style="1" customWidth="1"/>
    <col min="9233" max="9233" width="9.140625" style="1"/>
    <col min="9234" max="9234" width="11" style="1" customWidth="1"/>
    <col min="9235" max="9235" width="10.85546875" style="1" customWidth="1"/>
    <col min="9236" max="9479" width="9.140625" style="1"/>
    <col min="9480" max="9480" width="11.28515625" style="1" customWidth="1"/>
    <col min="9481" max="9481" width="13.28515625" style="1" customWidth="1"/>
    <col min="9482" max="9482" width="10.7109375" style="1" customWidth="1"/>
    <col min="9483" max="9483" width="9.5703125" style="1" customWidth="1"/>
    <col min="9484" max="9485" width="9.140625" style="1"/>
    <col min="9486" max="9486" width="12.7109375" style="1" customWidth="1"/>
    <col min="9487" max="9487" width="10.7109375" style="1" customWidth="1"/>
    <col min="9488" max="9488" width="12.5703125" style="1" customWidth="1"/>
    <col min="9489" max="9489" width="9.140625" style="1"/>
    <col min="9490" max="9490" width="11" style="1" customWidth="1"/>
    <col min="9491" max="9491" width="10.85546875" style="1" customWidth="1"/>
    <col min="9492" max="9735" width="9.140625" style="1"/>
    <col min="9736" max="9736" width="11.28515625" style="1" customWidth="1"/>
    <col min="9737" max="9737" width="13.28515625" style="1" customWidth="1"/>
    <col min="9738" max="9738" width="10.7109375" style="1" customWidth="1"/>
    <col min="9739" max="9739" width="9.5703125" style="1" customWidth="1"/>
    <col min="9740" max="9741" width="9.140625" style="1"/>
    <col min="9742" max="9742" width="12.7109375" style="1" customWidth="1"/>
    <col min="9743" max="9743" width="10.7109375" style="1" customWidth="1"/>
    <col min="9744" max="9744" width="12.5703125" style="1" customWidth="1"/>
    <col min="9745" max="9745" width="9.140625" style="1"/>
    <col min="9746" max="9746" width="11" style="1" customWidth="1"/>
    <col min="9747" max="9747" width="10.85546875" style="1" customWidth="1"/>
    <col min="9748" max="9991" width="9.140625" style="1"/>
    <col min="9992" max="9992" width="11.28515625" style="1" customWidth="1"/>
    <col min="9993" max="9993" width="13.28515625" style="1" customWidth="1"/>
    <col min="9994" max="9994" width="10.7109375" style="1" customWidth="1"/>
    <col min="9995" max="9995" width="9.5703125" style="1" customWidth="1"/>
    <col min="9996" max="9997" width="9.140625" style="1"/>
    <col min="9998" max="9998" width="12.7109375" style="1" customWidth="1"/>
    <col min="9999" max="9999" width="10.7109375" style="1" customWidth="1"/>
    <col min="10000" max="10000" width="12.5703125" style="1" customWidth="1"/>
    <col min="10001" max="10001" width="9.140625" style="1"/>
    <col min="10002" max="10002" width="11" style="1" customWidth="1"/>
    <col min="10003" max="10003" width="10.85546875" style="1" customWidth="1"/>
    <col min="10004" max="10247" width="9.140625" style="1"/>
    <col min="10248" max="10248" width="11.28515625" style="1" customWidth="1"/>
    <col min="10249" max="10249" width="13.28515625" style="1" customWidth="1"/>
    <col min="10250" max="10250" width="10.7109375" style="1" customWidth="1"/>
    <col min="10251" max="10251" width="9.5703125" style="1" customWidth="1"/>
    <col min="10252" max="10253" width="9.140625" style="1"/>
    <col min="10254" max="10254" width="12.7109375" style="1" customWidth="1"/>
    <col min="10255" max="10255" width="10.7109375" style="1" customWidth="1"/>
    <col min="10256" max="10256" width="12.5703125" style="1" customWidth="1"/>
    <col min="10257" max="10257" width="9.140625" style="1"/>
    <col min="10258" max="10258" width="11" style="1" customWidth="1"/>
    <col min="10259" max="10259" width="10.85546875" style="1" customWidth="1"/>
    <col min="10260" max="10503" width="9.140625" style="1"/>
    <col min="10504" max="10504" width="11.28515625" style="1" customWidth="1"/>
    <col min="10505" max="10505" width="13.28515625" style="1" customWidth="1"/>
    <col min="10506" max="10506" width="10.7109375" style="1" customWidth="1"/>
    <col min="10507" max="10507" width="9.5703125" style="1" customWidth="1"/>
    <col min="10508" max="10509" width="9.140625" style="1"/>
    <col min="10510" max="10510" width="12.7109375" style="1" customWidth="1"/>
    <col min="10511" max="10511" width="10.7109375" style="1" customWidth="1"/>
    <col min="10512" max="10512" width="12.5703125" style="1" customWidth="1"/>
    <col min="10513" max="10513" width="9.140625" style="1"/>
    <col min="10514" max="10514" width="11" style="1" customWidth="1"/>
    <col min="10515" max="10515" width="10.85546875" style="1" customWidth="1"/>
    <col min="10516" max="10759" width="9.140625" style="1"/>
    <col min="10760" max="10760" width="11.28515625" style="1" customWidth="1"/>
    <col min="10761" max="10761" width="13.28515625" style="1" customWidth="1"/>
    <col min="10762" max="10762" width="10.7109375" style="1" customWidth="1"/>
    <col min="10763" max="10763" width="9.5703125" style="1" customWidth="1"/>
    <col min="10764" max="10765" width="9.140625" style="1"/>
    <col min="10766" max="10766" width="12.7109375" style="1" customWidth="1"/>
    <col min="10767" max="10767" width="10.7109375" style="1" customWidth="1"/>
    <col min="10768" max="10768" width="12.5703125" style="1" customWidth="1"/>
    <col min="10769" max="10769" width="9.140625" style="1"/>
    <col min="10770" max="10770" width="11" style="1" customWidth="1"/>
    <col min="10771" max="10771" width="10.85546875" style="1" customWidth="1"/>
    <col min="10772" max="11015" width="9.140625" style="1"/>
    <col min="11016" max="11016" width="11.28515625" style="1" customWidth="1"/>
    <col min="11017" max="11017" width="13.28515625" style="1" customWidth="1"/>
    <col min="11018" max="11018" width="10.7109375" style="1" customWidth="1"/>
    <col min="11019" max="11019" width="9.5703125" style="1" customWidth="1"/>
    <col min="11020" max="11021" width="9.140625" style="1"/>
    <col min="11022" max="11022" width="12.7109375" style="1" customWidth="1"/>
    <col min="11023" max="11023" width="10.7109375" style="1" customWidth="1"/>
    <col min="11024" max="11024" width="12.5703125" style="1" customWidth="1"/>
    <col min="11025" max="11025" width="9.140625" style="1"/>
    <col min="11026" max="11026" width="11" style="1" customWidth="1"/>
    <col min="11027" max="11027" width="10.85546875" style="1" customWidth="1"/>
    <col min="11028" max="11271" width="9.140625" style="1"/>
    <col min="11272" max="11272" width="11.28515625" style="1" customWidth="1"/>
    <col min="11273" max="11273" width="13.28515625" style="1" customWidth="1"/>
    <col min="11274" max="11274" width="10.7109375" style="1" customWidth="1"/>
    <col min="11275" max="11275" width="9.5703125" style="1" customWidth="1"/>
    <col min="11276" max="11277" width="9.140625" style="1"/>
    <col min="11278" max="11278" width="12.7109375" style="1" customWidth="1"/>
    <col min="11279" max="11279" width="10.7109375" style="1" customWidth="1"/>
    <col min="11280" max="11280" width="12.5703125" style="1" customWidth="1"/>
    <col min="11281" max="11281" width="9.140625" style="1"/>
    <col min="11282" max="11282" width="11" style="1" customWidth="1"/>
    <col min="11283" max="11283" width="10.85546875" style="1" customWidth="1"/>
    <col min="11284" max="11527" width="9.140625" style="1"/>
    <col min="11528" max="11528" width="11.28515625" style="1" customWidth="1"/>
    <col min="11529" max="11529" width="13.28515625" style="1" customWidth="1"/>
    <col min="11530" max="11530" width="10.7109375" style="1" customWidth="1"/>
    <col min="11531" max="11531" width="9.5703125" style="1" customWidth="1"/>
    <col min="11532" max="11533" width="9.140625" style="1"/>
    <col min="11534" max="11534" width="12.7109375" style="1" customWidth="1"/>
    <col min="11535" max="11535" width="10.7109375" style="1" customWidth="1"/>
    <col min="11536" max="11536" width="12.5703125" style="1" customWidth="1"/>
    <col min="11537" max="11537" width="9.140625" style="1"/>
    <col min="11538" max="11538" width="11" style="1" customWidth="1"/>
    <col min="11539" max="11539" width="10.85546875" style="1" customWidth="1"/>
    <col min="11540" max="11783" width="9.140625" style="1"/>
    <col min="11784" max="11784" width="11.28515625" style="1" customWidth="1"/>
    <col min="11785" max="11785" width="13.28515625" style="1" customWidth="1"/>
    <col min="11786" max="11786" width="10.7109375" style="1" customWidth="1"/>
    <col min="11787" max="11787" width="9.5703125" style="1" customWidth="1"/>
    <col min="11788" max="11789" width="9.140625" style="1"/>
    <col min="11790" max="11790" width="12.7109375" style="1" customWidth="1"/>
    <col min="11791" max="11791" width="10.7109375" style="1" customWidth="1"/>
    <col min="11792" max="11792" width="12.5703125" style="1" customWidth="1"/>
    <col min="11793" max="11793" width="9.140625" style="1"/>
    <col min="11794" max="11794" width="11" style="1" customWidth="1"/>
    <col min="11795" max="11795" width="10.85546875" style="1" customWidth="1"/>
    <col min="11796" max="12039" width="9.140625" style="1"/>
    <col min="12040" max="12040" width="11.28515625" style="1" customWidth="1"/>
    <col min="12041" max="12041" width="13.28515625" style="1" customWidth="1"/>
    <col min="12042" max="12042" width="10.7109375" style="1" customWidth="1"/>
    <col min="12043" max="12043" width="9.5703125" style="1" customWidth="1"/>
    <col min="12044" max="12045" width="9.140625" style="1"/>
    <col min="12046" max="12046" width="12.7109375" style="1" customWidth="1"/>
    <col min="12047" max="12047" width="10.7109375" style="1" customWidth="1"/>
    <col min="12048" max="12048" width="12.5703125" style="1" customWidth="1"/>
    <col min="12049" max="12049" width="9.140625" style="1"/>
    <col min="12050" max="12050" width="11" style="1" customWidth="1"/>
    <col min="12051" max="12051" width="10.85546875" style="1" customWidth="1"/>
    <col min="12052" max="12295" width="9.140625" style="1"/>
    <col min="12296" max="12296" width="11.28515625" style="1" customWidth="1"/>
    <col min="12297" max="12297" width="13.28515625" style="1" customWidth="1"/>
    <col min="12298" max="12298" width="10.7109375" style="1" customWidth="1"/>
    <col min="12299" max="12299" width="9.5703125" style="1" customWidth="1"/>
    <col min="12300" max="12301" width="9.140625" style="1"/>
    <col min="12302" max="12302" width="12.7109375" style="1" customWidth="1"/>
    <col min="12303" max="12303" width="10.7109375" style="1" customWidth="1"/>
    <col min="12304" max="12304" width="12.5703125" style="1" customWidth="1"/>
    <col min="12305" max="12305" width="9.140625" style="1"/>
    <col min="12306" max="12306" width="11" style="1" customWidth="1"/>
    <col min="12307" max="12307" width="10.85546875" style="1" customWidth="1"/>
    <col min="12308" max="12551" width="9.140625" style="1"/>
    <col min="12552" max="12552" width="11.28515625" style="1" customWidth="1"/>
    <col min="12553" max="12553" width="13.28515625" style="1" customWidth="1"/>
    <col min="12554" max="12554" width="10.7109375" style="1" customWidth="1"/>
    <col min="12555" max="12555" width="9.5703125" style="1" customWidth="1"/>
    <col min="12556" max="12557" width="9.140625" style="1"/>
    <col min="12558" max="12558" width="12.7109375" style="1" customWidth="1"/>
    <col min="12559" max="12559" width="10.7109375" style="1" customWidth="1"/>
    <col min="12560" max="12560" width="12.5703125" style="1" customWidth="1"/>
    <col min="12561" max="12561" width="9.140625" style="1"/>
    <col min="12562" max="12562" width="11" style="1" customWidth="1"/>
    <col min="12563" max="12563" width="10.85546875" style="1" customWidth="1"/>
    <col min="12564" max="12807" width="9.140625" style="1"/>
    <col min="12808" max="12808" width="11.28515625" style="1" customWidth="1"/>
    <col min="12809" max="12809" width="13.28515625" style="1" customWidth="1"/>
    <col min="12810" max="12810" width="10.7109375" style="1" customWidth="1"/>
    <col min="12811" max="12811" width="9.5703125" style="1" customWidth="1"/>
    <col min="12812" max="12813" width="9.140625" style="1"/>
    <col min="12814" max="12814" width="12.7109375" style="1" customWidth="1"/>
    <col min="12815" max="12815" width="10.7109375" style="1" customWidth="1"/>
    <col min="12816" max="12816" width="12.5703125" style="1" customWidth="1"/>
    <col min="12817" max="12817" width="9.140625" style="1"/>
    <col min="12818" max="12818" width="11" style="1" customWidth="1"/>
    <col min="12819" max="12819" width="10.85546875" style="1" customWidth="1"/>
    <col min="12820" max="13063" width="9.140625" style="1"/>
    <col min="13064" max="13064" width="11.28515625" style="1" customWidth="1"/>
    <col min="13065" max="13065" width="13.28515625" style="1" customWidth="1"/>
    <col min="13066" max="13066" width="10.7109375" style="1" customWidth="1"/>
    <col min="13067" max="13067" width="9.5703125" style="1" customWidth="1"/>
    <col min="13068" max="13069" width="9.140625" style="1"/>
    <col min="13070" max="13070" width="12.7109375" style="1" customWidth="1"/>
    <col min="13071" max="13071" width="10.7109375" style="1" customWidth="1"/>
    <col min="13072" max="13072" width="12.5703125" style="1" customWidth="1"/>
    <col min="13073" max="13073" width="9.140625" style="1"/>
    <col min="13074" max="13074" width="11" style="1" customWidth="1"/>
    <col min="13075" max="13075" width="10.85546875" style="1" customWidth="1"/>
    <col min="13076" max="13319" width="9.140625" style="1"/>
    <col min="13320" max="13320" width="11.28515625" style="1" customWidth="1"/>
    <col min="13321" max="13321" width="13.28515625" style="1" customWidth="1"/>
    <col min="13322" max="13322" width="10.7109375" style="1" customWidth="1"/>
    <col min="13323" max="13323" width="9.5703125" style="1" customWidth="1"/>
    <col min="13324" max="13325" width="9.140625" style="1"/>
    <col min="13326" max="13326" width="12.7109375" style="1" customWidth="1"/>
    <col min="13327" max="13327" width="10.7109375" style="1" customWidth="1"/>
    <col min="13328" max="13328" width="12.5703125" style="1" customWidth="1"/>
    <col min="13329" max="13329" width="9.140625" style="1"/>
    <col min="13330" max="13330" width="11" style="1" customWidth="1"/>
    <col min="13331" max="13331" width="10.85546875" style="1" customWidth="1"/>
    <col min="13332" max="13575" width="9.140625" style="1"/>
    <col min="13576" max="13576" width="11.28515625" style="1" customWidth="1"/>
    <col min="13577" max="13577" width="13.28515625" style="1" customWidth="1"/>
    <col min="13578" max="13578" width="10.7109375" style="1" customWidth="1"/>
    <col min="13579" max="13579" width="9.5703125" style="1" customWidth="1"/>
    <col min="13580" max="13581" width="9.140625" style="1"/>
    <col min="13582" max="13582" width="12.7109375" style="1" customWidth="1"/>
    <col min="13583" max="13583" width="10.7109375" style="1" customWidth="1"/>
    <col min="13584" max="13584" width="12.5703125" style="1" customWidth="1"/>
    <col min="13585" max="13585" width="9.140625" style="1"/>
    <col min="13586" max="13586" width="11" style="1" customWidth="1"/>
    <col min="13587" max="13587" width="10.85546875" style="1" customWidth="1"/>
    <col min="13588" max="13831" width="9.140625" style="1"/>
    <col min="13832" max="13832" width="11.28515625" style="1" customWidth="1"/>
    <col min="13833" max="13833" width="13.28515625" style="1" customWidth="1"/>
    <col min="13834" max="13834" width="10.7109375" style="1" customWidth="1"/>
    <col min="13835" max="13835" width="9.5703125" style="1" customWidth="1"/>
    <col min="13836" max="13837" width="9.140625" style="1"/>
    <col min="13838" max="13838" width="12.7109375" style="1" customWidth="1"/>
    <col min="13839" max="13839" width="10.7109375" style="1" customWidth="1"/>
    <col min="13840" max="13840" width="12.5703125" style="1" customWidth="1"/>
    <col min="13841" max="13841" width="9.140625" style="1"/>
    <col min="13842" max="13842" width="11" style="1" customWidth="1"/>
    <col min="13843" max="13843" width="10.85546875" style="1" customWidth="1"/>
    <col min="13844" max="14087" width="9.140625" style="1"/>
    <col min="14088" max="14088" width="11.28515625" style="1" customWidth="1"/>
    <col min="14089" max="14089" width="13.28515625" style="1" customWidth="1"/>
    <col min="14090" max="14090" width="10.7109375" style="1" customWidth="1"/>
    <col min="14091" max="14091" width="9.5703125" style="1" customWidth="1"/>
    <col min="14092" max="14093" width="9.140625" style="1"/>
    <col min="14094" max="14094" width="12.7109375" style="1" customWidth="1"/>
    <col min="14095" max="14095" width="10.7109375" style="1" customWidth="1"/>
    <col min="14096" max="14096" width="12.5703125" style="1" customWidth="1"/>
    <col min="14097" max="14097" width="9.140625" style="1"/>
    <col min="14098" max="14098" width="11" style="1" customWidth="1"/>
    <col min="14099" max="14099" width="10.85546875" style="1" customWidth="1"/>
    <col min="14100" max="14343" width="9.140625" style="1"/>
    <col min="14344" max="14344" width="11.28515625" style="1" customWidth="1"/>
    <col min="14345" max="14345" width="13.28515625" style="1" customWidth="1"/>
    <col min="14346" max="14346" width="10.7109375" style="1" customWidth="1"/>
    <col min="14347" max="14347" width="9.5703125" style="1" customWidth="1"/>
    <col min="14348" max="14349" width="9.140625" style="1"/>
    <col min="14350" max="14350" width="12.7109375" style="1" customWidth="1"/>
    <col min="14351" max="14351" width="10.7109375" style="1" customWidth="1"/>
    <col min="14352" max="14352" width="12.5703125" style="1" customWidth="1"/>
    <col min="14353" max="14353" width="9.140625" style="1"/>
    <col min="14354" max="14354" width="11" style="1" customWidth="1"/>
    <col min="14355" max="14355" width="10.85546875" style="1" customWidth="1"/>
    <col min="14356" max="14599" width="9.140625" style="1"/>
    <col min="14600" max="14600" width="11.28515625" style="1" customWidth="1"/>
    <col min="14601" max="14601" width="13.28515625" style="1" customWidth="1"/>
    <col min="14602" max="14602" width="10.7109375" style="1" customWidth="1"/>
    <col min="14603" max="14603" width="9.5703125" style="1" customWidth="1"/>
    <col min="14604" max="14605" width="9.140625" style="1"/>
    <col min="14606" max="14606" width="12.7109375" style="1" customWidth="1"/>
    <col min="14607" max="14607" width="10.7109375" style="1" customWidth="1"/>
    <col min="14608" max="14608" width="12.5703125" style="1" customWidth="1"/>
    <col min="14609" max="14609" width="9.140625" style="1"/>
    <col min="14610" max="14610" width="11" style="1" customWidth="1"/>
    <col min="14611" max="14611" width="10.85546875" style="1" customWidth="1"/>
    <col min="14612" max="14855" width="9.140625" style="1"/>
    <col min="14856" max="14856" width="11.28515625" style="1" customWidth="1"/>
    <col min="14857" max="14857" width="13.28515625" style="1" customWidth="1"/>
    <col min="14858" max="14858" width="10.7109375" style="1" customWidth="1"/>
    <col min="14859" max="14859" width="9.5703125" style="1" customWidth="1"/>
    <col min="14860" max="14861" width="9.140625" style="1"/>
    <col min="14862" max="14862" width="12.7109375" style="1" customWidth="1"/>
    <col min="14863" max="14863" width="10.7109375" style="1" customWidth="1"/>
    <col min="14864" max="14864" width="12.5703125" style="1" customWidth="1"/>
    <col min="14865" max="14865" width="9.140625" style="1"/>
    <col min="14866" max="14866" width="11" style="1" customWidth="1"/>
    <col min="14867" max="14867" width="10.85546875" style="1" customWidth="1"/>
    <col min="14868" max="15111" width="9.140625" style="1"/>
    <col min="15112" max="15112" width="11.28515625" style="1" customWidth="1"/>
    <col min="15113" max="15113" width="13.28515625" style="1" customWidth="1"/>
    <col min="15114" max="15114" width="10.7109375" style="1" customWidth="1"/>
    <col min="15115" max="15115" width="9.5703125" style="1" customWidth="1"/>
    <col min="15116" max="15117" width="9.140625" style="1"/>
    <col min="15118" max="15118" width="12.7109375" style="1" customWidth="1"/>
    <col min="15119" max="15119" width="10.7109375" style="1" customWidth="1"/>
    <col min="15120" max="15120" width="12.5703125" style="1" customWidth="1"/>
    <col min="15121" max="15121" width="9.140625" style="1"/>
    <col min="15122" max="15122" width="11" style="1" customWidth="1"/>
    <col min="15123" max="15123" width="10.85546875" style="1" customWidth="1"/>
    <col min="15124" max="15367" width="9.140625" style="1"/>
    <col min="15368" max="15368" width="11.28515625" style="1" customWidth="1"/>
    <col min="15369" max="15369" width="13.28515625" style="1" customWidth="1"/>
    <col min="15370" max="15370" width="10.7109375" style="1" customWidth="1"/>
    <col min="15371" max="15371" width="9.5703125" style="1" customWidth="1"/>
    <col min="15372" max="15373" width="9.140625" style="1"/>
    <col min="15374" max="15374" width="12.7109375" style="1" customWidth="1"/>
    <col min="15375" max="15375" width="10.7109375" style="1" customWidth="1"/>
    <col min="15376" max="15376" width="12.5703125" style="1" customWidth="1"/>
    <col min="15377" max="15377" width="9.140625" style="1"/>
    <col min="15378" max="15378" width="11" style="1" customWidth="1"/>
    <col min="15379" max="15379" width="10.85546875" style="1" customWidth="1"/>
    <col min="15380" max="15623" width="9.140625" style="1"/>
    <col min="15624" max="15624" width="11.28515625" style="1" customWidth="1"/>
    <col min="15625" max="15625" width="13.28515625" style="1" customWidth="1"/>
    <col min="15626" max="15626" width="10.7109375" style="1" customWidth="1"/>
    <col min="15627" max="15627" width="9.5703125" style="1" customWidth="1"/>
    <col min="15628" max="15629" width="9.140625" style="1"/>
    <col min="15630" max="15630" width="12.7109375" style="1" customWidth="1"/>
    <col min="15631" max="15631" width="10.7109375" style="1" customWidth="1"/>
    <col min="15632" max="15632" width="12.5703125" style="1" customWidth="1"/>
    <col min="15633" max="15633" width="9.140625" style="1"/>
    <col min="15634" max="15634" width="11" style="1" customWidth="1"/>
    <col min="15635" max="15635" width="10.85546875" style="1" customWidth="1"/>
    <col min="15636" max="15879" width="9.140625" style="1"/>
    <col min="15880" max="15880" width="11.28515625" style="1" customWidth="1"/>
    <col min="15881" max="15881" width="13.28515625" style="1" customWidth="1"/>
    <col min="15882" max="15882" width="10.7109375" style="1" customWidth="1"/>
    <col min="15883" max="15883" width="9.5703125" style="1" customWidth="1"/>
    <col min="15884" max="15885" width="9.140625" style="1"/>
    <col min="15886" max="15886" width="12.7109375" style="1" customWidth="1"/>
    <col min="15887" max="15887" width="10.7109375" style="1" customWidth="1"/>
    <col min="15888" max="15888" width="12.5703125" style="1" customWidth="1"/>
    <col min="15889" max="15889" width="9.140625" style="1"/>
    <col min="15890" max="15890" width="11" style="1" customWidth="1"/>
    <col min="15891" max="15891" width="10.85546875" style="1" customWidth="1"/>
    <col min="15892" max="16135" width="9.140625" style="1"/>
    <col min="16136" max="16136" width="11.28515625" style="1" customWidth="1"/>
    <col min="16137" max="16137" width="13.28515625" style="1" customWidth="1"/>
    <col min="16138" max="16138" width="10.7109375" style="1" customWidth="1"/>
    <col min="16139" max="16139" width="9.5703125" style="1" customWidth="1"/>
    <col min="16140" max="16141" width="9.140625" style="1"/>
    <col min="16142" max="16142" width="12.7109375" style="1" customWidth="1"/>
    <col min="16143" max="16143" width="10.7109375" style="1" customWidth="1"/>
    <col min="16144" max="16144" width="12.5703125" style="1" customWidth="1"/>
    <col min="16145" max="16145" width="9.140625" style="1"/>
    <col min="16146" max="16146" width="11" style="1" customWidth="1"/>
    <col min="16147" max="16147" width="10.85546875" style="1" customWidth="1"/>
    <col min="16148" max="16384" width="9.140625" style="1"/>
  </cols>
  <sheetData>
    <row r="5" spans="1:26" x14ac:dyDescent="0.25">
      <c r="B5" s="78" t="s">
        <v>0</v>
      </c>
    </row>
    <row r="7" spans="1:26" ht="147" customHeight="1" x14ac:dyDescent="0.25">
      <c r="B7" s="188" t="s">
        <v>3</v>
      </c>
      <c r="C7" s="188" t="s">
        <v>4</v>
      </c>
      <c r="D7" s="188" t="s">
        <v>5</v>
      </c>
      <c r="E7" s="188" t="s">
        <v>6</v>
      </c>
      <c r="F7" s="188" t="s">
        <v>7</v>
      </c>
      <c r="G7" s="188" t="s">
        <v>8</v>
      </c>
      <c r="H7" s="188" t="s">
        <v>9</v>
      </c>
      <c r="I7" s="93" t="s">
        <v>10</v>
      </c>
      <c r="J7" s="188" t="s">
        <v>11</v>
      </c>
      <c r="K7" s="93" t="s">
        <v>12</v>
      </c>
      <c r="L7" s="192" t="s">
        <v>13</v>
      </c>
      <c r="M7" s="193"/>
      <c r="N7" s="194"/>
      <c r="O7" s="188" t="s">
        <v>14</v>
      </c>
      <c r="P7" s="195" t="s">
        <v>15</v>
      </c>
      <c r="Q7" s="196"/>
      <c r="R7" s="196"/>
      <c r="S7" s="197"/>
      <c r="T7" s="190" t="s">
        <v>16</v>
      </c>
      <c r="U7" s="201" t="s">
        <v>17</v>
      </c>
      <c r="V7" s="198" t="s">
        <v>18</v>
      </c>
      <c r="W7" s="199"/>
      <c r="X7" s="199"/>
      <c r="Y7" s="200"/>
      <c r="Z7" s="186" t="s">
        <v>19</v>
      </c>
    </row>
    <row r="8" spans="1:26" ht="66.599999999999994" customHeight="1" x14ac:dyDescent="0.25">
      <c r="B8" s="189"/>
      <c r="C8" s="189"/>
      <c r="D8" s="189"/>
      <c r="E8" s="189"/>
      <c r="F8" s="189"/>
      <c r="G8" s="189"/>
      <c r="H8" s="189"/>
      <c r="I8" s="93">
        <v>10.4</v>
      </c>
      <c r="J8" s="189"/>
      <c r="K8" s="93">
        <v>0.7</v>
      </c>
      <c r="L8" s="94">
        <v>0.8</v>
      </c>
      <c r="M8" s="95">
        <v>0.9</v>
      </c>
      <c r="N8" s="96">
        <v>1</v>
      </c>
      <c r="O8" s="189"/>
      <c r="P8" s="97">
        <v>0.1</v>
      </c>
      <c r="Q8" s="100">
        <v>0.2</v>
      </c>
      <c r="R8" s="100">
        <v>0.3</v>
      </c>
      <c r="S8" s="100">
        <v>0.1</v>
      </c>
      <c r="T8" s="191"/>
      <c r="U8" s="202"/>
      <c r="V8" s="101" t="s">
        <v>20</v>
      </c>
      <c r="W8" s="101" t="s">
        <v>21</v>
      </c>
      <c r="X8" s="101" t="s">
        <v>22</v>
      </c>
      <c r="Y8" s="101" t="s">
        <v>23</v>
      </c>
      <c r="Z8" s="187"/>
    </row>
    <row r="9" spans="1:26" x14ac:dyDescent="0.25">
      <c r="B9" s="79">
        <v>0</v>
      </c>
      <c r="C9" s="79">
        <v>1</v>
      </c>
      <c r="D9" s="79">
        <v>2</v>
      </c>
      <c r="E9" s="79" t="s">
        <v>24</v>
      </c>
      <c r="F9" s="79" t="s">
        <v>25</v>
      </c>
      <c r="G9" s="79" t="s">
        <v>26</v>
      </c>
      <c r="H9" s="79" t="s">
        <v>27</v>
      </c>
      <c r="I9" s="79" t="s">
        <v>28</v>
      </c>
      <c r="J9" s="79" t="s">
        <v>29</v>
      </c>
      <c r="K9" s="79" t="s">
        <v>30</v>
      </c>
      <c r="L9" s="79" t="s">
        <v>31</v>
      </c>
      <c r="M9" s="79" t="s">
        <v>32</v>
      </c>
      <c r="N9" s="79" t="s">
        <v>32</v>
      </c>
      <c r="O9" s="79">
        <v>10</v>
      </c>
      <c r="P9" s="98" t="s">
        <v>33</v>
      </c>
      <c r="Q9" s="98" t="s">
        <v>34</v>
      </c>
      <c r="R9" s="98" t="s">
        <v>35</v>
      </c>
      <c r="S9" s="98" t="s">
        <v>36</v>
      </c>
      <c r="T9" s="98" t="s">
        <v>37</v>
      </c>
      <c r="U9" s="98" t="s">
        <v>38</v>
      </c>
      <c r="V9" s="79">
        <v>13</v>
      </c>
      <c r="W9" s="98" t="s">
        <v>39</v>
      </c>
      <c r="X9" s="98" t="s">
        <v>40</v>
      </c>
      <c r="Y9" s="98" t="s">
        <v>41</v>
      </c>
      <c r="Z9" s="79">
        <v>14</v>
      </c>
    </row>
    <row r="10" spans="1:26" ht="38.25" x14ac:dyDescent="0.25">
      <c r="A10" s="80" t="s">
        <v>46</v>
      </c>
      <c r="B10" s="81">
        <v>1</v>
      </c>
      <c r="C10" s="81">
        <v>1515</v>
      </c>
      <c r="D10" s="81">
        <v>1808861.52</v>
      </c>
      <c r="E10" s="82">
        <f t="shared" ref="E10:E17" si="0">D10/60</f>
        <v>30147.691999999999</v>
      </c>
      <c r="F10" s="82">
        <f t="shared" ref="F10:F17" si="1">D10*1.5%</f>
        <v>27132.9228</v>
      </c>
      <c r="G10" s="81">
        <f t="shared" ref="G10:G13" si="2">D10*0%</f>
        <v>0</v>
      </c>
      <c r="H10" s="82">
        <f t="shared" ref="H10:H17" si="3">E10+F10+G10</f>
        <v>57280.614800000003</v>
      </c>
      <c r="I10" s="82">
        <f>H10*(100%+10.4%)</f>
        <v>63237.7987392</v>
      </c>
      <c r="J10" s="82">
        <f t="shared" ref="J10:J17" si="4">I10/12</f>
        <v>5269.8165615999997</v>
      </c>
      <c r="K10" s="82">
        <f t="shared" ref="K10:K17" si="5">J10*0.7</f>
        <v>3688.8715931199999</v>
      </c>
      <c r="L10" s="82">
        <f>K10*L8</f>
        <v>2951.097274496</v>
      </c>
      <c r="M10" s="82">
        <f>K10*M8</f>
        <v>3319.9844338080002</v>
      </c>
      <c r="N10" s="82">
        <f>K10*N8</f>
        <v>3688.8715931199999</v>
      </c>
      <c r="O10" s="82">
        <v>2137</v>
      </c>
      <c r="P10" s="82"/>
      <c r="Q10" s="82">
        <f>+O10*10%</f>
        <v>213.7</v>
      </c>
      <c r="R10" s="82"/>
      <c r="S10" s="102"/>
      <c r="T10" s="102"/>
      <c r="U10" s="103">
        <v>53</v>
      </c>
      <c r="V10" s="104">
        <f t="shared" ref="V10:V17" si="6">J10</f>
        <v>5269.8165615999997</v>
      </c>
      <c r="W10" s="104">
        <f t="shared" ref="W10:W17" si="7">L10</f>
        <v>2951.097274496</v>
      </c>
      <c r="X10" s="104">
        <f t="shared" ref="X10:X17" si="8">E10/12</f>
        <v>2512.3076666666698</v>
      </c>
      <c r="Y10" s="109">
        <f t="shared" ref="Y10:Y17" si="9">(X10/V10)*100</f>
        <v>47.673531655224998</v>
      </c>
      <c r="Z10" s="110">
        <f t="shared" ref="Z10:Z17" si="10">W10*Y10%</f>
        <v>1406.8922933333299</v>
      </c>
    </row>
    <row r="11" spans="1:26" ht="38.25" x14ac:dyDescent="0.25">
      <c r="A11" s="80" t="s">
        <v>47</v>
      </c>
      <c r="B11" s="81">
        <v>2</v>
      </c>
      <c r="C11" s="81">
        <v>1515</v>
      </c>
      <c r="D11" s="81">
        <v>1808861.52</v>
      </c>
      <c r="E11" s="82">
        <f t="shared" si="0"/>
        <v>30147.691999999999</v>
      </c>
      <c r="F11" s="82">
        <f t="shared" si="1"/>
        <v>27132.9228</v>
      </c>
      <c r="G11" s="81">
        <f t="shared" si="2"/>
        <v>0</v>
      </c>
      <c r="H11" s="82">
        <f t="shared" si="3"/>
        <v>57280.614800000003</v>
      </c>
      <c r="I11" s="82">
        <f t="shared" ref="I11:I18" si="11">H11*(100%+10.4%)</f>
        <v>63237.7987392</v>
      </c>
      <c r="J11" s="82">
        <f t="shared" si="4"/>
        <v>5269.8165615999997</v>
      </c>
      <c r="K11" s="82">
        <f t="shared" si="5"/>
        <v>3688.8715931199999</v>
      </c>
      <c r="L11" s="82">
        <f>K11*L8</f>
        <v>2951.097274496</v>
      </c>
      <c r="M11" s="82">
        <f>K11*M8</f>
        <v>3319.9844338080002</v>
      </c>
      <c r="N11" s="82">
        <f>K11*N8</f>
        <v>3688.8715931199999</v>
      </c>
      <c r="O11" s="82"/>
      <c r="P11" s="82"/>
      <c r="Q11" s="82"/>
      <c r="R11" s="82"/>
      <c r="S11" s="102"/>
      <c r="T11" s="102"/>
      <c r="U11" s="103">
        <v>73</v>
      </c>
      <c r="V11" s="104">
        <f t="shared" si="6"/>
        <v>5269.8165615999997</v>
      </c>
      <c r="W11" s="104">
        <f t="shared" si="7"/>
        <v>2951.097274496</v>
      </c>
      <c r="X11" s="104">
        <f t="shared" si="8"/>
        <v>2512.3076666666698</v>
      </c>
      <c r="Y11" s="109">
        <f t="shared" si="9"/>
        <v>47.673531655224998</v>
      </c>
      <c r="Z11" s="110">
        <f t="shared" si="10"/>
        <v>1406.8922933333299</v>
      </c>
    </row>
    <row r="12" spans="1:26" ht="38.25" x14ac:dyDescent="0.25">
      <c r="A12" s="80" t="s">
        <v>48</v>
      </c>
      <c r="B12" s="81">
        <v>3</v>
      </c>
      <c r="C12" s="81">
        <v>1520</v>
      </c>
      <c r="D12" s="81">
        <v>1814833.08</v>
      </c>
      <c r="E12" s="82">
        <f t="shared" si="0"/>
        <v>30247.218000000001</v>
      </c>
      <c r="F12" s="82">
        <f t="shared" si="1"/>
        <v>27222.496200000001</v>
      </c>
      <c r="G12" s="81">
        <f t="shared" si="2"/>
        <v>0</v>
      </c>
      <c r="H12" s="82">
        <f t="shared" si="3"/>
        <v>57469.714200000002</v>
      </c>
      <c r="I12" s="82">
        <f t="shared" si="11"/>
        <v>63446.564476799998</v>
      </c>
      <c r="J12" s="82">
        <f t="shared" si="4"/>
        <v>5287.2137063999999</v>
      </c>
      <c r="K12" s="82">
        <f t="shared" si="5"/>
        <v>3701.04959448</v>
      </c>
      <c r="L12" s="82">
        <f>K12*L8</f>
        <v>2960.8396755839999</v>
      </c>
      <c r="M12" s="82">
        <f>K12*M8</f>
        <v>3330.944635032</v>
      </c>
      <c r="N12" s="82">
        <f>K12*N8</f>
        <v>3701.04959448</v>
      </c>
      <c r="O12" s="82"/>
      <c r="P12" s="82"/>
      <c r="Q12" s="82"/>
      <c r="R12" s="82"/>
      <c r="S12" s="102"/>
      <c r="T12" s="102"/>
      <c r="U12" s="103"/>
      <c r="V12" s="104">
        <f t="shared" si="6"/>
        <v>5287.2137063999999</v>
      </c>
      <c r="W12" s="104">
        <f t="shared" si="7"/>
        <v>2960.8396755839999</v>
      </c>
      <c r="X12" s="104">
        <f t="shared" si="8"/>
        <v>2520.6015000000002</v>
      </c>
      <c r="Y12" s="109">
        <f t="shared" si="9"/>
        <v>47.673531655224998</v>
      </c>
      <c r="Z12" s="110">
        <f t="shared" si="10"/>
        <v>1411.53684</v>
      </c>
    </row>
    <row r="13" spans="1:26" ht="38.25" x14ac:dyDescent="0.25">
      <c r="A13" s="80" t="s">
        <v>49</v>
      </c>
      <c r="B13" s="83">
        <v>4</v>
      </c>
      <c r="C13" s="81">
        <v>1095</v>
      </c>
      <c r="D13" s="81">
        <v>1307394.969</v>
      </c>
      <c r="E13" s="82">
        <f t="shared" si="0"/>
        <v>21789.916150000001</v>
      </c>
      <c r="F13" s="82">
        <f t="shared" si="1"/>
        <v>19610.924534999998</v>
      </c>
      <c r="G13" s="81">
        <f t="shared" si="2"/>
        <v>0</v>
      </c>
      <c r="H13" s="82">
        <f t="shared" si="3"/>
        <v>41400.840685000003</v>
      </c>
      <c r="I13" s="82">
        <f t="shared" si="11"/>
        <v>45706.528116239999</v>
      </c>
      <c r="J13" s="82">
        <f t="shared" si="4"/>
        <v>3808.8773430199999</v>
      </c>
      <c r="K13" s="82">
        <f t="shared" si="5"/>
        <v>2666.2141401140002</v>
      </c>
      <c r="L13" s="82">
        <f>K13*L8</f>
        <v>2132.9713120912002</v>
      </c>
      <c r="M13" s="82">
        <f>K13*M8</f>
        <v>2399.5927261026</v>
      </c>
      <c r="N13" s="82">
        <f>K13*N8</f>
        <v>2666.2141401140002</v>
      </c>
      <c r="O13" s="82"/>
      <c r="P13" s="82"/>
      <c r="Q13" s="82"/>
      <c r="R13" s="82"/>
      <c r="S13" s="102"/>
      <c r="T13" s="102"/>
      <c r="U13" s="105"/>
      <c r="V13" s="104">
        <f t="shared" si="6"/>
        <v>3808.8773430199999</v>
      </c>
      <c r="W13" s="104">
        <f t="shared" si="7"/>
        <v>2132.9713120912002</v>
      </c>
      <c r="X13" s="104">
        <f t="shared" si="8"/>
        <v>1815.8263458333299</v>
      </c>
      <c r="Y13" s="109">
        <f t="shared" si="9"/>
        <v>47.673531655224998</v>
      </c>
      <c r="Z13" s="110">
        <f t="shared" si="10"/>
        <v>1016.86275366667</v>
      </c>
    </row>
    <row r="14" spans="1:26" ht="38.25" x14ac:dyDescent="0.25">
      <c r="A14" s="80" t="s">
        <v>50</v>
      </c>
      <c r="B14" s="83">
        <v>5</v>
      </c>
      <c r="C14" s="81">
        <v>1585</v>
      </c>
      <c r="D14" s="81">
        <v>1509496.87</v>
      </c>
      <c r="E14" s="82">
        <f t="shared" si="0"/>
        <v>25158.2811666667</v>
      </c>
      <c r="F14" s="82">
        <f t="shared" si="1"/>
        <v>22642.45305</v>
      </c>
      <c r="G14" s="81">
        <v>0</v>
      </c>
      <c r="H14" s="82">
        <f t="shared" si="3"/>
        <v>47800.7342166667</v>
      </c>
      <c r="I14" s="82">
        <f t="shared" si="11"/>
        <v>52772.010575200002</v>
      </c>
      <c r="J14" s="82">
        <f t="shared" si="4"/>
        <v>4397.6675479333298</v>
      </c>
      <c r="K14" s="82">
        <f t="shared" si="5"/>
        <v>3078.3672835533298</v>
      </c>
      <c r="L14" s="82">
        <f>K14*L8</f>
        <v>2462.6938268426702</v>
      </c>
      <c r="M14" s="82">
        <f>K14*M8</f>
        <v>2770.530555198</v>
      </c>
      <c r="N14" s="82">
        <f>K14*N8</f>
        <v>3078.3672835533298</v>
      </c>
      <c r="O14" s="82"/>
      <c r="P14" s="82"/>
      <c r="Q14" s="82"/>
      <c r="R14" s="82"/>
      <c r="S14" s="102"/>
      <c r="T14" s="102"/>
      <c r="U14" s="105"/>
      <c r="V14" s="104">
        <f t="shared" si="6"/>
        <v>4397.6675479333298</v>
      </c>
      <c r="W14" s="104">
        <f t="shared" si="7"/>
        <v>2462.6938268426702</v>
      </c>
      <c r="X14" s="104">
        <f t="shared" si="8"/>
        <v>2096.52343055556</v>
      </c>
      <c r="Y14" s="109">
        <f t="shared" si="9"/>
        <v>47.673531655224998</v>
      </c>
      <c r="Z14" s="110">
        <f t="shared" si="10"/>
        <v>1174.0531211111099</v>
      </c>
    </row>
    <row r="15" spans="1:26" ht="38.25" x14ac:dyDescent="0.25">
      <c r="A15" s="80" t="s">
        <v>51</v>
      </c>
      <c r="B15" s="83">
        <v>6</v>
      </c>
      <c r="C15" s="81">
        <v>1575</v>
      </c>
      <c r="D15" s="82">
        <v>1822545.02</v>
      </c>
      <c r="E15" s="82">
        <f t="shared" si="0"/>
        <v>30375.750333333301</v>
      </c>
      <c r="F15" s="82">
        <f t="shared" si="1"/>
        <v>27338.175299999999</v>
      </c>
      <c r="G15" s="81">
        <v>0</v>
      </c>
      <c r="H15" s="82">
        <f t="shared" si="3"/>
        <v>57713.925633333303</v>
      </c>
      <c r="I15" s="82">
        <f t="shared" si="11"/>
        <v>63716.173899200003</v>
      </c>
      <c r="J15" s="82">
        <f t="shared" si="4"/>
        <v>5309.6811582666696</v>
      </c>
      <c r="K15" s="82">
        <f t="shared" si="5"/>
        <v>3716.77681078667</v>
      </c>
      <c r="L15" s="82">
        <f>K15*N8</f>
        <v>3716.77681078667</v>
      </c>
      <c r="M15" s="82">
        <f>K15*M8</f>
        <v>3345.099129708</v>
      </c>
      <c r="N15" s="82">
        <f>K15*N8</f>
        <v>3716.77681078667</v>
      </c>
      <c r="O15" s="82"/>
      <c r="P15" s="82"/>
      <c r="Q15" s="82"/>
      <c r="R15" s="82"/>
      <c r="S15" s="102"/>
      <c r="T15" s="102"/>
      <c r="U15" s="105"/>
      <c r="V15" s="104">
        <f t="shared" si="6"/>
        <v>5309.6811582666696</v>
      </c>
      <c r="W15" s="104">
        <f t="shared" si="7"/>
        <v>3716.77681078667</v>
      </c>
      <c r="X15" s="104">
        <f t="shared" si="8"/>
        <v>2531.3125277777799</v>
      </c>
      <c r="Y15" s="109">
        <f t="shared" si="9"/>
        <v>47.673531655224998</v>
      </c>
      <c r="Z15" s="110">
        <f t="shared" si="10"/>
        <v>1771.9187694444399</v>
      </c>
    </row>
    <row r="16" spans="1:26" ht="38.25" x14ac:dyDescent="0.25">
      <c r="A16" s="80" t="s">
        <v>52</v>
      </c>
      <c r="B16" s="81">
        <v>7</v>
      </c>
      <c r="C16" s="81">
        <v>954.82</v>
      </c>
      <c r="D16" s="81">
        <v>1547439.66</v>
      </c>
      <c r="E16" s="82">
        <f t="shared" si="0"/>
        <v>25790.661</v>
      </c>
      <c r="F16" s="82">
        <f t="shared" si="1"/>
        <v>23211.5949</v>
      </c>
      <c r="G16" s="81">
        <v>0</v>
      </c>
      <c r="H16" s="82">
        <f t="shared" si="3"/>
        <v>49002.255899999996</v>
      </c>
      <c r="I16" s="82">
        <f t="shared" si="11"/>
        <v>54098.490513600002</v>
      </c>
      <c r="J16" s="82">
        <f t="shared" si="4"/>
        <v>4508.2075427999998</v>
      </c>
      <c r="K16" s="82">
        <f t="shared" si="5"/>
        <v>3155.7452799600001</v>
      </c>
      <c r="L16" s="82">
        <f>K16*L8</f>
        <v>2524.5962239679998</v>
      </c>
      <c r="M16" s="82">
        <f>K16*M8</f>
        <v>2840.1707519639999</v>
      </c>
      <c r="N16" s="82">
        <f>K16*N8</f>
        <v>3155.7452799600001</v>
      </c>
      <c r="O16" s="82"/>
      <c r="P16" s="82"/>
      <c r="Q16" s="82"/>
      <c r="R16" s="82"/>
      <c r="S16" s="102"/>
      <c r="T16" s="102"/>
      <c r="U16" s="105"/>
      <c r="V16" s="104">
        <f t="shared" si="6"/>
        <v>4508.2075427999998</v>
      </c>
      <c r="W16" s="104">
        <f t="shared" si="7"/>
        <v>2524.5962239679998</v>
      </c>
      <c r="X16" s="104">
        <f t="shared" si="8"/>
        <v>2149.2217500000002</v>
      </c>
      <c r="Y16" s="109">
        <f t="shared" si="9"/>
        <v>47.673531655224998</v>
      </c>
      <c r="Z16" s="110">
        <f t="shared" si="10"/>
        <v>1203.5641800000001</v>
      </c>
    </row>
    <row r="17" spans="1:26" ht="38.25" x14ac:dyDescent="0.25">
      <c r="A17" s="80" t="s">
        <v>53</v>
      </c>
      <c r="B17" s="81">
        <v>8</v>
      </c>
      <c r="C17" s="81">
        <v>716.36</v>
      </c>
      <c r="D17" s="81">
        <v>1160976.8</v>
      </c>
      <c r="E17" s="82">
        <f t="shared" si="0"/>
        <v>19349.613333333298</v>
      </c>
      <c r="F17" s="82">
        <f t="shared" si="1"/>
        <v>17414.651999999998</v>
      </c>
      <c r="G17" s="81">
        <v>0</v>
      </c>
      <c r="H17" s="82">
        <f t="shared" si="3"/>
        <v>36764.2653333333</v>
      </c>
      <c r="I17" s="82">
        <f t="shared" si="11"/>
        <v>40587.748928000001</v>
      </c>
      <c r="J17" s="82">
        <f t="shared" si="4"/>
        <v>3382.3124106666701</v>
      </c>
      <c r="K17" s="82">
        <f t="shared" si="5"/>
        <v>2367.6186874666701</v>
      </c>
      <c r="L17" s="82">
        <f>K17*L8</f>
        <v>1894.0949499733299</v>
      </c>
      <c r="M17" s="82">
        <f>K17*M8</f>
        <v>2130.8568187199999</v>
      </c>
      <c r="N17" s="82">
        <f>K17*N8</f>
        <v>2367.6186874666701</v>
      </c>
      <c r="O17" s="82"/>
      <c r="P17" s="82"/>
      <c r="Q17" s="82"/>
      <c r="R17" s="82"/>
      <c r="S17" s="102"/>
      <c r="T17" s="102"/>
      <c r="U17" s="105"/>
      <c r="V17" s="104">
        <f t="shared" si="6"/>
        <v>3382.3124106666701</v>
      </c>
      <c r="W17" s="104">
        <f t="shared" si="7"/>
        <v>1894.0949499733299</v>
      </c>
      <c r="X17" s="104">
        <f t="shared" si="8"/>
        <v>1612.4677777777799</v>
      </c>
      <c r="Y17" s="109">
        <f t="shared" si="9"/>
        <v>47.673531655224998</v>
      </c>
      <c r="Z17" s="110">
        <f t="shared" si="10"/>
        <v>902.98195555555503</v>
      </c>
    </row>
    <row r="18" spans="1:26" x14ac:dyDescent="0.25">
      <c r="B18" s="84" t="s">
        <v>54</v>
      </c>
      <c r="C18" s="84">
        <f t="shared" ref="C18:F18" si="12">SUM(C10:C17)</f>
        <v>10476.18</v>
      </c>
      <c r="D18" s="85">
        <f>SUM(D10:E17)</f>
        <v>12993416.2629833</v>
      </c>
      <c r="E18" s="85">
        <f t="shared" si="12"/>
        <v>213006.82398333299</v>
      </c>
      <c r="F18" s="85">
        <f t="shared" si="12"/>
        <v>191706.141585</v>
      </c>
      <c r="G18" s="84"/>
      <c r="H18" s="85">
        <f t="shared" ref="H18:N18" si="13">SUM(H10:H17)</f>
        <v>404712.96556833299</v>
      </c>
      <c r="I18" s="82">
        <f t="shared" si="11"/>
        <v>446803.11398744001</v>
      </c>
      <c r="J18" s="85">
        <f t="shared" si="13"/>
        <v>37233.592832286697</v>
      </c>
      <c r="K18" s="85">
        <f t="shared" si="13"/>
        <v>26063.5149826007</v>
      </c>
      <c r="L18" s="85">
        <f t="shared" si="13"/>
        <v>21594.167348237901</v>
      </c>
      <c r="M18" s="85">
        <f t="shared" si="13"/>
        <v>23457.163484340599</v>
      </c>
      <c r="N18" s="85">
        <f t="shared" si="13"/>
        <v>26063.5149826007</v>
      </c>
      <c r="O18" s="85"/>
      <c r="P18" s="85"/>
      <c r="Q18" s="85"/>
      <c r="R18" s="85"/>
      <c r="S18" s="106"/>
      <c r="T18" s="106"/>
      <c r="U18" s="92"/>
      <c r="V18" s="92">
        <f t="shared" ref="V18:Z18" si="14">SUM(V10:V17)</f>
        <v>37233.592832286697</v>
      </c>
      <c r="W18" s="92">
        <f t="shared" si="14"/>
        <v>21594.167348237901</v>
      </c>
      <c r="X18" s="92">
        <f t="shared" si="14"/>
        <v>17750.568665277799</v>
      </c>
      <c r="Y18" s="92">
        <f t="shared" si="14"/>
        <v>381.38825324179999</v>
      </c>
      <c r="Z18" s="92">
        <f t="shared" si="14"/>
        <v>10294.702206444401</v>
      </c>
    </row>
    <row r="20" spans="1:26" x14ac:dyDescent="0.25">
      <c r="H20" s="86"/>
    </row>
    <row r="21" spans="1:26" x14ac:dyDescent="0.25">
      <c r="B21" s="78" t="s">
        <v>42</v>
      </c>
    </row>
    <row r="23" spans="1:26" ht="175.15" customHeight="1" x14ac:dyDescent="0.25">
      <c r="B23" s="188" t="s">
        <v>3</v>
      </c>
      <c r="C23" s="188" t="s">
        <v>4</v>
      </c>
      <c r="D23" s="188" t="s">
        <v>5</v>
      </c>
      <c r="E23" s="188" t="s">
        <v>6</v>
      </c>
      <c r="F23" s="188" t="s">
        <v>7</v>
      </c>
      <c r="G23" s="188" t="s">
        <v>8</v>
      </c>
      <c r="H23" s="188" t="s">
        <v>9</v>
      </c>
      <c r="I23" s="93" t="s">
        <v>10</v>
      </c>
      <c r="J23" s="188" t="s">
        <v>11</v>
      </c>
      <c r="K23" s="93" t="s">
        <v>12</v>
      </c>
      <c r="L23" s="192" t="s">
        <v>13</v>
      </c>
      <c r="M23" s="193"/>
      <c r="N23" s="194"/>
      <c r="O23" s="188" t="s">
        <v>14</v>
      </c>
      <c r="P23" s="195" t="s">
        <v>15</v>
      </c>
      <c r="Q23" s="196"/>
      <c r="R23" s="196"/>
      <c r="S23" s="197"/>
      <c r="T23" s="190" t="s">
        <v>16</v>
      </c>
      <c r="U23" s="201" t="s">
        <v>17</v>
      </c>
      <c r="V23" s="198" t="s">
        <v>18</v>
      </c>
      <c r="W23" s="199"/>
      <c r="X23" s="199"/>
      <c r="Y23" s="200"/>
      <c r="Z23" s="186" t="s">
        <v>19</v>
      </c>
    </row>
    <row r="24" spans="1:26" ht="51" x14ac:dyDescent="0.25">
      <c r="B24" s="189"/>
      <c r="C24" s="189"/>
      <c r="D24" s="189"/>
      <c r="E24" s="189"/>
      <c r="F24" s="189"/>
      <c r="G24" s="189"/>
      <c r="H24" s="189"/>
      <c r="I24" s="93">
        <v>10.4</v>
      </c>
      <c r="J24" s="189"/>
      <c r="K24" s="93">
        <v>0.7</v>
      </c>
      <c r="L24" s="94">
        <v>0.8</v>
      </c>
      <c r="M24" s="95">
        <v>0.9</v>
      </c>
      <c r="N24" s="96">
        <v>1</v>
      </c>
      <c r="O24" s="189"/>
      <c r="P24" s="97">
        <v>0.1</v>
      </c>
      <c r="Q24" s="100">
        <v>0.2</v>
      </c>
      <c r="R24" s="100">
        <v>0.3</v>
      </c>
      <c r="S24" s="100">
        <v>0.1</v>
      </c>
      <c r="T24" s="191"/>
      <c r="U24" s="202"/>
      <c r="V24" s="101" t="s">
        <v>20</v>
      </c>
      <c r="W24" s="101" t="s">
        <v>21</v>
      </c>
      <c r="X24" s="101" t="s">
        <v>22</v>
      </c>
      <c r="Y24" s="101" t="s">
        <v>23</v>
      </c>
      <c r="Z24" s="187"/>
    </row>
    <row r="25" spans="1:26" x14ac:dyDescent="0.25">
      <c r="B25" s="79">
        <v>0</v>
      </c>
      <c r="C25" s="79">
        <v>1</v>
      </c>
      <c r="D25" s="79">
        <v>2</v>
      </c>
      <c r="E25" s="79" t="s">
        <v>24</v>
      </c>
      <c r="F25" s="79" t="s">
        <v>25</v>
      </c>
      <c r="G25" s="79" t="s">
        <v>26</v>
      </c>
      <c r="H25" s="79" t="s">
        <v>27</v>
      </c>
      <c r="I25" s="79" t="s">
        <v>28</v>
      </c>
      <c r="J25" s="79" t="s">
        <v>29</v>
      </c>
      <c r="K25" s="79" t="s">
        <v>30</v>
      </c>
      <c r="L25" s="79" t="s">
        <v>31</v>
      </c>
      <c r="M25" s="79" t="s">
        <v>32</v>
      </c>
      <c r="N25" s="79" t="s">
        <v>32</v>
      </c>
      <c r="O25" s="79">
        <v>10</v>
      </c>
      <c r="P25" s="98" t="s">
        <v>33</v>
      </c>
      <c r="Q25" s="98" t="s">
        <v>34</v>
      </c>
      <c r="R25" s="98" t="s">
        <v>35</v>
      </c>
      <c r="S25" s="98" t="s">
        <v>36</v>
      </c>
      <c r="T25" s="98" t="s">
        <v>37</v>
      </c>
      <c r="U25" s="98" t="s">
        <v>38</v>
      </c>
      <c r="V25" s="79">
        <v>13</v>
      </c>
      <c r="W25" s="98" t="s">
        <v>39</v>
      </c>
      <c r="X25" s="98" t="s">
        <v>40</v>
      </c>
      <c r="Y25" s="98" t="s">
        <v>41</v>
      </c>
      <c r="Z25" s="79">
        <v>14</v>
      </c>
    </row>
    <row r="26" spans="1:26" ht="38.25" x14ac:dyDescent="0.25">
      <c r="A26" s="80" t="s">
        <v>46</v>
      </c>
      <c r="B26" s="87">
        <v>1</v>
      </c>
      <c r="C26" s="81">
        <v>1515</v>
      </c>
      <c r="D26" s="81">
        <v>1808861.52</v>
      </c>
      <c r="E26" s="82">
        <f t="shared" ref="E26:E33" si="15">D26/60</f>
        <v>30147.691999999999</v>
      </c>
      <c r="F26" s="82">
        <f t="shared" ref="F26:F33" si="16">D26*1.5%</f>
        <v>27132.9228</v>
      </c>
      <c r="G26" s="88">
        <f t="shared" ref="G26:G33" si="17">D26*0.5%</f>
        <v>9044.3076000000001</v>
      </c>
      <c r="H26" s="88">
        <f t="shared" ref="H26:H33" si="18">E26+F26+G26</f>
        <v>66324.922399999996</v>
      </c>
      <c r="I26" s="88">
        <f t="shared" ref="I26:I33" si="19">H26*10.4%</f>
        <v>6897.7919296</v>
      </c>
      <c r="J26" s="88">
        <f t="shared" ref="J26:J33" si="20">I26/12</f>
        <v>574.81599413333299</v>
      </c>
      <c r="K26" s="88">
        <f>J26*K24</f>
        <v>402.37119589333298</v>
      </c>
      <c r="L26" s="82">
        <f>K26*L24</f>
        <v>321.896956714667</v>
      </c>
      <c r="M26" s="82">
        <f>K26*M24</f>
        <v>362.13407630400002</v>
      </c>
      <c r="N26" s="82">
        <f>K26*N24</f>
        <v>402.37119589333298</v>
      </c>
      <c r="O26" s="82"/>
      <c r="P26" s="82"/>
      <c r="Q26" s="82"/>
      <c r="R26" s="82"/>
      <c r="S26" s="102"/>
      <c r="T26" s="102"/>
      <c r="U26" s="103">
        <v>53</v>
      </c>
      <c r="V26" s="104">
        <f t="shared" ref="V26:V33" si="21">J26</f>
        <v>574.81599413333299</v>
      </c>
      <c r="W26" s="104">
        <f t="shared" ref="W26:W33" si="22">L26</f>
        <v>321.896956714667</v>
      </c>
      <c r="X26" s="104">
        <f t="shared" ref="X26:X34" si="23">E26/12</f>
        <v>2512.3076666666698</v>
      </c>
      <c r="Y26" s="109">
        <f t="shared" ref="Y26:Y33" si="24">(X26/V26)*100</f>
        <v>437.06293706293701</v>
      </c>
      <c r="Z26" s="110">
        <f t="shared" ref="Z26:Z33" si="25">W26*Y26%</f>
        <v>1406.8922933333299</v>
      </c>
    </row>
    <row r="27" spans="1:26" ht="38.25" x14ac:dyDescent="0.25">
      <c r="A27" s="80" t="s">
        <v>47</v>
      </c>
      <c r="B27" s="87">
        <v>2</v>
      </c>
      <c r="C27" s="81">
        <v>1515</v>
      </c>
      <c r="D27" s="81">
        <v>1808861.52</v>
      </c>
      <c r="E27" s="82">
        <f t="shared" si="15"/>
        <v>30147.691999999999</v>
      </c>
      <c r="F27" s="82">
        <f t="shared" si="16"/>
        <v>27132.9228</v>
      </c>
      <c r="G27" s="88">
        <f t="shared" si="17"/>
        <v>9044.3076000000001</v>
      </c>
      <c r="H27" s="88">
        <f t="shared" si="18"/>
        <v>66324.922399999996</v>
      </c>
      <c r="I27" s="88">
        <f t="shared" si="19"/>
        <v>6897.7919296</v>
      </c>
      <c r="J27" s="88">
        <f t="shared" si="20"/>
        <v>574.81599413333299</v>
      </c>
      <c r="K27" s="88">
        <f>J27*K24</f>
        <v>402.37119589333298</v>
      </c>
      <c r="L27" s="88">
        <f>K27*L24</f>
        <v>321.896956714667</v>
      </c>
      <c r="M27" s="88">
        <f>K27*M24</f>
        <v>362.13407630400002</v>
      </c>
      <c r="N27" s="99">
        <f>K27*N24</f>
        <v>402.37119589333298</v>
      </c>
      <c r="O27" s="99"/>
      <c r="P27" s="99"/>
      <c r="Q27" s="99"/>
      <c r="R27" s="99"/>
      <c r="S27" s="102"/>
      <c r="T27" s="102"/>
      <c r="U27" s="105"/>
      <c r="V27" s="104">
        <f t="shared" si="21"/>
        <v>574.81599413333299</v>
      </c>
      <c r="W27" s="104">
        <f t="shared" si="22"/>
        <v>321.896956714667</v>
      </c>
      <c r="X27" s="104">
        <f t="shared" si="23"/>
        <v>2512.3076666666698</v>
      </c>
      <c r="Y27" s="109">
        <f t="shared" si="24"/>
        <v>437.06293706293701</v>
      </c>
      <c r="Z27" s="110">
        <f t="shared" si="25"/>
        <v>1406.8922933333299</v>
      </c>
    </row>
    <row r="28" spans="1:26" ht="38.25" x14ac:dyDescent="0.25">
      <c r="A28" s="80" t="s">
        <v>48</v>
      </c>
      <c r="B28" s="89">
        <v>3</v>
      </c>
      <c r="C28" s="81">
        <v>1520</v>
      </c>
      <c r="D28" s="81">
        <v>1814833.08</v>
      </c>
      <c r="E28" s="82">
        <f t="shared" si="15"/>
        <v>30247.218000000001</v>
      </c>
      <c r="F28" s="82">
        <f t="shared" si="16"/>
        <v>27222.496200000001</v>
      </c>
      <c r="G28" s="88">
        <f t="shared" si="17"/>
        <v>9074.1653999999999</v>
      </c>
      <c r="H28" s="88">
        <f t="shared" si="18"/>
        <v>66543.8796</v>
      </c>
      <c r="I28" s="88">
        <f t="shared" si="19"/>
        <v>6920.5634784000003</v>
      </c>
      <c r="J28" s="88">
        <f t="shared" si="20"/>
        <v>576.71362320000003</v>
      </c>
      <c r="K28" s="88">
        <f>J28*K24</f>
        <v>403.69953623999999</v>
      </c>
      <c r="L28" s="88">
        <f>K28*L24</f>
        <v>322.95962899199998</v>
      </c>
      <c r="M28" s="88">
        <f>K28*M24</f>
        <v>363.32958261599998</v>
      </c>
      <c r="N28" s="99">
        <f>K28*N24</f>
        <v>403.69953623999999</v>
      </c>
      <c r="O28" s="99"/>
      <c r="P28" s="99"/>
      <c r="Q28" s="99"/>
      <c r="R28" s="99"/>
      <c r="S28" s="102"/>
      <c r="T28" s="102"/>
      <c r="U28" s="105"/>
      <c r="V28" s="104">
        <f t="shared" si="21"/>
        <v>576.71362320000003</v>
      </c>
      <c r="W28" s="104">
        <f t="shared" si="22"/>
        <v>322.95962899199998</v>
      </c>
      <c r="X28" s="104">
        <f t="shared" si="23"/>
        <v>2520.6015000000002</v>
      </c>
      <c r="Y28" s="109">
        <f t="shared" si="24"/>
        <v>437.06293706293701</v>
      </c>
      <c r="Z28" s="110">
        <f t="shared" si="25"/>
        <v>1411.53684</v>
      </c>
    </row>
    <row r="29" spans="1:26" ht="38.25" x14ac:dyDescent="0.25">
      <c r="A29" s="80" t="s">
        <v>49</v>
      </c>
      <c r="B29" s="89">
        <v>4</v>
      </c>
      <c r="C29" s="81">
        <v>1095</v>
      </c>
      <c r="D29" s="81">
        <v>1307394.969</v>
      </c>
      <c r="E29" s="82">
        <f t="shared" si="15"/>
        <v>21789.916150000001</v>
      </c>
      <c r="F29" s="82">
        <f t="shared" si="16"/>
        <v>19610.924534999998</v>
      </c>
      <c r="G29" s="88">
        <f t="shared" si="17"/>
        <v>6536.9748449999997</v>
      </c>
      <c r="H29" s="88">
        <f t="shared" si="18"/>
        <v>47937.81553</v>
      </c>
      <c r="I29" s="88">
        <f t="shared" si="19"/>
        <v>4985.5328151200001</v>
      </c>
      <c r="J29" s="88">
        <f t="shared" si="20"/>
        <v>415.461067926667</v>
      </c>
      <c r="K29" s="88">
        <f>J29*K24</f>
        <v>290.822747548667</v>
      </c>
      <c r="L29" s="88">
        <f>K29*L24</f>
        <v>232.65819803893299</v>
      </c>
      <c r="M29" s="88">
        <f>K29*M24</f>
        <v>261.7404727938</v>
      </c>
      <c r="N29" s="99">
        <f>K29*N24</f>
        <v>290.822747548667</v>
      </c>
      <c r="O29" s="99"/>
      <c r="P29" s="99"/>
      <c r="Q29" s="99"/>
      <c r="R29" s="99"/>
      <c r="S29" s="102"/>
      <c r="T29" s="102"/>
      <c r="U29" s="105"/>
      <c r="V29" s="104">
        <f t="shared" si="21"/>
        <v>415.461067926667</v>
      </c>
      <c r="W29" s="104">
        <f t="shared" si="22"/>
        <v>232.65819803893299</v>
      </c>
      <c r="X29" s="104">
        <f t="shared" si="23"/>
        <v>1815.8263458333299</v>
      </c>
      <c r="Y29" s="109">
        <f t="shared" si="24"/>
        <v>437.06293706293701</v>
      </c>
      <c r="Z29" s="110">
        <f t="shared" si="25"/>
        <v>1016.86275366667</v>
      </c>
    </row>
    <row r="30" spans="1:26" ht="38.25" x14ac:dyDescent="0.25">
      <c r="A30" s="80" t="s">
        <v>50</v>
      </c>
      <c r="B30" s="89">
        <v>5</v>
      </c>
      <c r="C30" s="81">
        <v>1585</v>
      </c>
      <c r="D30" s="81">
        <v>1509496.87</v>
      </c>
      <c r="E30" s="82">
        <f t="shared" si="15"/>
        <v>25158.2811666667</v>
      </c>
      <c r="F30" s="82">
        <f t="shared" si="16"/>
        <v>22642.45305</v>
      </c>
      <c r="G30" s="88">
        <f t="shared" si="17"/>
        <v>7547.4843499999997</v>
      </c>
      <c r="H30" s="88">
        <f t="shared" si="18"/>
        <v>55348.218566666699</v>
      </c>
      <c r="I30" s="88">
        <f t="shared" si="19"/>
        <v>5756.2147309333304</v>
      </c>
      <c r="J30" s="88">
        <f t="shared" si="20"/>
        <v>479.68456091111102</v>
      </c>
      <c r="K30" s="88">
        <f>J30*K24</f>
        <v>335.77919263777801</v>
      </c>
      <c r="L30" s="88">
        <f>K30*L24</f>
        <v>268.62335411022201</v>
      </c>
      <c r="M30" s="88">
        <f>K30*M24</f>
        <v>302.20127337399998</v>
      </c>
      <c r="N30" s="99">
        <f>K30*N24</f>
        <v>335.77919263777801</v>
      </c>
      <c r="O30" s="99"/>
      <c r="P30" s="99"/>
      <c r="Q30" s="99"/>
      <c r="R30" s="99"/>
      <c r="S30" s="102"/>
      <c r="T30" s="102"/>
      <c r="U30" s="105"/>
      <c r="V30" s="104">
        <f t="shared" si="21"/>
        <v>479.68456091111102</v>
      </c>
      <c r="W30" s="104">
        <f t="shared" si="22"/>
        <v>268.62335411022201</v>
      </c>
      <c r="X30" s="104">
        <f t="shared" si="23"/>
        <v>2096.52343055556</v>
      </c>
      <c r="Y30" s="109">
        <f t="shared" si="24"/>
        <v>437.06293706293701</v>
      </c>
      <c r="Z30" s="110">
        <f t="shared" si="25"/>
        <v>1174.0531211111099</v>
      </c>
    </row>
    <row r="31" spans="1:26" ht="38.25" x14ac:dyDescent="0.25">
      <c r="A31" s="80" t="s">
        <v>51</v>
      </c>
      <c r="B31" s="87">
        <v>6</v>
      </c>
      <c r="C31" s="81">
        <v>1575</v>
      </c>
      <c r="D31" s="82">
        <v>1822545.02</v>
      </c>
      <c r="E31" s="82">
        <f t="shared" si="15"/>
        <v>30375.750333333301</v>
      </c>
      <c r="F31" s="82">
        <f t="shared" si="16"/>
        <v>27338.175299999999</v>
      </c>
      <c r="G31" s="88">
        <f t="shared" si="17"/>
        <v>9112.7250999999997</v>
      </c>
      <c r="H31" s="88">
        <f t="shared" si="18"/>
        <v>66826.650733333299</v>
      </c>
      <c r="I31" s="88">
        <f t="shared" si="19"/>
        <v>6949.9716762666703</v>
      </c>
      <c r="J31" s="88">
        <f t="shared" si="20"/>
        <v>579.16430635555605</v>
      </c>
      <c r="K31" s="88">
        <f>J31*K24</f>
        <v>405.415014448889</v>
      </c>
      <c r="L31" s="88">
        <f>K31*L24</f>
        <v>324.33201155911098</v>
      </c>
      <c r="M31" s="88">
        <f>K31*M24</f>
        <v>364.87351300400002</v>
      </c>
      <c r="N31" s="99">
        <f>K31*N24</f>
        <v>405.415014448889</v>
      </c>
      <c r="O31" s="99"/>
      <c r="P31" s="99"/>
      <c r="Q31" s="99"/>
      <c r="R31" s="99"/>
      <c r="S31" s="102"/>
      <c r="T31" s="102"/>
      <c r="U31" s="105"/>
      <c r="V31" s="104">
        <f t="shared" si="21"/>
        <v>579.16430635555605</v>
      </c>
      <c r="W31" s="104">
        <f t="shared" si="22"/>
        <v>324.33201155911098</v>
      </c>
      <c r="X31" s="104">
        <f t="shared" si="23"/>
        <v>2531.3125277777799</v>
      </c>
      <c r="Y31" s="109">
        <f t="shared" si="24"/>
        <v>437.06293706293701</v>
      </c>
      <c r="Z31" s="110">
        <f t="shared" si="25"/>
        <v>1417.53501555556</v>
      </c>
    </row>
    <row r="32" spans="1:26" ht="38.25" x14ac:dyDescent="0.25">
      <c r="A32" s="80" t="s">
        <v>52</v>
      </c>
      <c r="B32" s="87">
        <v>7</v>
      </c>
      <c r="C32" s="81">
        <v>954.82</v>
      </c>
      <c r="D32" s="81">
        <v>1547439.66</v>
      </c>
      <c r="E32" s="82">
        <f t="shared" si="15"/>
        <v>25790.661</v>
      </c>
      <c r="F32" s="82">
        <f t="shared" si="16"/>
        <v>23211.5949</v>
      </c>
      <c r="G32" s="88">
        <f t="shared" si="17"/>
        <v>7737.1983</v>
      </c>
      <c r="H32" s="88">
        <f t="shared" si="18"/>
        <v>56739.4542</v>
      </c>
      <c r="I32" s="88">
        <f t="shared" si="19"/>
        <v>5900.9032367999998</v>
      </c>
      <c r="J32" s="88">
        <f t="shared" si="20"/>
        <v>491.74193639999999</v>
      </c>
      <c r="K32" s="88">
        <f>J32*K24</f>
        <v>344.21935547999999</v>
      </c>
      <c r="L32" s="88">
        <f>K32*L24</f>
        <v>275.375484384</v>
      </c>
      <c r="M32" s="88">
        <f>K32*M24</f>
        <v>309.79741993200003</v>
      </c>
      <c r="N32" s="99">
        <f>K32*N24</f>
        <v>344.21935547999999</v>
      </c>
      <c r="O32" s="99"/>
      <c r="P32" s="99"/>
      <c r="Q32" s="99"/>
      <c r="R32" s="99"/>
      <c r="S32" s="102"/>
      <c r="T32" s="102"/>
      <c r="U32" s="105"/>
      <c r="V32" s="104">
        <f t="shared" si="21"/>
        <v>491.74193639999999</v>
      </c>
      <c r="W32" s="104">
        <f t="shared" si="22"/>
        <v>275.375484384</v>
      </c>
      <c r="X32" s="104">
        <f t="shared" si="23"/>
        <v>2149.2217500000002</v>
      </c>
      <c r="Y32" s="109">
        <f t="shared" si="24"/>
        <v>437.06293706293701</v>
      </c>
      <c r="Z32" s="110">
        <f t="shared" si="25"/>
        <v>1203.5641800000001</v>
      </c>
    </row>
    <row r="33" spans="1:26" ht="38.25" x14ac:dyDescent="0.25">
      <c r="A33" s="80" t="s">
        <v>53</v>
      </c>
      <c r="B33" s="87">
        <v>8</v>
      </c>
      <c r="C33" s="81">
        <v>716.36</v>
      </c>
      <c r="D33" s="81">
        <v>1160976.8</v>
      </c>
      <c r="E33" s="82">
        <f t="shared" si="15"/>
        <v>19349.613333333298</v>
      </c>
      <c r="F33" s="82">
        <f t="shared" si="16"/>
        <v>17414.651999999998</v>
      </c>
      <c r="G33" s="87">
        <f t="shared" si="17"/>
        <v>5804.884</v>
      </c>
      <c r="H33" s="88">
        <f t="shared" si="18"/>
        <v>42569.149333333298</v>
      </c>
      <c r="I33" s="88">
        <f t="shared" si="19"/>
        <v>4427.1915306666697</v>
      </c>
      <c r="J33" s="88">
        <f t="shared" si="20"/>
        <v>368.932627555556</v>
      </c>
      <c r="K33" s="88">
        <f>J33*K24</f>
        <v>258.25283928888899</v>
      </c>
      <c r="L33" s="88">
        <f>K33*L24</f>
        <v>206.60227143111101</v>
      </c>
      <c r="M33" s="88">
        <f>K33*M24</f>
        <v>232.42755536000001</v>
      </c>
      <c r="N33" s="99">
        <f>K33*N24</f>
        <v>258.25283928888899</v>
      </c>
      <c r="O33" s="99"/>
      <c r="P33" s="99"/>
      <c r="Q33" s="99"/>
      <c r="R33" s="99"/>
      <c r="S33" s="102"/>
      <c r="T33" s="102"/>
      <c r="U33" s="107"/>
      <c r="V33" s="104">
        <f t="shared" si="21"/>
        <v>368.932627555556</v>
      </c>
      <c r="W33" s="104">
        <f t="shared" si="22"/>
        <v>206.60227143111101</v>
      </c>
      <c r="X33" s="104">
        <f t="shared" si="23"/>
        <v>1612.4677777777799</v>
      </c>
      <c r="Y33" s="109">
        <f t="shared" si="24"/>
        <v>437.06293706293701</v>
      </c>
      <c r="Z33" s="110">
        <f t="shared" si="25"/>
        <v>902.98195555555606</v>
      </c>
    </row>
    <row r="34" spans="1:26" ht="30.6" customHeight="1" x14ac:dyDescent="0.25">
      <c r="B34" s="90" t="s">
        <v>54</v>
      </c>
      <c r="C34" s="91">
        <f t="shared" ref="C34:I34" si="26">SUM(C26:C33)</f>
        <v>10476.18</v>
      </c>
      <c r="D34" s="91">
        <f t="shared" si="26"/>
        <v>12780409.438999999</v>
      </c>
      <c r="E34" s="92">
        <f t="shared" si="26"/>
        <v>213006.82398333299</v>
      </c>
      <c r="F34" s="92">
        <f t="shared" si="26"/>
        <v>191706.141585</v>
      </c>
      <c r="G34" s="92">
        <f t="shared" si="26"/>
        <v>63902.047194999999</v>
      </c>
      <c r="H34" s="92">
        <f t="shared" si="26"/>
        <v>468615.01276333298</v>
      </c>
      <c r="I34" s="92">
        <f t="shared" si="26"/>
        <v>48735.9613273867</v>
      </c>
      <c r="J34" s="92">
        <f>SUM(K26:K33)</f>
        <v>2842.9310774308901</v>
      </c>
      <c r="K34" s="92">
        <f t="shared" ref="K34:N34" si="27">SUM(K26:K33)</f>
        <v>2842.9310774308901</v>
      </c>
      <c r="L34" s="92">
        <f t="shared" si="27"/>
        <v>2274.3448619447099</v>
      </c>
      <c r="M34" s="92">
        <f t="shared" si="27"/>
        <v>2558.6379696877998</v>
      </c>
      <c r="N34" s="92">
        <f t="shared" si="27"/>
        <v>2842.9310774308901</v>
      </c>
      <c r="O34" s="91"/>
      <c r="P34" s="91"/>
      <c r="Q34" s="91"/>
      <c r="R34" s="91"/>
      <c r="S34" s="85"/>
      <c r="T34" s="85"/>
      <c r="U34" s="91"/>
      <c r="V34" s="108">
        <f t="shared" ref="V34:Z34" si="28">SUM(V26:V33)</f>
        <v>4061.33011061556</v>
      </c>
      <c r="W34" s="108">
        <f t="shared" si="28"/>
        <v>2274.3448619447099</v>
      </c>
      <c r="X34" s="108">
        <f t="shared" si="23"/>
        <v>17750.568665277799</v>
      </c>
      <c r="Y34" s="110">
        <f t="shared" si="28"/>
        <v>3496.5034965035002</v>
      </c>
      <c r="Z34" s="110">
        <f t="shared" si="28"/>
        <v>9940.3184525555607</v>
      </c>
    </row>
  </sheetData>
  <mergeCells count="30">
    <mergeCell ref="U7:U8"/>
    <mergeCell ref="U23:U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Z7:Z8"/>
    <mergeCell ref="Z23:Z24"/>
    <mergeCell ref="H7:H8"/>
    <mergeCell ref="H23:H24"/>
    <mergeCell ref="J7:J8"/>
    <mergeCell ref="J23:J24"/>
    <mergeCell ref="O7:O8"/>
    <mergeCell ref="O23:O24"/>
    <mergeCell ref="L7:N7"/>
    <mergeCell ref="P7:S7"/>
    <mergeCell ref="V7:Y7"/>
    <mergeCell ref="L23:N23"/>
    <mergeCell ref="P23:S23"/>
    <mergeCell ref="V23:Y23"/>
    <mergeCell ref="T7:T8"/>
    <mergeCell ref="T23:T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03"/>
  <sheetViews>
    <sheetView tabSelected="1" topLeftCell="A10" zoomScale="80" zoomScaleNormal="80" workbookViewId="0">
      <selection activeCell="AD219" sqref="AD219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12.8554687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8.42578125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1" t="s">
        <v>247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5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0.25" x14ac:dyDescent="0.25">
      <c r="B6" s="3"/>
      <c r="C6" s="223" t="s">
        <v>55</v>
      </c>
      <c r="D6" s="223"/>
      <c r="E6" s="223"/>
      <c r="F6" s="223"/>
      <c r="G6" s="2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7"/>
      <c r="W6" s="27"/>
      <c r="X6" s="27"/>
      <c r="Y6" s="27"/>
      <c r="Z6" s="27"/>
      <c r="AA6" s="27"/>
      <c r="AB6" s="27"/>
      <c r="AC6" s="27"/>
      <c r="AD6" s="4"/>
      <c r="AE6" s="4"/>
      <c r="AF6" s="4"/>
      <c r="AG6" s="4"/>
      <c r="AH6" s="4"/>
    </row>
    <row r="7" spans="1:34" ht="12.9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1"/>
      <c r="U7" s="51"/>
      <c r="V7" s="138"/>
      <c r="W7" s="138"/>
      <c r="X7" s="27"/>
      <c r="Y7" s="27"/>
      <c r="Z7" s="27"/>
      <c r="AA7" s="27"/>
      <c r="AB7" s="27"/>
      <c r="AC7" s="27"/>
      <c r="AD7" s="4"/>
      <c r="AE7" s="4"/>
      <c r="AF7" s="4"/>
      <c r="AG7" s="4"/>
      <c r="AH7" s="4"/>
    </row>
    <row r="8" spans="1:34" ht="15" x14ac:dyDescent="0.25">
      <c r="B8" s="4"/>
      <c r="C8" s="4"/>
      <c r="D8" s="5" t="s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1"/>
      <c r="U8" s="51"/>
      <c r="V8" s="138"/>
      <c r="W8" s="138"/>
      <c r="X8" s="27"/>
      <c r="Y8" s="27"/>
      <c r="Z8" s="27"/>
      <c r="AA8" s="27"/>
      <c r="AB8" s="27"/>
      <c r="AC8" s="27"/>
      <c r="AD8" s="4"/>
      <c r="AE8" s="4"/>
      <c r="AF8" s="4"/>
      <c r="AG8" s="4"/>
      <c r="AH8" s="4"/>
    </row>
    <row r="9" spans="1:34" x14ac:dyDescent="0.25">
      <c r="B9" s="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6" customHeight="1" x14ac:dyDescent="0.25">
      <c r="B10" s="215" t="s">
        <v>1</v>
      </c>
      <c r="C10" s="217" t="s">
        <v>56</v>
      </c>
      <c r="D10" s="209" t="s">
        <v>3</v>
      </c>
      <c r="E10" s="209" t="s">
        <v>4</v>
      </c>
      <c r="F10" s="209" t="s">
        <v>5</v>
      </c>
      <c r="G10" s="209" t="s">
        <v>6</v>
      </c>
      <c r="H10" s="209" t="s">
        <v>7</v>
      </c>
      <c r="I10" s="209" t="s">
        <v>8</v>
      </c>
      <c r="J10" s="209" t="s">
        <v>9</v>
      </c>
      <c r="K10" s="209" t="s">
        <v>57</v>
      </c>
      <c r="L10" s="22" t="s">
        <v>10</v>
      </c>
      <c r="M10" s="22" t="s">
        <v>10</v>
      </c>
      <c r="N10" s="22" t="s">
        <v>12</v>
      </c>
      <c r="O10" s="211" t="s">
        <v>13</v>
      </c>
      <c r="P10" s="212"/>
      <c r="Q10" s="213"/>
      <c r="R10" s="209" t="s">
        <v>14</v>
      </c>
      <c r="S10" s="225" t="s">
        <v>58</v>
      </c>
      <c r="T10" s="226"/>
      <c r="U10" s="226"/>
      <c r="V10" s="227"/>
      <c r="W10" s="207" t="s">
        <v>21</v>
      </c>
      <c r="X10" s="209" t="s">
        <v>9</v>
      </c>
      <c r="Y10" s="22" t="s">
        <v>242</v>
      </c>
      <c r="Z10" s="22" t="s">
        <v>243</v>
      </c>
      <c r="AA10" s="22" t="s">
        <v>156</v>
      </c>
      <c r="AB10" s="207" t="s">
        <v>59</v>
      </c>
      <c r="AC10" s="228" t="s">
        <v>18</v>
      </c>
      <c r="AD10" s="229"/>
      <c r="AE10" s="229"/>
      <c r="AF10" s="229"/>
      <c r="AG10" s="205" t="s">
        <v>19</v>
      </c>
      <c r="AH10" s="4"/>
    </row>
    <row r="11" spans="1:34" ht="66.599999999999994" customHeight="1" x14ac:dyDescent="0.25">
      <c r="B11" s="216"/>
      <c r="C11" s="218"/>
      <c r="D11" s="210"/>
      <c r="E11" s="210"/>
      <c r="F11" s="210"/>
      <c r="G11" s="210"/>
      <c r="H11" s="210"/>
      <c r="I11" s="210"/>
      <c r="J11" s="210"/>
      <c r="K11" s="210"/>
      <c r="L11" s="22">
        <v>5.6</v>
      </c>
      <c r="M11" s="22">
        <v>5.6</v>
      </c>
      <c r="N11" s="22">
        <v>0.7</v>
      </c>
      <c r="O11" s="23">
        <v>0.8</v>
      </c>
      <c r="P11" s="24">
        <v>0.9</v>
      </c>
      <c r="Q11" s="28">
        <v>1</v>
      </c>
      <c r="R11" s="210"/>
      <c r="S11" s="29">
        <v>0.1</v>
      </c>
      <c r="T11" s="30">
        <v>0.2</v>
      </c>
      <c r="U11" s="30">
        <v>0.3</v>
      </c>
      <c r="V11" s="30">
        <v>0.1</v>
      </c>
      <c r="W11" s="208"/>
      <c r="X11" s="210"/>
      <c r="Y11" s="22">
        <v>10.4</v>
      </c>
      <c r="Z11" s="22">
        <v>5.6</v>
      </c>
      <c r="AA11" s="22">
        <v>7.3</v>
      </c>
      <c r="AB11" s="208"/>
      <c r="AC11" s="33" t="s">
        <v>20</v>
      </c>
      <c r="AD11" s="33" t="s">
        <v>21</v>
      </c>
      <c r="AE11" s="33" t="s">
        <v>22</v>
      </c>
      <c r="AF11" s="33" t="s">
        <v>23</v>
      </c>
      <c r="AG11" s="206"/>
      <c r="AH11" s="4"/>
    </row>
    <row r="12" spans="1:34" ht="13.35" customHeight="1" x14ac:dyDescent="0.25">
      <c r="B12" s="7"/>
      <c r="C12" s="8"/>
      <c r="D12" s="9">
        <v>0</v>
      </c>
      <c r="E12" s="9">
        <v>1</v>
      </c>
      <c r="F12" s="9">
        <v>2</v>
      </c>
      <c r="G12" s="9" t="s">
        <v>24</v>
      </c>
      <c r="H12" s="9" t="s">
        <v>25</v>
      </c>
      <c r="I12" s="9" t="s">
        <v>26</v>
      </c>
      <c r="J12" s="9" t="s">
        <v>27</v>
      </c>
      <c r="K12" s="25" t="s">
        <v>60</v>
      </c>
      <c r="L12" s="9" t="s">
        <v>61</v>
      </c>
      <c r="M12" s="9" t="s">
        <v>61</v>
      </c>
      <c r="N12" s="9" t="s">
        <v>62</v>
      </c>
      <c r="O12" s="9" t="s">
        <v>63</v>
      </c>
      <c r="P12" s="9" t="s">
        <v>63</v>
      </c>
      <c r="Q12" s="9" t="s">
        <v>63</v>
      </c>
      <c r="R12" s="9">
        <v>9</v>
      </c>
      <c r="S12" s="31" t="s">
        <v>161</v>
      </c>
      <c r="T12" s="31" t="s">
        <v>162</v>
      </c>
      <c r="U12" s="31" t="s">
        <v>163</v>
      </c>
      <c r="V12" s="31" t="s">
        <v>164</v>
      </c>
      <c r="W12" s="31" t="s">
        <v>64</v>
      </c>
      <c r="X12" s="9" t="s">
        <v>65</v>
      </c>
      <c r="Y12" s="9" t="s">
        <v>66</v>
      </c>
      <c r="Z12" s="9" t="s">
        <v>67</v>
      </c>
      <c r="AA12" s="9" t="s">
        <v>246</v>
      </c>
      <c r="AB12" s="9" t="s">
        <v>240</v>
      </c>
      <c r="AC12" s="9">
        <v>16</v>
      </c>
      <c r="AD12" s="31" t="s">
        <v>158</v>
      </c>
      <c r="AE12" s="31" t="s">
        <v>159</v>
      </c>
      <c r="AF12" s="31" t="s">
        <v>160</v>
      </c>
      <c r="AG12" s="9">
        <v>17</v>
      </c>
      <c r="AH12" s="4"/>
    </row>
    <row r="13" spans="1:34" ht="13.35" customHeight="1" x14ac:dyDescent="0.25">
      <c r="A13" s="1" t="s">
        <v>165</v>
      </c>
      <c r="B13" s="10">
        <v>1</v>
      </c>
      <c r="C13" s="11" t="s">
        <v>69</v>
      </c>
      <c r="D13" s="11">
        <v>2</v>
      </c>
      <c r="E13" s="12">
        <v>83.13</v>
      </c>
      <c r="F13" s="128">
        <f t="shared" ref="F13:F19" si="0">E13*2652.48+0.4025</f>
        <v>220501.0649</v>
      </c>
      <c r="G13" s="128">
        <f t="shared" ref="G13:G19" si="1">F13/60</f>
        <v>3675.0177483333332</v>
      </c>
      <c r="H13" s="128">
        <f>F13*1.5%</f>
        <v>3307.5159734999997</v>
      </c>
      <c r="I13" s="128">
        <v>0</v>
      </c>
      <c r="J13" s="128">
        <f>G13+H13+I13+0.01</f>
        <v>6982.5437218333336</v>
      </c>
      <c r="K13" s="128">
        <f>+J13/12</f>
        <v>581.87864348611117</v>
      </c>
      <c r="L13" s="128"/>
      <c r="M13" s="128">
        <f t="shared" ref="M13:M19" si="2">+J13*(100%+5.6%)</f>
        <v>7373.566170256001</v>
      </c>
      <c r="N13" s="128">
        <f>+K13*N11</f>
        <v>407.31505044027779</v>
      </c>
      <c r="O13" s="128">
        <f>+N13*O11</f>
        <v>325.85204035222228</v>
      </c>
      <c r="P13" s="128">
        <f>+N13*P11</f>
        <v>366.58354539625003</v>
      </c>
      <c r="Q13" s="128">
        <f>+N13*Q11</f>
        <v>407.31505044027779</v>
      </c>
      <c r="R13" s="128">
        <v>534.19000000000005</v>
      </c>
      <c r="S13" s="128">
        <f>R13*S11</f>
        <v>53.419000000000011</v>
      </c>
      <c r="T13" s="128">
        <v>0</v>
      </c>
      <c r="U13" s="128">
        <v>0</v>
      </c>
      <c r="V13" s="129">
        <v>0</v>
      </c>
      <c r="W13" s="128">
        <f>O13</f>
        <v>325.85204035222228</v>
      </c>
      <c r="X13" s="128">
        <f>W13*12-0.02</f>
        <v>3910.2044842266673</v>
      </c>
      <c r="Y13" s="128">
        <v>0</v>
      </c>
      <c r="Z13" s="128">
        <f>X13*(100+5.6)%-0.01</f>
        <v>4129.1659353433606</v>
      </c>
      <c r="AA13" s="128">
        <f>Z13*(100+7.3)%</f>
        <v>4430.595048623426</v>
      </c>
      <c r="AB13" s="128">
        <f t="shared" ref="AB13:AB19" si="3">AA13/12</f>
        <v>369.21625405195215</v>
      </c>
      <c r="AC13" s="128">
        <f>K13</f>
        <v>581.87864348611117</v>
      </c>
      <c r="AD13" s="128">
        <v>73</v>
      </c>
      <c r="AE13" s="128">
        <f>G13/12</f>
        <v>306.25147902777775</v>
      </c>
      <c r="AF13" s="130">
        <f>AE13/AC13*100</f>
        <v>52.631503571429441</v>
      </c>
      <c r="AG13" s="131">
        <f>AD13*AF13%</f>
        <v>38.420997607143491</v>
      </c>
      <c r="AH13" s="4"/>
    </row>
    <row r="14" spans="1:34" ht="13.35" customHeight="1" x14ac:dyDescent="0.25">
      <c r="A14" s="1" t="s">
        <v>166</v>
      </c>
      <c r="B14" s="10">
        <v>2</v>
      </c>
      <c r="C14" s="11" t="s">
        <v>70</v>
      </c>
      <c r="D14" s="11">
        <v>2</v>
      </c>
      <c r="E14" s="12">
        <v>84.24</v>
      </c>
      <c r="F14" s="128">
        <f t="shared" si="0"/>
        <v>223445.31769999999</v>
      </c>
      <c r="G14" s="128">
        <f t="shared" si="1"/>
        <v>3724.088628333333</v>
      </c>
      <c r="H14" s="128">
        <f t="shared" ref="H14:H19" si="4">F14*1.5%</f>
        <v>3351.6797654999996</v>
      </c>
      <c r="I14" s="128">
        <v>0</v>
      </c>
      <c r="J14" s="128">
        <f t="shared" ref="J14:J19" si="5">G14+H14+I14</f>
        <v>7075.7683938333321</v>
      </c>
      <c r="K14" s="128">
        <f>J14/12</f>
        <v>589.64736615277764</v>
      </c>
      <c r="L14" s="128"/>
      <c r="M14" s="128">
        <f t="shared" si="2"/>
        <v>7472.0114238879987</v>
      </c>
      <c r="N14" s="128">
        <f>+K14*N11</f>
        <v>412.75315630694433</v>
      </c>
      <c r="O14" s="128">
        <f>+N14*O11</f>
        <v>330.20252504555549</v>
      </c>
      <c r="P14" s="128">
        <f>+N14*P11</f>
        <v>371.47784067624991</v>
      </c>
      <c r="Q14" s="128">
        <f>+N14*Q11</f>
        <v>412.75315630694433</v>
      </c>
      <c r="R14" s="128">
        <v>3676.86</v>
      </c>
      <c r="S14" s="128">
        <v>0</v>
      </c>
      <c r="T14" s="128">
        <f>R14*T11</f>
        <v>735.37200000000007</v>
      </c>
      <c r="U14" s="128">
        <v>0</v>
      </c>
      <c r="V14" s="129">
        <v>0</v>
      </c>
      <c r="W14" s="128">
        <f>P14</f>
        <v>371.47784067624991</v>
      </c>
      <c r="X14" s="128">
        <f>W14*12+0.03</f>
        <v>4457.7640881149991</v>
      </c>
      <c r="Y14" s="128">
        <v>0</v>
      </c>
      <c r="Z14" s="128">
        <f>X14*(100+5.6)%-0.01</f>
        <v>4707.3888770494395</v>
      </c>
      <c r="AA14" s="128">
        <f>Z14*(100+7.3)%</f>
        <v>5051.0282650740482</v>
      </c>
      <c r="AB14" s="128">
        <f t="shared" si="3"/>
        <v>420.91902208950404</v>
      </c>
      <c r="AC14" s="128">
        <f t="shared" ref="AC14:AC19" si="6">K14</f>
        <v>589.64736615277764</v>
      </c>
      <c r="AD14" s="128">
        <f>AB14</f>
        <v>420.91902208950404</v>
      </c>
      <c r="AE14" s="128">
        <f t="shared" ref="AE14:AE19" si="7">G14/12</f>
        <v>310.34071902777777</v>
      </c>
      <c r="AF14" s="130">
        <f t="shared" ref="AF14:AF19" si="8">AE14/AC14*100</f>
        <v>52.631578947368432</v>
      </c>
      <c r="AG14" s="131">
        <f>AD14*AF14%-0.01</f>
        <v>221.5263274155285</v>
      </c>
      <c r="AH14" s="4"/>
    </row>
    <row r="15" spans="1:34" ht="13.35" customHeight="1" x14ac:dyDescent="0.25">
      <c r="A15" s="1" t="s">
        <v>167</v>
      </c>
      <c r="B15" s="10">
        <v>3</v>
      </c>
      <c r="C15" s="11" t="s">
        <v>72</v>
      </c>
      <c r="D15" s="11">
        <v>2</v>
      </c>
      <c r="E15" s="12">
        <v>83.6</v>
      </c>
      <c r="F15" s="128">
        <f t="shared" si="0"/>
        <v>221747.73049999998</v>
      </c>
      <c r="G15" s="128">
        <f t="shared" si="1"/>
        <v>3695.7955083333331</v>
      </c>
      <c r="H15" s="128">
        <f t="shared" si="4"/>
        <v>3326.2159574999996</v>
      </c>
      <c r="I15" s="128">
        <v>0</v>
      </c>
      <c r="J15" s="128">
        <f t="shared" si="5"/>
        <v>7022.0114658333332</v>
      </c>
      <c r="K15" s="128">
        <f t="shared" ref="K15:K19" si="9">+J15/12</f>
        <v>585.16762215277777</v>
      </c>
      <c r="L15" s="128"/>
      <c r="M15" s="128">
        <f t="shared" si="2"/>
        <v>7415.2441079199998</v>
      </c>
      <c r="N15" s="128">
        <f>+K15*N11</f>
        <v>409.61733550694441</v>
      </c>
      <c r="O15" s="128">
        <f>+N15*O11</f>
        <v>327.69386840555558</v>
      </c>
      <c r="P15" s="128">
        <f>+N15*P11</f>
        <v>368.65560195625</v>
      </c>
      <c r="Q15" s="128">
        <f>+N15*Q11</f>
        <v>409.61733550694441</v>
      </c>
      <c r="R15" s="128">
        <v>1582.81</v>
      </c>
      <c r="S15" s="128">
        <f>R15*S11</f>
        <v>158.28100000000001</v>
      </c>
      <c r="T15" s="128">
        <v>0</v>
      </c>
      <c r="U15" s="128">
        <v>0</v>
      </c>
      <c r="V15" s="129">
        <v>0</v>
      </c>
      <c r="W15" s="128">
        <f>O15</f>
        <v>327.69386840555558</v>
      </c>
      <c r="X15" s="128">
        <f>W15*12-0.05</f>
        <v>3932.2764208666667</v>
      </c>
      <c r="Y15" s="128">
        <v>0</v>
      </c>
      <c r="Z15" s="128">
        <f>X15*(100+5.6)%+0.01</f>
        <v>4152.4939004352009</v>
      </c>
      <c r="AA15" s="128">
        <f>Z15*(100+7.3)%-0.01</f>
        <v>4455.6159551669698</v>
      </c>
      <c r="AB15" s="128">
        <f t="shared" si="3"/>
        <v>371.3013295972475</v>
      </c>
      <c r="AC15" s="128">
        <f t="shared" si="6"/>
        <v>585.16762215277777</v>
      </c>
      <c r="AD15" s="128">
        <f>S15</f>
        <v>158.28100000000001</v>
      </c>
      <c r="AE15" s="128">
        <f t="shared" si="7"/>
        <v>307.98295902777778</v>
      </c>
      <c r="AF15" s="130">
        <f t="shared" si="8"/>
        <v>52.631578947368418</v>
      </c>
      <c r="AG15" s="131">
        <f>AD15*AF15%-0.01</f>
        <v>83.295789473684209</v>
      </c>
      <c r="AH15" s="4"/>
    </row>
    <row r="16" spans="1:34" ht="13.35" customHeight="1" x14ac:dyDescent="0.25">
      <c r="A16" s="1" t="s">
        <v>168</v>
      </c>
      <c r="B16" s="10">
        <v>4</v>
      </c>
      <c r="C16" s="11" t="s">
        <v>73</v>
      </c>
      <c r="D16" s="11">
        <v>2</v>
      </c>
      <c r="E16" s="12">
        <v>83.42</v>
      </c>
      <c r="F16" s="128">
        <f t="shared" si="0"/>
        <v>221270.28409999999</v>
      </c>
      <c r="G16" s="128">
        <f t="shared" si="1"/>
        <v>3687.838068333333</v>
      </c>
      <c r="H16" s="128">
        <f t="shared" si="4"/>
        <v>3319.0542614999999</v>
      </c>
      <c r="I16" s="128">
        <v>0</v>
      </c>
      <c r="J16" s="128">
        <f t="shared" si="5"/>
        <v>7006.892329833333</v>
      </c>
      <c r="K16" s="128">
        <f t="shared" si="9"/>
        <v>583.90769415277771</v>
      </c>
      <c r="L16" s="128"/>
      <c r="M16" s="128">
        <f t="shared" si="2"/>
        <v>7399.2783003040004</v>
      </c>
      <c r="N16" s="128">
        <f>+K16*N11</f>
        <v>408.73538590694437</v>
      </c>
      <c r="O16" s="128">
        <f>+N16*O11</f>
        <v>326.9883087255555</v>
      </c>
      <c r="P16" s="128">
        <f>+N16*P11</f>
        <v>367.86184731624996</v>
      </c>
      <c r="Q16" s="128">
        <f>+N16*Q11</f>
        <v>408.73538590694437</v>
      </c>
      <c r="R16" s="139" t="s">
        <v>251</v>
      </c>
      <c r="S16" s="139">
        <v>0</v>
      </c>
      <c r="T16" s="139">
        <v>0</v>
      </c>
      <c r="U16" s="139">
        <v>0</v>
      </c>
      <c r="V16" s="140">
        <v>0</v>
      </c>
      <c r="W16" s="139">
        <f>N16</f>
        <v>408.73538590694437</v>
      </c>
      <c r="X16" s="139">
        <f>W16*12+0.06</f>
        <v>4904.8846308833326</v>
      </c>
      <c r="Y16" s="139">
        <v>0</v>
      </c>
      <c r="Z16" s="139">
        <f>X16*(100+5.6)%-0.01</f>
        <v>5179.5481702127991</v>
      </c>
      <c r="AA16" s="139">
        <f>Z16*(100+7.3)%</f>
        <v>5557.6551866383334</v>
      </c>
      <c r="AB16" s="139">
        <f t="shared" si="3"/>
        <v>463.13793221986111</v>
      </c>
      <c r="AC16" s="139">
        <f t="shared" si="6"/>
        <v>583.90769415277771</v>
      </c>
      <c r="AD16" s="139">
        <f>AB16</f>
        <v>463.13793221986111</v>
      </c>
      <c r="AE16" s="139">
        <f t="shared" si="7"/>
        <v>307.31983902777773</v>
      </c>
      <c r="AF16" s="141">
        <f t="shared" si="8"/>
        <v>52.631578947368418</v>
      </c>
      <c r="AG16" s="142">
        <f>AD16*AF16%-0.01</f>
        <v>243.74680643150583</v>
      </c>
      <c r="AH16" s="4"/>
    </row>
    <row r="17" spans="1:34" ht="13.35" customHeight="1" x14ac:dyDescent="0.25">
      <c r="A17" s="1" t="s">
        <v>169</v>
      </c>
      <c r="B17" s="10">
        <v>5</v>
      </c>
      <c r="C17" s="11" t="s">
        <v>74</v>
      </c>
      <c r="D17" s="11">
        <v>2</v>
      </c>
      <c r="E17" s="12">
        <v>84.38</v>
      </c>
      <c r="F17" s="128">
        <f t="shared" si="0"/>
        <v>223816.66489999997</v>
      </c>
      <c r="G17" s="128">
        <f t="shared" si="1"/>
        <v>3730.277748333333</v>
      </c>
      <c r="H17" s="128">
        <f t="shared" si="4"/>
        <v>3357.2499734999997</v>
      </c>
      <c r="I17" s="128">
        <v>0</v>
      </c>
      <c r="J17" s="128">
        <f t="shared" si="5"/>
        <v>7087.5277218333322</v>
      </c>
      <c r="K17" s="128">
        <f t="shared" si="9"/>
        <v>590.62731015277768</v>
      </c>
      <c r="L17" s="128"/>
      <c r="M17" s="128">
        <f t="shared" si="2"/>
        <v>7484.4292742559992</v>
      </c>
      <c r="N17" s="128">
        <f>K17*N11</f>
        <v>413.43911710694437</v>
      </c>
      <c r="O17" s="128">
        <f>+N17*O11</f>
        <v>330.75129368555554</v>
      </c>
      <c r="P17" s="128">
        <f>+N17*P11</f>
        <v>372.09520539624992</v>
      </c>
      <c r="Q17" s="128">
        <f>+N17*Q11</f>
        <v>413.43911710694437</v>
      </c>
      <c r="R17" s="128">
        <v>934.67</v>
      </c>
      <c r="S17" s="128">
        <f>R17*S11</f>
        <v>93.466999999999999</v>
      </c>
      <c r="T17" s="128">
        <v>0</v>
      </c>
      <c r="U17" s="128">
        <v>0</v>
      </c>
      <c r="V17" s="129">
        <v>0</v>
      </c>
      <c r="W17" s="128">
        <f>O17</f>
        <v>330.75129368555554</v>
      </c>
      <c r="X17" s="128">
        <f>W17*12-0.02</f>
        <v>3968.9955242266665</v>
      </c>
      <c r="Y17" s="128">
        <v>0</v>
      </c>
      <c r="Z17" s="128">
        <f>X17*(100+5.6)%</f>
        <v>4191.2592735833596</v>
      </c>
      <c r="AA17" s="128">
        <f>Z17*(100+7.3)%</f>
        <v>4497.2212005549445</v>
      </c>
      <c r="AB17" s="128">
        <f t="shared" si="3"/>
        <v>374.76843337957871</v>
      </c>
      <c r="AC17" s="128">
        <f t="shared" si="6"/>
        <v>590.62731015277768</v>
      </c>
      <c r="AD17" s="128">
        <f>S17</f>
        <v>93.466999999999999</v>
      </c>
      <c r="AE17" s="128">
        <f t="shared" si="7"/>
        <v>310.85647902777777</v>
      </c>
      <c r="AF17" s="130">
        <f t="shared" si="8"/>
        <v>52.631578947368432</v>
      </c>
      <c r="AG17" s="131">
        <f t="shared" ref="AG17:AG19" si="10">AD17*AF17%</f>
        <v>49.193157894736849</v>
      </c>
      <c r="AH17" s="4"/>
    </row>
    <row r="18" spans="1:34" ht="13.35" customHeight="1" x14ac:dyDescent="0.25">
      <c r="A18" s="1" t="s">
        <v>170</v>
      </c>
      <c r="B18" s="10">
        <v>6</v>
      </c>
      <c r="C18" s="11" t="s">
        <v>75</v>
      </c>
      <c r="D18" s="11">
        <v>2</v>
      </c>
      <c r="E18" s="12">
        <v>84.7</v>
      </c>
      <c r="F18" s="128">
        <f t="shared" si="0"/>
        <v>224665.45850000001</v>
      </c>
      <c r="G18" s="128">
        <f t="shared" si="1"/>
        <v>3744.4243083333336</v>
      </c>
      <c r="H18" s="128">
        <f t="shared" si="4"/>
        <v>3369.9818774999999</v>
      </c>
      <c r="I18" s="128">
        <v>0</v>
      </c>
      <c r="J18" s="128">
        <f t="shared" si="5"/>
        <v>7114.4061858333334</v>
      </c>
      <c r="K18" s="128">
        <f t="shared" si="9"/>
        <v>592.86718215277779</v>
      </c>
      <c r="L18" s="128"/>
      <c r="M18" s="128">
        <f t="shared" si="2"/>
        <v>7512.8129322400009</v>
      </c>
      <c r="N18" s="128">
        <f>+K18*N11</f>
        <v>415.00702750694444</v>
      </c>
      <c r="O18" s="128">
        <f>+N18*O11</f>
        <v>332.00562200555555</v>
      </c>
      <c r="P18" s="128">
        <f>+N18*P11</f>
        <v>373.50632475625002</v>
      </c>
      <c r="Q18" s="128">
        <f>+N18*Q11</f>
        <v>415.00702750694444</v>
      </c>
      <c r="R18" s="128">
        <v>3490.81</v>
      </c>
      <c r="S18" s="128">
        <v>0</v>
      </c>
      <c r="T18" s="128">
        <f>R18*T11</f>
        <v>698.16200000000003</v>
      </c>
      <c r="U18" s="128">
        <v>0</v>
      </c>
      <c r="V18" s="129">
        <v>0</v>
      </c>
      <c r="W18" s="128">
        <f>P18</f>
        <v>373.50632475625002</v>
      </c>
      <c r="X18" s="128">
        <f>W18*12+0.04</f>
        <v>4482.1158970750002</v>
      </c>
      <c r="Y18" s="128">
        <v>0</v>
      </c>
      <c r="Z18" s="128">
        <f>X18*(100+5.6)%+0.01</f>
        <v>4733.1243873112007</v>
      </c>
      <c r="AA18" s="128">
        <f>Z18*(100+7.3)%</f>
        <v>5078.6424675849184</v>
      </c>
      <c r="AB18" s="128">
        <f t="shared" si="3"/>
        <v>423.22020563207656</v>
      </c>
      <c r="AC18" s="128">
        <f t="shared" si="6"/>
        <v>592.86718215277779</v>
      </c>
      <c r="AD18" s="128">
        <f>AB18</f>
        <v>423.22020563207656</v>
      </c>
      <c r="AE18" s="128">
        <f t="shared" si="7"/>
        <v>312.03535902777782</v>
      </c>
      <c r="AF18" s="130">
        <f t="shared" si="8"/>
        <v>52.631578947368432</v>
      </c>
      <c r="AG18" s="131">
        <f>AD18*AF18%-0.01</f>
        <v>222.73747664846138</v>
      </c>
      <c r="AH18" s="4"/>
    </row>
    <row r="19" spans="1:34" ht="13.35" customHeight="1" x14ac:dyDescent="0.25">
      <c r="A19" s="1" t="s">
        <v>171</v>
      </c>
      <c r="B19" s="10">
        <v>7</v>
      </c>
      <c r="C19" s="11" t="s">
        <v>76</v>
      </c>
      <c r="D19" s="11">
        <v>2</v>
      </c>
      <c r="E19" s="12">
        <v>84.53</v>
      </c>
      <c r="F19" s="128">
        <f t="shared" si="0"/>
        <v>224214.53690000001</v>
      </c>
      <c r="G19" s="128">
        <f t="shared" si="1"/>
        <v>3736.9089483333332</v>
      </c>
      <c r="H19" s="128">
        <f t="shared" si="4"/>
        <v>3363.2180534999998</v>
      </c>
      <c r="I19" s="128">
        <v>0</v>
      </c>
      <c r="J19" s="128">
        <f t="shared" si="5"/>
        <v>7100.1270018333325</v>
      </c>
      <c r="K19" s="128">
        <f t="shared" si="9"/>
        <v>591.67725015277767</v>
      </c>
      <c r="L19" s="128"/>
      <c r="M19" s="128">
        <f t="shared" si="2"/>
        <v>7497.7341139359996</v>
      </c>
      <c r="N19" s="128">
        <f>+K19*N11</f>
        <v>414.17407510694437</v>
      </c>
      <c r="O19" s="128">
        <f>+N19*O11</f>
        <v>331.33926008555551</v>
      </c>
      <c r="P19" s="128">
        <v>369.06</v>
      </c>
      <c r="Q19" s="128">
        <f>+N19*Q11</f>
        <v>414.17407510694437</v>
      </c>
      <c r="R19" s="128">
        <v>1586.25</v>
      </c>
      <c r="S19" s="128">
        <f>R19*S11</f>
        <v>158.625</v>
      </c>
      <c r="T19" s="128">
        <v>0</v>
      </c>
      <c r="U19" s="128">
        <v>0</v>
      </c>
      <c r="V19" s="129">
        <v>0</v>
      </c>
      <c r="W19" s="128">
        <f>O19</f>
        <v>331.33926008555551</v>
      </c>
      <c r="X19" s="128">
        <f>W19*12+0.01</f>
        <v>3976.0811210266666</v>
      </c>
      <c r="Y19" s="128">
        <v>0</v>
      </c>
      <c r="Z19" s="128">
        <f>X19*(100+5.6)%</f>
        <v>4198.7416638041605</v>
      </c>
      <c r="AA19" s="128">
        <f>Z19*(100+7.3)%</f>
        <v>4505.2498052618639</v>
      </c>
      <c r="AB19" s="128">
        <f t="shared" si="3"/>
        <v>375.43748377182197</v>
      </c>
      <c r="AC19" s="128">
        <f t="shared" si="6"/>
        <v>591.67725015277767</v>
      </c>
      <c r="AD19" s="128">
        <f>S19</f>
        <v>158.625</v>
      </c>
      <c r="AE19" s="128">
        <f t="shared" si="7"/>
        <v>311.40907902777775</v>
      </c>
      <c r="AF19" s="130">
        <f t="shared" si="8"/>
        <v>52.631578947368432</v>
      </c>
      <c r="AG19" s="131">
        <f t="shared" si="10"/>
        <v>83.486842105263165</v>
      </c>
      <c r="AH19" s="4"/>
    </row>
    <row r="20" spans="1:34" ht="13.35" customHeight="1" x14ac:dyDescent="0.25">
      <c r="B20" s="7"/>
      <c r="C20" s="232" t="s">
        <v>77</v>
      </c>
      <c r="D20" s="232"/>
      <c r="E20" s="15">
        <f>+E19+E18+E17+E16+E15++E14+E13</f>
        <v>588</v>
      </c>
      <c r="F20" s="132">
        <f>SUM(F13:F19)-0.01</f>
        <v>1559661.0474999999</v>
      </c>
      <c r="G20" s="132">
        <f>SUM(G13:G19)+0.01</f>
        <v>25994.360958333331</v>
      </c>
      <c r="H20" s="132">
        <f>SUM(H13:H19)</f>
        <v>23394.915862499998</v>
      </c>
      <c r="I20" s="132">
        <v>0</v>
      </c>
      <c r="J20" s="132">
        <f>SUM(J13:J19)</f>
        <v>49389.276820833329</v>
      </c>
      <c r="K20" s="132">
        <f>SUM(K13:K19)+0.02</f>
        <v>4115.7930684027779</v>
      </c>
      <c r="L20" s="132"/>
      <c r="M20" s="132">
        <f>SUM(M13:M19)</f>
        <v>52155.0763228</v>
      </c>
      <c r="N20" s="132">
        <f>SUM(N13:N19)+0.01</f>
        <v>2881.051147881944</v>
      </c>
      <c r="O20" s="132">
        <f>SUM(O13:O19)</f>
        <v>2304.8329183055557</v>
      </c>
      <c r="P20" s="132">
        <f>SUM(P13:P19)+0.01</f>
        <v>2589.2503654974998</v>
      </c>
      <c r="Q20" s="132">
        <f>SUM(Q13:Q19)+0.01</f>
        <v>2881.051147881944</v>
      </c>
      <c r="R20" s="132"/>
      <c r="S20" s="132">
        <f>SUM(S13:S19)+0.01</f>
        <v>463.80200000000002</v>
      </c>
      <c r="T20" s="132">
        <f t="shared" ref="T20:U20" si="11">SUM(T13:T19)</f>
        <v>1433.5340000000001</v>
      </c>
      <c r="U20" s="132">
        <f t="shared" si="11"/>
        <v>0</v>
      </c>
      <c r="V20" s="132">
        <f>SUM(V13:V19)</f>
        <v>0</v>
      </c>
      <c r="W20" s="132">
        <f t="shared" ref="W20" si="12">SUM(W11:W19)</f>
        <v>2469.3560138683329</v>
      </c>
      <c r="X20" s="132">
        <f t="shared" ref="X20:AE20" si="13">SUM(X13:X19)</f>
        <v>29632.322166419995</v>
      </c>
      <c r="Y20" s="132">
        <f t="shared" si="13"/>
        <v>0</v>
      </c>
      <c r="Z20" s="132">
        <f t="shared" si="13"/>
        <v>31291.72220773952</v>
      </c>
      <c r="AA20" s="132">
        <f>SUM(AA13:AA19)+0.01</f>
        <v>33576.017928904505</v>
      </c>
      <c r="AB20" s="132">
        <f>SUM(AB13:AB19)+0.01</f>
        <v>2798.0106607420421</v>
      </c>
      <c r="AC20" s="132">
        <f>SUM(AC13:AC19)+0.02</f>
        <v>4115.7930684027779</v>
      </c>
      <c r="AD20" s="132">
        <f>SUM(AD13:AD19)+0.01</f>
        <v>1790.6601599414419</v>
      </c>
      <c r="AE20" s="132">
        <f t="shared" si="13"/>
        <v>2166.1959131944445</v>
      </c>
      <c r="AF20" s="132">
        <f>SUM(AF13:AF19)-0.01</f>
        <v>368.41097725564003</v>
      </c>
      <c r="AG20" s="132">
        <f>SUM(AG13:AG19)+0.01</f>
        <v>942.41739757632331</v>
      </c>
      <c r="AH20" s="4"/>
    </row>
    <row r="21" spans="1:34" x14ac:dyDescent="0.25">
      <c r="B21" s="4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4"/>
    </row>
    <row r="22" spans="1:34" x14ac:dyDescent="0.25">
      <c r="B22" s="4"/>
      <c r="C22" s="126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4"/>
    </row>
    <row r="23" spans="1:34" x14ac:dyDescent="0.25">
      <c r="B23" s="4"/>
      <c r="C23" s="16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4"/>
    </row>
    <row r="24" spans="1:34" x14ac:dyDescent="0.25">
      <c r="B24" s="4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4"/>
    </row>
    <row r="25" spans="1:34" x14ac:dyDescent="0.25">
      <c r="B25" s="4"/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4"/>
    </row>
    <row r="26" spans="1:34" ht="12.95" customHeight="1" x14ac:dyDescent="0.25">
      <c r="B26" s="4"/>
      <c r="C26" s="233"/>
      <c r="D26" s="233"/>
      <c r="E26" s="4"/>
      <c r="F26" s="4"/>
      <c r="G26" s="4"/>
      <c r="H26" s="4"/>
      <c r="I26" s="4"/>
      <c r="J26" s="2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B27" s="3"/>
      <c r="C27" s="4"/>
      <c r="D27" s="5" t="s">
        <v>42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B28" s="3"/>
      <c r="C28" s="4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23.75" customHeight="1" x14ac:dyDescent="0.25">
      <c r="B29" s="215" t="s">
        <v>1</v>
      </c>
      <c r="C29" s="217" t="s">
        <v>56</v>
      </c>
      <c r="D29" s="209" t="s">
        <v>3</v>
      </c>
      <c r="E29" s="209" t="s">
        <v>4</v>
      </c>
      <c r="F29" s="209" t="s">
        <v>5</v>
      </c>
      <c r="G29" s="209" t="s">
        <v>6</v>
      </c>
      <c r="H29" s="209" t="s">
        <v>7</v>
      </c>
      <c r="I29" s="209" t="s">
        <v>8</v>
      </c>
      <c r="J29" s="209" t="s">
        <v>9</v>
      </c>
      <c r="K29" s="209" t="s">
        <v>57</v>
      </c>
      <c r="L29" s="22" t="s">
        <v>10</v>
      </c>
      <c r="M29" s="22" t="s">
        <v>10</v>
      </c>
      <c r="N29" s="22" t="s">
        <v>12</v>
      </c>
      <c r="O29" s="211" t="s">
        <v>13</v>
      </c>
      <c r="P29" s="212"/>
      <c r="Q29" s="213"/>
      <c r="R29" s="209" t="s">
        <v>14</v>
      </c>
      <c r="S29" s="225" t="s">
        <v>58</v>
      </c>
      <c r="T29" s="226"/>
      <c r="U29" s="226"/>
      <c r="V29" s="227"/>
      <c r="W29" s="207" t="s">
        <v>21</v>
      </c>
      <c r="X29" s="209" t="s">
        <v>9</v>
      </c>
      <c r="Y29" s="22" t="s">
        <v>242</v>
      </c>
      <c r="Z29" s="22" t="s">
        <v>243</v>
      </c>
      <c r="AA29" s="22" t="s">
        <v>156</v>
      </c>
      <c r="AB29" s="207" t="s">
        <v>59</v>
      </c>
      <c r="AC29" s="228" t="s">
        <v>18</v>
      </c>
      <c r="AD29" s="229"/>
      <c r="AE29" s="229"/>
      <c r="AF29" s="229"/>
      <c r="AG29" s="205" t="s">
        <v>19</v>
      </c>
      <c r="AH29" s="4"/>
    </row>
    <row r="30" spans="1:34" ht="42" customHeight="1" x14ac:dyDescent="0.25">
      <c r="B30" s="216"/>
      <c r="C30" s="218"/>
      <c r="D30" s="210"/>
      <c r="E30" s="210"/>
      <c r="F30" s="210"/>
      <c r="G30" s="210"/>
      <c r="H30" s="210"/>
      <c r="I30" s="210"/>
      <c r="J30" s="210"/>
      <c r="K30" s="210"/>
      <c r="L30" s="22">
        <v>5.6</v>
      </c>
      <c r="M30" s="22">
        <v>5.6</v>
      </c>
      <c r="N30" s="22">
        <v>0.7</v>
      </c>
      <c r="O30" s="23">
        <v>0.8</v>
      </c>
      <c r="P30" s="24">
        <v>0.9</v>
      </c>
      <c r="Q30" s="28">
        <v>1</v>
      </c>
      <c r="R30" s="210"/>
      <c r="S30" s="29">
        <v>0.1</v>
      </c>
      <c r="T30" s="30">
        <v>0.2</v>
      </c>
      <c r="U30" s="30">
        <v>0.3</v>
      </c>
      <c r="V30" s="30">
        <v>0.1</v>
      </c>
      <c r="W30" s="208"/>
      <c r="X30" s="210"/>
      <c r="Y30" s="22">
        <v>10.4</v>
      </c>
      <c r="Z30" s="22">
        <v>5.6</v>
      </c>
      <c r="AA30" s="22">
        <v>7.3</v>
      </c>
      <c r="AB30" s="208"/>
      <c r="AC30" s="33" t="s">
        <v>20</v>
      </c>
      <c r="AD30" s="33" t="s">
        <v>21</v>
      </c>
      <c r="AE30" s="33" t="s">
        <v>22</v>
      </c>
      <c r="AF30" s="33" t="s">
        <v>23</v>
      </c>
      <c r="AG30" s="206"/>
      <c r="AH30" s="4"/>
    </row>
    <row r="31" spans="1:34" x14ac:dyDescent="0.25">
      <c r="B31" s="7"/>
      <c r="C31" s="8"/>
      <c r="D31" s="9">
        <v>0</v>
      </c>
      <c r="E31" s="9">
        <v>1</v>
      </c>
      <c r="F31" s="9">
        <v>2</v>
      </c>
      <c r="G31" s="9" t="s">
        <v>24</v>
      </c>
      <c r="H31" s="9" t="s">
        <v>25</v>
      </c>
      <c r="I31" s="9" t="s">
        <v>26</v>
      </c>
      <c r="J31" s="9" t="s">
        <v>27</v>
      </c>
      <c r="K31" s="25" t="s">
        <v>60</v>
      </c>
      <c r="L31" s="9" t="s">
        <v>61</v>
      </c>
      <c r="M31" s="9" t="s">
        <v>61</v>
      </c>
      <c r="N31" s="9" t="s">
        <v>62</v>
      </c>
      <c r="O31" s="9" t="s">
        <v>63</v>
      </c>
      <c r="P31" s="9" t="s">
        <v>63</v>
      </c>
      <c r="Q31" s="9" t="s">
        <v>63</v>
      </c>
      <c r="R31" s="9">
        <v>9</v>
      </c>
      <c r="S31" s="31" t="s">
        <v>161</v>
      </c>
      <c r="T31" s="31" t="s">
        <v>162</v>
      </c>
      <c r="U31" s="31" t="s">
        <v>163</v>
      </c>
      <c r="V31" s="31" t="s">
        <v>164</v>
      </c>
      <c r="W31" s="31" t="s">
        <v>64</v>
      </c>
      <c r="X31" s="9" t="s">
        <v>65</v>
      </c>
      <c r="Y31" s="9" t="s">
        <v>66</v>
      </c>
      <c r="Z31" s="9" t="s">
        <v>67</v>
      </c>
      <c r="AA31" s="9" t="s">
        <v>246</v>
      </c>
      <c r="AB31" s="9" t="s">
        <v>240</v>
      </c>
      <c r="AC31" s="9">
        <v>16</v>
      </c>
      <c r="AD31" s="31" t="s">
        <v>158</v>
      </c>
      <c r="AE31" s="31" t="s">
        <v>159</v>
      </c>
      <c r="AF31" s="31" t="s">
        <v>160</v>
      </c>
      <c r="AG31" s="9">
        <v>17</v>
      </c>
      <c r="AH31" s="4"/>
    </row>
    <row r="32" spans="1:34" ht="13.15" customHeight="1" x14ac:dyDescent="0.25">
      <c r="A32" s="1" t="s">
        <v>172</v>
      </c>
      <c r="B32" s="10">
        <v>1</v>
      </c>
      <c r="C32" s="11" t="s">
        <v>78</v>
      </c>
      <c r="D32" s="11">
        <v>2</v>
      </c>
      <c r="E32" s="18">
        <v>76.97</v>
      </c>
      <c r="F32" s="128">
        <f>E32*2652.48+0.4025</f>
        <v>204161.78810000001</v>
      </c>
      <c r="G32" s="128">
        <f>F32/60</f>
        <v>3402.6964683333335</v>
      </c>
      <c r="H32" s="128">
        <f>F32*1.5%</f>
        <v>3062.4268215000002</v>
      </c>
      <c r="I32" s="128">
        <f>F32*0.5%</f>
        <v>1020.8089405000001</v>
      </c>
      <c r="J32" s="128">
        <f>G32+H32+I32</f>
        <v>7485.9322303333338</v>
      </c>
      <c r="K32" s="128">
        <f>+J32/12</f>
        <v>623.82768586111115</v>
      </c>
      <c r="L32" s="128"/>
      <c r="M32" s="128">
        <f>+J32*(100%*5.65%)</f>
        <v>422.95517101383336</v>
      </c>
      <c r="N32" s="128">
        <f>+K32*N30</f>
        <v>436.67938010277777</v>
      </c>
      <c r="O32" s="128">
        <f>+N32*O30</f>
        <v>349.34350408222224</v>
      </c>
      <c r="P32" s="128">
        <f>+N32*P30</f>
        <v>393.01144209249998</v>
      </c>
      <c r="Q32" s="128">
        <f>+N32*Q30</f>
        <v>436.67938010277777</v>
      </c>
      <c r="R32" s="128">
        <v>944.46</v>
      </c>
      <c r="S32" s="128">
        <f>R32*S30</f>
        <v>94.446000000000012</v>
      </c>
      <c r="T32" s="128">
        <v>0</v>
      </c>
      <c r="U32" s="128">
        <v>0</v>
      </c>
      <c r="V32" s="128">
        <v>0</v>
      </c>
      <c r="W32" s="128">
        <f>O32</f>
        <v>349.34350408222224</v>
      </c>
      <c r="X32" s="128">
        <f>W32*12-0.04</f>
        <v>4192.0820489866665</v>
      </c>
      <c r="Y32" s="128">
        <v>0</v>
      </c>
      <c r="Z32" s="128">
        <f t="shared" ref="Z32:Z38" si="14">X32*(100+5.6)%</f>
        <v>4426.8386437299196</v>
      </c>
      <c r="AA32" s="128">
        <f>Z32*(100+7.3)%</f>
        <v>4749.9978647222033</v>
      </c>
      <c r="AB32" s="128">
        <f t="shared" ref="AB32:AB40" si="15">AA32/12</f>
        <v>395.83315539351696</v>
      </c>
      <c r="AC32" s="128">
        <f>K32</f>
        <v>623.82768586111115</v>
      </c>
      <c r="AD32" s="128">
        <f>S32</f>
        <v>94.446000000000012</v>
      </c>
      <c r="AE32" s="128">
        <f t="shared" ref="AE32:AE40" si="16">G32/12</f>
        <v>283.5580390277778</v>
      </c>
      <c r="AF32" s="130">
        <f>AE32/AC32*100</f>
        <v>45.454545454545453</v>
      </c>
      <c r="AG32" s="131">
        <f>AD32*AF32%</f>
        <v>42.930000000000007</v>
      </c>
      <c r="AH32" s="4"/>
    </row>
    <row r="33" spans="1:34" ht="12" customHeight="1" x14ac:dyDescent="0.25">
      <c r="A33" s="1" t="s">
        <v>173</v>
      </c>
      <c r="B33" s="10">
        <v>2</v>
      </c>
      <c r="C33" s="11" t="s">
        <v>79</v>
      </c>
      <c r="D33" s="11">
        <v>2</v>
      </c>
      <c r="E33" s="18">
        <v>77.83</v>
      </c>
      <c r="F33" s="128">
        <f>E33*2652.48+0.4025+0.01</f>
        <v>206442.93090000001</v>
      </c>
      <c r="G33" s="128">
        <f t="shared" ref="G33:G40" si="17">F33/60</f>
        <v>3440.7155150000003</v>
      </c>
      <c r="H33" s="128">
        <f t="shared" ref="H33:H40" si="18">F33*1.5%</f>
        <v>3096.6439635000002</v>
      </c>
      <c r="I33" s="128">
        <f t="shared" ref="I33:I40" si="19">F33*0.5%</f>
        <v>1032.2146545000001</v>
      </c>
      <c r="J33" s="128">
        <f t="shared" ref="J33:J40" si="20">G33+H33+I33</f>
        <v>7569.5741330000001</v>
      </c>
      <c r="K33" s="128">
        <f t="shared" ref="K33:K40" si="21">+J33/12</f>
        <v>630.79784441666663</v>
      </c>
      <c r="L33" s="128"/>
      <c r="M33" s="128">
        <f t="shared" ref="M33:M40" si="22">+J33*(100%*5.65%)</f>
        <v>427.68093851450004</v>
      </c>
      <c r="N33" s="128">
        <f>+K33*N30</f>
        <v>441.55849109166661</v>
      </c>
      <c r="O33" s="128">
        <f>+N33*O30</f>
        <v>353.24679287333333</v>
      </c>
      <c r="P33" s="128">
        <f>+N33*P30</f>
        <v>397.40264198249997</v>
      </c>
      <c r="Q33" s="128">
        <f>+N33*Q30</f>
        <v>441.55849109166661</v>
      </c>
      <c r="R33" s="145" t="s">
        <v>245</v>
      </c>
      <c r="S33" s="145">
        <v>0</v>
      </c>
      <c r="T33" s="145">
        <v>0</v>
      </c>
      <c r="U33" s="145">
        <v>0</v>
      </c>
      <c r="V33" s="145">
        <v>257.39999999999998</v>
      </c>
      <c r="W33" s="145">
        <v>257.39999999999998</v>
      </c>
      <c r="X33" s="145">
        <f>W33*12</f>
        <v>3088.7999999999997</v>
      </c>
      <c r="Y33" s="145">
        <v>0</v>
      </c>
      <c r="Z33" s="145">
        <f t="shared" si="14"/>
        <v>3261.7727999999997</v>
      </c>
      <c r="AA33" s="145">
        <f>Z33*(100+7.3)%</f>
        <v>3499.8822143999996</v>
      </c>
      <c r="AB33" s="145">
        <f t="shared" si="15"/>
        <v>291.65685119999995</v>
      </c>
      <c r="AC33" s="145">
        <f>K33</f>
        <v>630.79784441666663</v>
      </c>
      <c r="AD33" s="145">
        <f>W33</f>
        <v>257.39999999999998</v>
      </c>
      <c r="AE33" s="145">
        <f t="shared" si="16"/>
        <v>286.72629291666669</v>
      </c>
      <c r="AF33" s="146">
        <f t="shared" ref="AF33:AF40" si="23">AE33/AC33*100</f>
        <v>45.45454545454546</v>
      </c>
      <c r="AG33" s="147">
        <f>AD33*AF33%-0.01</f>
        <v>116.99</v>
      </c>
      <c r="AH33" s="4"/>
    </row>
    <row r="34" spans="1:34" ht="12" customHeight="1" x14ac:dyDescent="0.25">
      <c r="A34" s="1" t="s">
        <v>174</v>
      </c>
      <c r="B34" s="10">
        <v>3</v>
      </c>
      <c r="C34" s="11" t="s">
        <v>80</v>
      </c>
      <c r="D34" s="11">
        <v>2</v>
      </c>
      <c r="E34" s="18">
        <v>76.97</v>
      </c>
      <c r="F34" s="128">
        <f>E34*2652.48+0.4025+0.01</f>
        <v>204161.79810000001</v>
      </c>
      <c r="G34" s="128">
        <f t="shared" si="17"/>
        <v>3402.6966350000002</v>
      </c>
      <c r="H34" s="128">
        <f t="shared" si="18"/>
        <v>3062.4269715</v>
      </c>
      <c r="I34" s="128">
        <f t="shared" si="19"/>
        <v>1020.8089905</v>
      </c>
      <c r="J34" s="128">
        <f t="shared" si="20"/>
        <v>7485.932597</v>
      </c>
      <c r="K34" s="128">
        <f t="shared" si="21"/>
        <v>623.8277164166667</v>
      </c>
      <c r="L34" s="128"/>
      <c r="M34" s="128">
        <f t="shared" si="22"/>
        <v>422.95519173050002</v>
      </c>
      <c r="N34" s="128">
        <f>+K34*N30</f>
        <v>436.67940149166668</v>
      </c>
      <c r="O34" s="128">
        <f>+N34*O30</f>
        <v>349.34352119333334</v>
      </c>
      <c r="P34" s="128">
        <f>+N34*P30</f>
        <v>393.01146134250001</v>
      </c>
      <c r="Q34" s="128">
        <f>+N34*Q30</f>
        <v>436.67940149166668</v>
      </c>
      <c r="R34" s="128">
        <v>977.47</v>
      </c>
      <c r="S34" s="128">
        <f>R34*S30</f>
        <v>97.747000000000014</v>
      </c>
      <c r="T34" s="128">
        <v>0</v>
      </c>
      <c r="U34" s="128">
        <v>0</v>
      </c>
      <c r="V34" s="128">
        <v>0</v>
      </c>
      <c r="W34" s="128">
        <f t="shared" ref="W34:W40" si="24">O34</f>
        <v>349.34352119333334</v>
      </c>
      <c r="X34" s="128">
        <f>W34*12-0.04</f>
        <v>4192.0822543200002</v>
      </c>
      <c r="Y34" s="128">
        <v>0</v>
      </c>
      <c r="Z34" s="128">
        <f t="shared" si="14"/>
        <v>4426.8388605619202</v>
      </c>
      <c r="AA34" s="128">
        <f>Z34*(100+7.3)%</f>
        <v>4749.9980973829406</v>
      </c>
      <c r="AB34" s="128">
        <f t="shared" si="15"/>
        <v>395.83317478191174</v>
      </c>
      <c r="AC34" s="128">
        <f>+K34</f>
        <v>623.8277164166667</v>
      </c>
      <c r="AD34" s="128">
        <v>97.75</v>
      </c>
      <c r="AE34" s="128">
        <f t="shared" si="16"/>
        <v>283.55805291666667</v>
      </c>
      <c r="AF34" s="130">
        <f t="shared" si="23"/>
        <v>45.454545454545453</v>
      </c>
      <c r="AG34" s="131">
        <f>AD34*AF34%</f>
        <v>44.43181818181818</v>
      </c>
      <c r="AH34" s="4"/>
    </row>
    <row r="35" spans="1:34" ht="12" customHeight="1" x14ac:dyDescent="0.25">
      <c r="A35" s="1" t="s">
        <v>175</v>
      </c>
      <c r="B35" s="10">
        <v>4</v>
      </c>
      <c r="C35" s="11" t="s">
        <v>81</v>
      </c>
      <c r="D35" s="11">
        <v>2</v>
      </c>
      <c r="E35" s="18">
        <v>76.83</v>
      </c>
      <c r="F35" s="128">
        <f t="shared" ref="F35:F40" si="25">E35*2652.48+0.4025</f>
        <v>203790.44089999999</v>
      </c>
      <c r="G35" s="128">
        <f t="shared" si="17"/>
        <v>3396.5073483333331</v>
      </c>
      <c r="H35" s="128">
        <f t="shared" si="18"/>
        <v>3056.8566134999996</v>
      </c>
      <c r="I35" s="128">
        <f t="shared" si="19"/>
        <v>1018.9522045</v>
      </c>
      <c r="J35" s="128">
        <f t="shared" si="20"/>
        <v>7472.3161663333331</v>
      </c>
      <c r="K35" s="128">
        <f t="shared" si="21"/>
        <v>622.69301386111113</v>
      </c>
      <c r="L35" s="128"/>
      <c r="M35" s="128">
        <f t="shared" si="22"/>
        <v>422.18586339783332</v>
      </c>
      <c r="N35" s="128">
        <f>+K35*N30</f>
        <v>435.88510970277775</v>
      </c>
      <c r="O35" s="128">
        <f>+N35*O30</f>
        <v>348.70808776222225</v>
      </c>
      <c r="P35" s="128">
        <f>+N35*P30</f>
        <v>392.2965987325</v>
      </c>
      <c r="Q35" s="128">
        <f>+N35*Q30</f>
        <v>435.88510970277775</v>
      </c>
      <c r="R35" s="128">
        <v>776.76</v>
      </c>
      <c r="S35" s="128">
        <f>R35*S30</f>
        <v>77.676000000000002</v>
      </c>
      <c r="T35" s="128">
        <v>0</v>
      </c>
      <c r="U35" s="128">
        <v>0</v>
      </c>
      <c r="V35" s="128">
        <v>0</v>
      </c>
      <c r="W35" s="128">
        <f t="shared" si="24"/>
        <v>348.70808776222225</v>
      </c>
      <c r="X35" s="128">
        <f>W35*12+0.02</f>
        <v>4184.5170531466674</v>
      </c>
      <c r="Y35" s="128">
        <v>0</v>
      </c>
      <c r="Z35" s="128">
        <f t="shared" si="14"/>
        <v>4418.8500081228813</v>
      </c>
      <c r="AA35" s="128">
        <f>Z35*(100+7.3)%</f>
        <v>4741.4260587158515</v>
      </c>
      <c r="AB35" s="128">
        <f t="shared" si="15"/>
        <v>395.11883822632097</v>
      </c>
      <c r="AC35" s="128">
        <f t="shared" ref="AC35:AC40" si="26">K35</f>
        <v>622.69301386111113</v>
      </c>
      <c r="AD35" s="128">
        <v>85</v>
      </c>
      <c r="AE35" s="128">
        <f t="shared" si="16"/>
        <v>283.04227902777774</v>
      </c>
      <c r="AF35" s="130">
        <f t="shared" si="23"/>
        <v>45.454545454545446</v>
      </c>
      <c r="AG35" s="131">
        <f>AD35*AF35%-0.01</f>
        <v>38.626363636363635</v>
      </c>
      <c r="AH35" s="4"/>
    </row>
    <row r="36" spans="1:34" ht="12" customHeight="1" x14ac:dyDescent="0.25">
      <c r="A36" s="1" t="s">
        <v>176</v>
      </c>
      <c r="B36" s="10">
        <v>5</v>
      </c>
      <c r="C36" s="113" t="s">
        <v>68</v>
      </c>
      <c r="D36" s="36">
        <v>2</v>
      </c>
      <c r="E36" s="12">
        <v>83.9</v>
      </c>
      <c r="F36" s="128">
        <f t="shared" si="25"/>
        <v>222543.47450000001</v>
      </c>
      <c r="G36" s="128">
        <f t="shared" si="17"/>
        <v>3709.0579083333337</v>
      </c>
      <c r="H36" s="128">
        <f t="shared" si="18"/>
        <v>3338.1521175000003</v>
      </c>
      <c r="I36" s="128">
        <f t="shared" si="19"/>
        <v>1112.7173725</v>
      </c>
      <c r="J36" s="128">
        <f t="shared" si="20"/>
        <v>8159.9273983333342</v>
      </c>
      <c r="K36" s="128">
        <f t="shared" si="21"/>
        <v>679.99394986111122</v>
      </c>
      <c r="L36" s="128"/>
      <c r="M36" s="128"/>
      <c r="N36" s="128">
        <f>K36*N30</f>
        <v>475.99576490277781</v>
      </c>
      <c r="O36" s="128">
        <f>N36*O30</f>
        <v>380.79661192222227</v>
      </c>
      <c r="P36" s="128">
        <f>N36*P30</f>
        <v>428.39618841250001</v>
      </c>
      <c r="Q36" s="128">
        <f>N36*Q30</f>
        <v>475.99576490277781</v>
      </c>
      <c r="R36" s="128">
        <v>1358.25</v>
      </c>
      <c r="S36" s="128">
        <f>R36*S30</f>
        <v>135.82500000000002</v>
      </c>
      <c r="T36" s="128">
        <v>0</v>
      </c>
      <c r="U36" s="128">
        <v>0</v>
      </c>
      <c r="V36" s="128">
        <v>0</v>
      </c>
      <c r="W36" s="128">
        <f t="shared" si="24"/>
        <v>380.79661192222227</v>
      </c>
      <c r="X36" s="128">
        <f>W36*12+0.04</f>
        <v>4569.5993430666667</v>
      </c>
      <c r="Y36" s="128">
        <v>0</v>
      </c>
      <c r="Z36" s="128">
        <f t="shared" si="14"/>
        <v>4825.4969062784003</v>
      </c>
      <c r="AA36" s="128">
        <f>Z36*(100+7.3)%</f>
        <v>5177.7581804367237</v>
      </c>
      <c r="AB36" s="128">
        <f t="shared" si="15"/>
        <v>431.47984836972699</v>
      </c>
      <c r="AC36" s="128">
        <f t="shared" si="26"/>
        <v>679.99394986111122</v>
      </c>
      <c r="AD36" s="128">
        <v>135.83000000000001</v>
      </c>
      <c r="AE36" s="128">
        <f t="shared" si="16"/>
        <v>309.08815902777781</v>
      </c>
      <c r="AF36" s="130">
        <f>AE36/AC36*100</f>
        <v>45.454545454545453</v>
      </c>
      <c r="AG36" s="131">
        <f>AD36*AF36%-0.01</f>
        <v>61.730909090909094</v>
      </c>
      <c r="AH36" s="4"/>
    </row>
    <row r="37" spans="1:34" ht="12" customHeight="1" x14ac:dyDescent="0.25">
      <c r="A37" s="1" t="s">
        <v>177</v>
      </c>
      <c r="B37" s="10">
        <v>6</v>
      </c>
      <c r="C37" s="19" t="s">
        <v>82</v>
      </c>
      <c r="D37" s="11">
        <v>2</v>
      </c>
      <c r="E37" s="18">
        <v>82.98</v>
      </c>
      <c r="F37" s="128">
        <f t="shared" si="25"/>
        <v>220103.19289999999</v>
      </c>
      <c r="G37" s="128">
        <f t="shared" si="17"/>
        <v>3668.3865483333334</v>
      </c>
      <c r="H37" s="128">
        <f t="shared" si="18"/>
        <v>3301.5478934999996</v>
      </c>
      <c r="I37" s="128">
        <f t="shared" si="19"/>
        <v>1100.5159645000001</v>
      </c>
      <c r="J37" s="128">
        <f t="shared" si="20"/>
        <v>8070.4504063333334</v>
      </c>
      <c r="K37" s="128">
        <f t="shared" si="21"/>
        <v>672.53753386111111</v>
      </c>
      <c r="L37" s="128"/>
      <c r="M37" s="128">
        <f t="shared" si="22"/>
        <v>455.98044795783335</v>
      </c>
      <c r="N37" s="128">
        <v>466.1</v>
      </c>
      <c r="O37" s="128">
        <f>+N37*O30</f>
        <v>372.88000000000005</v>
      </c>
      <c r="P37" s="128">
        <f>+N37*P30</f>
        <v>419.49</v>
      </c>
      <c r="Q37" s="128">
        <f>+N37*Q30</f>
        <v>466.1</v>
      </c>
      <c r="R37" s="128">
        <v>2486.2800000000002</v>
      </c>
      <c r="S37" s="128">
        <f>R37*S30</f>
        <v>248.62800000000004</v>
      </c>
      <c r="T37" s="128">
        <v>0</v>
      </c>
      <c r="U37" s="128">
        <v>0</v>
      </c>
      <c r="V37" s="128">
        <v>0</v>
      </c>
      <c r="W37" s="128">
        <f t="shared" si="24"/>
        <v>372.88000000000005</v>
      </c>
      <c r="X37" s="128">
        <f>W37*12</f>
        <v>4474.5600000000004</v>
      </c>
      <c r="Y37" s="128">
        <v>0</v>
      </c>
      <c r="Z37" s="128">
        <f t="shared" si="14"/>
        <v>4725.1353600000002</v>
      </c>
      <c r="AA37" s="128">
        <f>Z37*(100+7.3)%+0.01</f>
        <v>5070.0802412800003</v>
      </c>
      <c r="AB37" s="128">
        <f t="shared" si="15"/>
        <v>422.50668677333334</v>
      </c>
      <c r="AC37" s="128">
        <f>K37</f>
        <v>672.53753386111111</v>
      </c>
      <c r="AD37" s="128">
        <f>S37</f>
        <v>248.62800000000004</v>
      </c>
      <c r="AE37" s="128">
        <f t="shared" si="16"/>
        <v>305.69887902777776</v>
      </c>
      <c r="AF37" s="130">
        <f>AE37/AC37*100</f>
        <v>45.454545454545453</v>
      </c>
      <c r="AG37" s="131">
        <f>AD37*AF37%-0.01</f>
        <v>113.00272727272728</v>
      </c>
      <c r="AH37" s="4"/>
    </row>
    <row r="38" spans="1:34" ht="12" customHeight="1" x14ac:dyDescent="0.25">
      <c r="A38" s="1" t="s">
        <v>178</v>
      </c>
      <c r="B38" s="10">
        <v>7</v>
      </c>
      <c r="C38" s="113" t="s">
        <v>71</v>
      </c>
      <c r="D38" s="36">
        <v>2</v>
      </c>
      <c r="E38" s="12">
        <v>84.43</v>
      </c>
      <c r="F38" s="128">
        <f t="shared" si="25"/>
        <v>223949.28890000001</v>
      </c>
      <c r="G38" s="128">
        <f t="shared" si="17"/>
        <v>3732.4881483333334</v>
      </c>
      <c r="H38" s="128">
        <f t="shared" si="18"/>
        <v>3359.2393335000002</v>
      </c>
      <c r="I38" s="128">
        <f t="shared" si="19"/>
        <v>1119.7464445000001</v>
      </c>
      <c r="J38" s="128">
        <f t="shared" si="20"/>
        <v>8211.473926333334</v>
      </c>
      <c r="K38" s="128">
        <f t="shared" si="21"/>
        <v>684.28949386111117</v>
      </c>
      <c r="L38" s="128"/>
      <c r="M38" s="128"/>
      <c r="N38" s="128">
        <f>K38*N30</f>
        <v>479.00264570277778</v>
      </c>
      <c r="O38" s="128">
        <f>N38*O30</f>
        <v>383.20211656222227</v>
      </c>
      <c r="P38" s="128">
        <f>N38*P30</f>
        <v>431.1023811325</v>
      </c>
      <c r="Q38" s="128">
        <f>N38*Q30</f>
        <v>479.00264570277778</v>
      </c>
      <c r="R38" s="128">
        <v>459.28</v>
      </c>
      <c r="S38" s="128">
        <f>R38*S30</f>
        <v>45.927999999999997</v>
      </c>
      <c r="T38" s="128">
        <v>0</v>
      </c>
      <c r="U38" s="128">
        <v>0</v>
      </c>
      <c r="V38" s="128">
        <v>0</v>
      </c>
      <c r="W38" s="128">
        <f t="shared" si="24"/>
        <v>383.20211656222227</v>
      </c>
      <c r="X38" s="128">
        <f>W38*12-0.03</f>
        <v>4598.3953987466675</v>
      </c>
      <c r="Y38" s="128">
        <v>0</v>
      </c>
      <c r="Z38" s="128">
        <f t="shared" si="14"/>
        <v>4855.9055410764813</v>
      </c>
      <c r="AA38" s="128">
        <f>Z38*(100+7.3)%</f>
        <v>5210.386645575064</v>
      </c>
      <c r="AB38" s="128">
        <f t="shared" si="15"/>
        <v>434.19888713125533</v>
      </c>
      <c r="AC38" s="128">
        <f t="shared" si="26"/>
        <v>684.28949386111117</v>
      </c>
      <c r="AD38" s="128">
        <v>85</v>
      </c>
      <c r="AE38" s="128">
        <f t="shared" si="16"/>
        <v>311.0406790277778</v>
      </c>
      <c r="AF38" s="130">
        <f t="shared" si="23"/>
        <v>45.454545454545453</v>
      </c>
      <c r="AG38" s="131">
        <f>AD38*AF38%-0.01</f>
        <v>38.626363636363635</v>
      </c>
      <c r="AH38" s="4"/>
    </row>
    <row r="39" spans="1:34" ht="12" customHeight="1" x14ac:dyDescent="0.25">
      <c r="A39" s="1" t="s">
        <v>179</v>
      </c>
      <c r="B39" s="10">
        <v>8</v>
      </c>
      <c r="C39" s="11" t="s">
        <v>83</v>
      </c>
      <c r="D39" s="11">
        <v>2</v>
      </c>
      <c r="E39" s="18">
        <v>84.54</v>
      </c>
      <c r="F39" s="128">
        <f t="shared" si="25"/>
        <v>224241.06170000002</v>
      </c>
      <c r="G39" s="128">
        <f t="shared" si="17"/>
        <v>3737.3510283333335</v>
      </c>
      <c r="H39" s="128">
        <f t="shared" si="18"/>
        <v>3363.6159255000002</v>
      </c>
      <c r="I39" s="128">
        <f t="shared" si="19"/>
        <v>1121.2053085000002</v>
      </c>
      <c r="J39" s="128">
        <f t="shared" si="20"/>
        <v>8222.1722623333335</v>
      </c>
      <c r="K39" s="128">
        <f t="shared" si="21"/>
        <v>685.18102186111116</v>
      </c>
      <c r="L39" s="128"/>
      <c r="M39" s="128">
        <f t="shared" si="22"/>
        <v>464.55273282183333</v>
      </c>
      <c r="N39" s="128">
        <f>+K39*N30</f>
        <v>479.62671530277777</v>
      </c>
      <c r="O39" s="128">
        <f>+N39*O30</f>
        <v>383.70137224222225</v>
      </c>
      <c r="P39" s="128">
        <f>+N39*P30</f>
        <v>431.66404377250001</v>
      </c>
      <c r="Q39" s="128">
        <f>+N39*Q30</f>
        <v>479.62671530277777</v>
      </c>
      <c r="R39" s="128">
        <v>1120.31</v>
      </c>
      <c r="S39" s="128">
        <f>R39*S30</f>
        <v>112.03100000000001</v>
      </c>
      <c r="T39" s="128">
        <v>0</v>
      </c>
      <c r="U39" s="128">
        <v>0</v>
      </c>
      <c r="V39" s="128">
        <v>0</v>
      </c>
      <c r="W39" s="128">
        <f t="shared" si="24"/>
        <v>383.70137224222225</v>
      </c>
      <c r="X39" s="128">
        <f>W39*12-0.02</f>
        <v>4604.3964669066663</v>
      </c>
      <c r="Y39" s="128">
        <v>0</v>
      </c>
      <c r="Z39" s="128">
        <f>X39*(100+5.6)%+0.01</f>
        <v>4862.2526690534405</v>
      </c>
      <c r="AA39" s="128">
        <f>Z39*(100+7.3)%-0.01</f>
        <v>5217.1871138943416</v>
      </c>
      <c r="AB39" s="128">
        <f t="shared" si="15"/>
        <v>434.76559282452848</v>
      </c>
      <c r="AC39" s="128">
        <f t="shared" si="26"/>
        <v>685.18102186111116</v>
      </c>
      <c r="AD39" s="128">
        <f>S39</f>
        <v>112.03100000000001</v>
      </c>
      <c r="AE39" s="128">
        <f t="shared" si="16"/>
        <v>311.44591902777779</v>
      </c>
      <c r="AF39" s="130">
        <f t="shared" si="23"/>
        <v>45.454545454545453</v>
      </c>
      <c r="AG39" s="131">
        <f>AD39*AF39%</f>
        <v>50.923181818181817</v>
      </c>
      <c r="AH39" s="4"/>
    </row>
    <row r="40" spans="1:34" ht="12" customHeight="1" x14ac:dyDescent="0.25">
      <c r="A40" s="1" t="s">
        <v>180</v>
      </c>
      <c r="B40" s="10">
        <v>9</v>
      </c>
      <c r="C40" s="11" t="s">
        <v>84</v>
      </c>
      <c r="D40" s="11">
        <v>2</v>
      </c>
      <c r="E40" s="18">
        <v>84.55</v>
      </c>
      <c r="F40" s="128">
        <f t="shared" si="25"/>
        <v>224267.5865</v>
      </c>
      <c r="G40" s="128">
        <f t="shared" si="17"/>
        <v>3737.7931083333333</v>
      </c>
      <c r="H40" s="128">
        <f t="shared" si="18"/>
        <v>3364.0137974999998</v>
      </c>
      <c r="I40" s="128">
        <f t="shared" si="19"/>
        <v>1121.3379325000001</v>
      </c>
      <c r="J40" s="128">
        <f t="shared" si="20"/>
        <v>8223.1448383333336</v>
      </c>
      <c r="K40" s="128">
        <f t="shared" si="21"/>
        <v>685.26206986111117</v>
      </c>
      <c r="L40" s="128"/>
      <c r="M40" s="128">
        <f t="shared" si="22"/>
        <v>464.60768336583334</v>
      </c>
      <c r="N40" s="128">
        <f>+K40*N30</f>
        <v>479.6834489027778</v>
      </c>
      <c r="O40" s="128">
        <f>+N40*O30</f>
        <v>383.74675912222227</v>
      </c>
      <c r="P40" s="128">
        <f>+N40*P30</f>
        <v>431.71510401250003</v>
      </c>
      <c r="Q40" s="128">
        <f>+N40*Q30</f>
        <v>479.6834489027778</v>
      </c>
      <c r="R40" s="128">
        <v>1038.78</v>
      </c>
      <c r="S40" s="128">
        <f>R40*S30</f>
        <v>103.878</v>
      </c>
      <c r="T40" s="128">
        <v>0</v>
      </c>
      <c r="U40" s="128">
        <v>0</v>
      </c>
      <c r="V40" s="128">
        <v>0</v>
      </c>
      <c r="W40" s="128">
        <f t="shared" si="24"/>
        <v>383.74675912222227</v>
      </c>
      <c r="X40" s="128">
        <f>W40*12+0.04</f>
        <v>4605.001109466667</v>
      </c>
      <c r="Y40" s="128">
        <v>0</v>
      </c>
      <c r="Z40" s="128">
        <f>X40*(100+5.6)%</f>
        <v>4862.8811715968004</v>
      </c>
      <c r="AA40" s="128">
        <f>Z40*(100+7.3)%</f>
        <v>5217.8714971233667</v>
      </c>
      <c r="AB40" s="128">
        <f t="shared" si="15"/>
        <v>434.82262476028058</v>
      </c>
      <c r="AC40" s="128">
        <f t="shared" si="26"/>
        <v>685.26206986111117</v>
      </c>
      <c r="AD40" s="128">
        <f>S40</f>
        <v>103.878</v>
      </c>
      <c r="AE40" s="128">
        <f t="shared" si="16"/>
        <v>311.48275902777777</v>
      </c>
      <c r="AF40" s="130">
        <f t="shared" si="23"/>
        <v>45.454545454545446</v>
      </c>
      <c r="AG40" s="131">
        <f>AD40*AF40%-0.01</f>
        <v>47.207272727272724</v>
      </c>
      <c r="AH40" s="4"/>
    </row>
    <row r="41" spans="1:34" x14ac:dyDescent="0.25">
      <c r="B41" s="7"/>
      <c r="C41" s="219" t="s">
        <v>77</v>
      </c>
      <c r="D41" s="219"/>
      <c r="E41" s="15">
        <f>SUM(E32:E40)</f>
        <v>729</v>
      </c>
      <c r="F41" s="132">
        <f>SUM(F32:F40)-0.01</f>
        <v>1933661.5525</v>
      </c>
      <c r="G41" s="132">
        <f>SUM(G32:G40)+0.02</f>
        <v>32227.712708333336</v>
      </c>
      <c r="H41" s="132">
        <f>SUM(H32:H40)+0.01</f>
        <v>29004.933437500003</v>
      </c>
      <c r="I41" s="132">
        <f>SUM(I32:I40)+0.01</f>
        <v>9668.3178125000013</v>
      </c>
      <c r="J41" s="132">
        <f>SUM(J32:J40)-0.01</f>
        <v>70900.913958333345</v>
      </c>
      <c r="K41" s="132">
        <f>SUM(K32:K40)</f>
        <v>5908.4103298611099</v>
      </c>
      <c r="L41" s="132"/>
      <c r="M41" s="132">
        <f>SUM(M32:M40)</f>
        <v>3080.9180288021671</v>
      </c>
      <c r="N41" s="132">
        <f>SUM(N32:N40)+0.01</f>
        <v>4131.2209572000002</v>
      </c>
      <c r="O41" s="132">
        <f>SUM(O32:O40)</f>
        <v>3304.9687657599998</v>
      </c>
      <c r="P41" s="132">
        <f>SUM(P32:P40)</f>
        <v>3718.0898614800003</v>
      </c>
      <c r="Q41" s="132">
        <f>SUM(Q32:Q40)+0.01</f>
        <v>4131.2209572000002</v>
      </c>
      <c r="R41" s="132"/>
      <c r="S41" s="148">
        <f>SUM(S32:S40)+0.02</f>
        <v>916.1790000000002</v>
      </c>
      <c r="T41" s="132">
        <f t="shared" ref="T41:W41" si="27">SUM(T32:T40)</f>
        <v>0</v>
      </c>
      <c r="U41" s="132">
        <f t="shared" si="27"/>
        <v>0</v>
      </c>
      <c r="V41" s="132">
        <f t="shared" si="27"/>
        <v>257.39999999999998</v>
      </c>
      <c r="W41" s="132">
        <f t="shared" si="27"/>
        <v>3209.1219728866668</v>
      </c>
      <c r="X41" s="132">
        <f>SUM(X32:X40)+0.01</f>
        <v>38509.44367464001</v>
      </c>
      <c r="Y41" s="132">
        <f t="shared" ref="Y41:AG41" si="28">SUM(Y32:Y40)</f>
        <v>0</v>
      </c>
      <c r="Z41" s="132">
        <f>SUM(Z32:Z40)+0.01</f>
        <v>40665.981960419849</v>
      </c>
      <c r="AA41" s="132">
        <f>SUM(AA32:AA40)+0.01</f>
        <v>43634.597913530488</v>
      </c>
      <c r="AB41" s="132">
        <f t="shared" si="28"/>
        <v>3636.215659460875</v>
      </c>
      <c r="AC41" s="132">
        <f>SUM(AC32:AC40)</f>
        <v>5908.4103298611099</v>
      </c>
      <c r="AD41" s="132">
        <f>SUM(AD32:AD40)+0.01</f>
        <v>1219.973</v>
      </c>
      <c r="AE41" s="132">
        <f>SUM(AE32:AE40)+0.01</f>
        <v>2685.651059027778</v>
      </c>
      <c r="AF41" s="132">
        <f>SUM(AF32:AF40)-0.04</f>
        <v>409.05090909090899</v>
      </c>
      <c r="AG41" s="132">
        <f t="shared" si="28"/>
        <v>554.46863636363639</v>
      </c>
      <c r="AH41" s="4"/>
    </row>
    <row r="42" spans="1:34" x14ac:dyDescent="0.25">
      <c r="B42" s="4"/>
      <c r="C42" s="20"/>
      <c r="D42" s="20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55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4"/>
    </row>
    <row r="43" spans="1:34" x14ac:dyDescent="0.25">
      <c r="B43" s="4"/>
      <c r="C43" s="20"/>
      <c r="D43" s="2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55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4"/>
    </row>
    <row r="44" spans="1:34" x14ac:dyDescent="0.25">
      <c r="B44" s="4"/>
      <c r="C44" s="20"/>
      <c r="D44" s="20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55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4"/>
    </row>
    <row r="45" spans="1:34" x14ac:dyDescent="0.25">
      <c r="B45" s="4"/>
      <c r="C45" s="20"/>
      <c r="D45" s="2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4"/>
    </row>
    <row r="46" spans="1:34" x14ac:dyDescent="0.25">
      <c r="B46" s="4"/>
      <c r="C46" s="20"/>
      <c r="D46" s="2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4"/>
    </row>
    <row r="47" spans="1:34" x14ac:dyDescent="0.25">
      <c r="B47" s="4"/>
      <c r="C47" s="20"/>
      <c r="D47" s="20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4"/>
    </row>
    <row r="48" spans="1:34" ht="20.25" x14ac:dyDescent="0.25">
      <c r="B48" s="4"/>
      <c r="C48" s="223" t="s">
        <v>85</v>
      </c>
      <c r="D48" s="223"/>
      <c r="E48" s="223"/>
      <c r="F48" s="223"/>
      <c r="G48" s="22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x14ac:dyDescent="0.25">
      <c r="B49" s="4"/>
      <c r="C49" s="20"/>
      <c r="D49" s="20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4"/>
    </row>
    <row r="50" spans="1:34" x14ac:dyDescent="0.25">
      <c r="B50" s="3"/>
      <c r="C50" s="4"/>
      <c r="D50" s="5" t="s">
        <v>42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/>
      <c r="AG50" s="4"/>
      <c r="AH50" s="4"/>
    </row>
    <row r="51" spans="1:34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17" customHeight="1" x14ac:dyDescent="0.25">
      <c r="B52" s="215" t="s">
        <v>1</v>
      </c>
      <c r="C52" s="217" t="s">
        <v>56</v>
      </c>
      <c r="D52" s="209" t="s">
        <v>3</v>
      </c>
      <c r="E52" s="209" t="s">
        <v>4</v>
      </c>
      <c r="F52" s="209" t="s">
        <v>5</v>
      </c>
      <c r="G52" s="209" t="s">
        <v>6</v>
      </c>
      <c r="H52" s="209" t="s">
        <v>7</v>
      </c>
      <c r="I52" s="209" t="s">
        <v>8</v>
      </c>
      <c r="J52" s="209" t="s">
        <v>9</v>
      </c>
      <c r="K52" s="209" t="s">
        <v>57</v>
      </c>
      <c r="L52" s="22" t="s">
        <v>10</v>
      </c>
      <c r="M52" s="22" t="s">
        <v>10</v>
      </c>
      <c r="N52" s="22" t="s">
        <v>12</v>
      </c>
      <c r="O52" s="211" t="s">
        <v>13</v>
      </c>
      <c r="P52" s="212"/>
      <c r="Q52" s="213"/>
      <c r="R52" s="209" t="s">
        <v>14</v>
      </c>
      <c r="S52" s="225" t="s">
        <v>58</v>
      </c>
      <c r="T52" s="226"/>
      <c r="U52" s="226"/>
      <c r="V52" s="227"/>
      <c r="W52" s="207" t="s">
        <v>21</v>
      </c>
      <c r="X52" s="209" t="s">
        <v>9</v>
      </c>
      <c r="Y52" s="22" t="s">
        <v>242</v>
      </c>
      <c r="Z52" s="22" t="s">
        <v>243</v>
      </c>
      <c r="AA52" s="22" t="s">
        <v>156</v>
      </c>
      <c r="AB52" s="207" t="s">
        <v>59</v>
      </c>
      <c r="AC52" s="228" t="s">
        <v>18</v>
      </c>
      <c r="AD52" s="229"/>
      <c r="AE52" s="229"/>
      <c r="AF52" s="229"/>
      <c r="AG52" s="205" t="s">
        <v>19</v>
      </c>
      <c r="AH52" s="4"/>
    </row>
    <row r="53" spans="1:34" ht="51" x14ac:dyDescent="0.25">
      <c r="B53" s="216"/>
      <c r="C53" s="218"/>
      <c r="D53" s="210"/>
      <c r="E53" s="210"/>
      <c r="F53" s="210"/>
      <c r="G53" s="210"/>
      <c r="H53" s="210"/>
      <c r="I53" s="210"/>
      <c r="J53" s="210"/>
      <c r="K53" s="210"/>
      <c r="L53" s="22">
        <v>5.6</v>
      </c>
      <c r="M53" s="22">
        <v>5.6</v>
      </c>
      <c r="N53" s="22">
        <v>0.7</v>
      </c>
      <c r="O53" s="23">
        <v>0.8</v>
      </c>
      <c r="P53" s="24">
        <v>0.9</v>
      </c>
      <c r="Q53" s="28">
        <v>1</v>
      </c>
      <c r="R53" s="210"/>
      <c r="S53" s="29">
        <v>0.1</v>
      </c>
      <c r="T53" s="30">
        <v>0.2</v>
      </c>
      <c r="U53" s="30">
        <v>0.3</v>
      </c>
      <c r="V53" s="30">
        <v>0.1</v>
      </c>
      <c r="W53" s="208"/>
      <c r="X53" s="210"/>
      <c r="Y53" s="22">
        <v>10.4</v>
      </c>
      <c r="Z53" s="22">
        <v>5.6</v>
      </c>
      <c r="AA53" s="22">
        <v>7.3</v>
      </c>
      <c r="AB53" s="208"/>
      <c r="AC53" s="33" t="s">
        <v>20</v>
      </c>
      <c r="AD53" s="33" t="s">
        <v>21</v>
      </c>
      <c r="AE53" s="33" t="s">
        <v>22</v>
      </c>
      <c r="AF53" s="33" t="s">
        <v>23</v>
      </c>
      <c r="AG53" s="206"/>
      <c r="AH53" s="4"/>
    </row>
    <row r="54" spans="1:34" x14ac:dyDescent="0.25">
      <c r="B54" s="7"/>
      <c r="C54" s="8"/>
      <c r="D54" s="9">
        <v>0</v>
      </c>
      <c r="E54" s="9">
        <v>1</v>
      </c>
      <c r="F54" s="9">
        <v>2</v>
      </c>
      <c r="G54" s="9" t="s">
        <v>24</v>
      </c>
      <c r="H54" s="9" t="s">
        <v>25</v>
      </c>
      <c r="I54" s="9" t="s">
        <v>26</v>
      </c>
      <c r="J54" s="9" t="s">
        <v>27</v>
      </c>
      <c r="K54" s="25" t="s">
        <v>60</v>
      </c>
      <c r="L54" s="9" t="s">
        <v>61</v>
      </c>
      <c r="M54" s="9" t="s">
        <v>61</v>
      </c>
      <c r="N54" s="9" t="s">
        <v>62</v>
      </c>
      <c r="O54" s="9" t="s">
        <v>63</v>
      </c>
      <c r="P54" s="9" t="s">
        <v>63</v>
      </c>
      <c r="Q54" s="9" t="s">
        <v>63</v>
      </c>
      <c r="R54" s="9">
        <v>9</v>
      </c>
      <c r="S54" s="31" t="s">
        <v>161</v>
      </c>
      <c r="T54" s="31" t="s">
        <v>162</v>
      </c>
      <c r="U54" s="31" t="s">
        <v>163</v>
      </c>
      <c r="V54" s="31" t="s">
        <v>164</v>
      </c>
      <c r="W54" s="31" t="s">
        <v>64</v>
      </c>
      <c r="X54" s="9" t="s">
        <v>65</v>
      </c>
      <c r="Y54" s="9" t="s">
        <v>66</v>
      </c>
      <c r="Z54" s="9" t="s">
        <v>67</v>
      </c>
      <c r="AA54" s="9" t="s">
        <v>246</v>
      </c>
      <c r="AB54" s="9" t="s">
        <v>240</v>
      </c>
      <c r="AC54" s="9">
        <v>16</v>
      </c>
      <c r="AD54" s="31" t="s">
        <v>158</v>
      </c>
      <c r="AE54" s="31" t="s">
        <v>159</v>
      </c>
      <c r="AF54" s="31" t="s">
        <v>160</v>
      </c>
      <c r="AG54" s="9">
        <v>17</v>
      </c>
      <c r="AH54" s="4"/>
    </row>
    <row r="55" spans="1:34" x14ac:dyDescent="0.25">
      <c r="A55" s="1" t="s">
        <v>181</v>
      </c>
      <c r="B55" s="122">
        <v>1</v>
      </c>
      <c r="C55" s="112" t="s">
        <v>86</v>
      </c>
      <c r="D55" s="36">
        <v>1</v>
      </c>
      <c r="E55" s="37">
        <v>74.47</v>
      </c>
      <c r="F55" s="149">
        <f>E55*1620.66</f>
        <v>120690.5502</v>
      </c>
      <c r="G55" s="149">
        <f>F55/60</f>
        <v>2011.50917</v>
      </c>
      <c r="H55" s="149">
        <f>F55*1.5%</f>
        <v>1810.3582529999999</v>
      </c>
      <c r="I55" s="149">
        <f>F55*0.5%</f>
        <v>603.45275100000003</v>
      </c>
      <c r="J55" s="149">
        <f>I55+H55+G55</f>
        <v>4425.3201740000004</v>
      </c>
      <c r="K55" s="149">
        <f>J55/12</f>
        <v>368.77668116666672</v>
      </c>
      <c r="L55" s="149"/>
      <c r="M55" s="149"/>
      <c r="N55" s="149">
        <f>K55*N53</f>
        <v>258.1436768166667</v>
      </c>
      <c r="O55" s="149">
        <f>N55*O53</f>
        <v>206.51494145333336</v>
      </c>
      <c r="P55" s="149">
        <f>N55*P53</f>
        <v>232.32930913500005</v>
      </c>
      <c r="Q55" s="149">
        <f>N55*Q53</f>
        <v>258.1436768166667</v>
      </c>
      <c r="R55" s="149">
        <v>1270.56</v>
      </c>
      <c r="S55" s="149">
        <f>R55*S53</f>
        <v>127.056</v>
      </c>
      <c r="T55" s="149">
        <v>0</v>
      </c>
      <c r="U55" s="149">
        <v>0</v>
      </c>
      <c r="V55" s="149">
        <v>0</v>
      </c>
      <c r="W55" s="149">
        <f>O55</f>
        <v>206.51494145333336</v>
      </c>
      <c r="X55" s="149">
        <f>W55*12-0.06</f>
        <v>2478.1192974400005</v>
      </c>
      <c r="Y55" s="149">
        <f t="shared" ref="Y55:Y63" si="29">X55*(100+10.4)%</f>
        <v>2735.8437043737608</v>
      </c>
      <c r="Z55" s="149">
        <f>Y55*(100+5.6)%</f>
        <v>2889.0509518186914</v>
      </c>
      <c r="AA55" s="149">
        <f t="shared" ref="AA55:AA60" si="30">Z55*(100+7.3)%</f>
        <v>3099.9516713014559</v>
      </c>
      <c r="AB55" s="149">
        <f t="shared" ref="AB55:AB63" si="31">AA55/12</f>
        <v>258.32930594178799</v>
      </c>
      <c r="AC55" s="149">
        <f>K55</f>
        <v>368.77668116666672</v>
      </c>
      <c r="AD55" s="149">
        <f>S55</f>
        <v>127.056</v>
      </c>
      <c r="AE55" s="149">
        <f>G55/12</f>
        <v>167.62576416666667</v>
      </c>
      <c r="AF55" s="149">
        <f>AE55/AC55*100</f>
        <v>45.454545454545446</v>
      </c>
      <c r="AG55" s="150">
        <f t="shared" ref="AG55:AG62" si="32">AD55*AF55%</f>
        <v>57.752727272727263</v>
      </c>
      <c r="AH55" s="4"/>
    </row>
    <row r="56" spans="1:34" x14ac:dyDescent="0.25">
      <c r="A56" s="1" t="s">
        <v>179</v>
      </c>
      <c r="B56" s="35">
        <v>2</v>
      </c>
      <c r="C56" s="35" t="s">
        <v>88</v>
      </c>
      <c r="D56" s="36">
        <v>2</v>
      </c>
      <c r="E56" s="35">
        <v>75.56</v>
      </c>
      <c r="F56" s="128">
        <f>+E56*1620.66</f>
        <v>122457.06960000002</v>
      </c>
      <c r="G56" s="128">
        <f>+F56/60</f>
        <v>2040.9511600000003</v>
      </c>
      <c r="H56" s="128">
        <f>+F56*1.5%</f>
        <v>1836.8560440000001</v>
      </c>
      <c r="I56" s="128">
        <f>F56*0.5%</f>
        <v>612.28534800000011</v>
      </c>
      <c r="J56" s="128">
        <f>G56+H56+I56</f>
        <v>4490.092552000001</v>
      </c>
      <c r="K56" s="128">
        <f>+J56/12</f>
        <v>374.17437933333343</v>
      </c>
      <c r="L56" s="128"/>
      <c r="M56" s="128">
        <f>J56*(100%+5.6%)</f>
        <v>4741.5377349120008</v>
      </c>
      <c r="N56" s="128">
        <f>+K56*N53</f>
        <v>261.92206553333341</v>
      </c>
      <c r="O56" s="128">
        <f>+N56*O53</f>
        <v>209.53765242666674</v>
      </c>
      <c r="P56" s="128">
        <f>+N56*P53</f>
        <v>235.72985898000007</v>
      </c>
      <c r="Q56" s="128">
        <f>+N56*Q53</f>
        <v>261.92206553333341</v>
      </c>
      <c r="R56" s="145" t="s">
        <v>245</v>
      </c>
      <c r="S56" s="145">
        <v>0</v>
      </c>
      <c r="T56" s="145">
        <v>0</v>
      </c>
      <c r="U56" s="145">
        <v>0</v>
      </c>
      <c r="V56" s="145">
        <v>257.39999999999998</v>
      </c>
      <c r="W56" s="145">
        <v>257.39999999999998</v>
      </c>
      <c r="X56" s="145">
        <f>W56*12</f>
        <v>3088.7999999999997</v>
      </c>
      <c r="Y56" s="145">
        <f t="shared" si="29"/>
        <v>3410.0351999999998</v>
      </c>
      <c r="Z56" s="145">
        <f>Y56*(100+5.6)%</f>
        <v>3600.9971712000001</v>
      </c>
      <c r="AA56" s="145">
        <f t="shared" si="30"/>
        <v>3863.8699646976002</v>
      </c>
      <c r="AB56" s="145">
        <f t="shared" si="31"/>
        <v>321.98916372479999</v>
      </c>
      <c r="AC56" s="151">
        <f t="shared" ref="AC56:AC63" si="33">K56</f>
        <v>374.17437933333343</v>
      </c>
      <c r="AD56" s="145">
        <f>V56</f>
        <v>257.39999999999998</v>
      </c>
      <c r="AE56" s="151">
        <f t="shared" ref="AE56:AE63" si="34">G56/12</f>
        <v>170.07926333333336</v>
      </c>
      <c r="AF56" s="151">
        <f t="shared" ref="AF56:AF63" si="35">AE56/AC56*100</f>
        <v>45.454545454545446</v>
      </c>
      <c r="AG56" s="147">
        <f>AD56*AF56%-0.01</f>
        <v>116.98999999999997</v>
      </c>
      <c r="AH56" s="4"/>
    </row>
    <row r="57" spans="1:34" x14ac:dyDescent="0.25">
      <c r="A57" s="1" t="s">
        <v>182</v>
      </c>
      <c r="B57" s="122">
        <v>3</v>
      </c>
      <c r="C57" s="19" t="s">
        <v>89</v>
      </c>
      <c r="D57" s="11">
        <v>2</v>
      </c>
      <c r="E57" s="19">
        <v>82.34</v>
      </c>
      <c r="F57" s="128">
        <f t="shared" ref="F57:F63" si="36">+E57*1620.66</f>
        <v>133445.14440000002</v>
      </c>
      <c r="G57" s="128">
        <f t="shared" ref="G57:G63" si="37">+F57/60</f>
        <v>2224.0857400000004</v>
      </c>
      <c r="H57" s="128">
        <f t="shared" ref="H57:H63" si="38">+F57*1.5%</f>
        <v>2001.6771660000002</v>
      </c>
      <c r="I57" s="128">
        <f t="shared" ref="I57:I63" si="39">F57*0.5%</f>
        <v>667.22572200000013</v>
      </c>
      <c r="J57" s="128">
        <v>4893</v>
      </c>
      <c r="K57" s="128">
        <f t="shared" ref="K57:K63" si="40">+J57/12</f>
        <v>407.75</v>
      </c>
      <c r="L57" s="128"/>
      <c r="M57" s="128">
        <f t="shared" ref="M57:M63" si="41">J57*(100%+5.6%)</f>
        <v>5167.0079999999998</v>
      </c>
      <c r="N57" s="128">
        <f>+K57*N53</f>
        <v>285.42499999999995</v>
      </c>
      <c r="O57" s="128">
        <f>+N57*O53</f>
        <v>228.33999999999997</v>
      </c>
      <c r="P57" s="128">
        <f>+N57*P53</f>
        <v>256.88249999999999</v>
      </c>
      <c r="Q57" s="128">
        <f>+N57*Q53</f>
        <v>285.42499999999995</v>
      </c>
      <c r="R57" s="128">
        <v>1847.42</v>
      </c>
      <c r="S57" s="128">
        <f>R57*S53</f>
        <v>184.74200000000002</v>
      </c>
      <c r="T57" s="128">
        <v>0</v>
      </c>
      <c r="U57" s="128">
        <v>0</v>
      </c>
      <c r="V57" s="128">
        <v>0</v>
      </c>
      <c r="W57" s="128">
        <f t="shared" ref="W57:W63" si="42">O57</f>
        <v>228.33999999999997</v>
      </c>
      <c r="X57" s="128">
        <f>W57*12</f>
        <v>2740.08</v>
      </c>
      <c r="Y57" s="128">
        <f t="shared" si="29"/>
        <v>3025.0483200000003</v>
      </c>
      <c r="Z57" s="128">
        <f>Y57*(100+5.6)%</f>
        <v>3194.4510259200006</v>
      </c>
      <c r="AA57" s="128">
        <f>Z57*(100+7.3)%-0.01</f>
        <v>3427.6359508121604</v>
      </c>
      <c r="AB57" s="128">
        <f t="shared" si="31"/>
        <v>285.6363292343467</v>
      </c>
      <c r="AC57" s="149">
        <f t="shared" si="33"/>
        <v>407.75</v>
      </c>
      <c r="AD57" s="128">
        <f>S57</f>
        <v>184.74200000000002</v>
      </c>
      <c r="AE57" s="149">
        <f t="shared" si="34"/>
        <v>185.34047833333338</v>
      </c>
      <c r="AF57" s="149">
        <f t="shared" si="35"/>
        <v>45.454439811976307</v>
      </c>
      <c r="AG57" s="131">
        <f>AD57*AF57%-0.01</f>
        <v>83.96344119744127</v>
      </c>
      <c r="AH57" s="4"/>
    </row>
    <row r="58" spans="1:34" x14ac:dyDescent="0.25">
      <c r="A58" s="1" t="s">
        <v>183</v>
      </c>
      <c r="B58" s="35">
        <v>4</v>
      </c>
      <c r="C58" s="19" t="s">
        <v>90</v>
      </c>
      <c r="D58" s="11">
        <v>2</v>
      </c>
      <c r="E58" s="19">
        <v>83.13</v>
      </c>
      <c r="F58" s="128">
        <f t="shared" si="36"/>
        <v>134725.46580000001</v>
      </c>
      <c r="G58" s="128">
        <f t="shared" si="37"/>
        <v>2245.42443</v>
      </c>
      <c r="H58" s="128">
        <f t="shared" si="38"/>
        <v>2020.881987</v>
      </c>
      <c r="I58" s="128">
        <f t="shared" si="39"/>
        <v>673.62732900000003</v>
      </c>
      <c r="J58" s="128">
        <f t="shared" ref="J58:J63" si="43">G58+H58+I58</f>
        <v>4939.9337459999997</v>
      </c>
      <c r="K58" s="128">
        <f t="shared" si="40"/>
        <v>411.66114549999998</v>
      </c>
      <c r="L58" s="128"/>
      <c r="M58" s="128">
        <f t="shared" si="41"/>
        <v>5216.5700357759997</v>
      </c>
      <c r="N58" s="128">
        <f>+K58*N53</f>
        <v>288.16280184999994</v>
      </c>
      <c r="O58" s="128">
        <f>+N58*O53</f>
        <v>230.53024147999997</v>
      </c>
      <c r="P58" s="128">
        <f>+N58*P53</f>
        <v>259.34652166499995</v>
      </c>
      <c r="Q58" s="128">
        <f>+N58*Q53</f>
        <v>288.16280184999994</v>
      </c>
      <c r="R58" s="128">
        <v>1332.14</v>
      </c>
      <c r="S58" s="128">
        <f>R58*S53</f>
        <v>133.21400000000003</v>
      </c>
      <c r="T58" s="128">
        <v>0</v>
      </c>
      <c r="U58" s="128">
        <v>0</v>
      </c>
      <c r="V58" s="128">
        <v>0</v>
      </c>
      <c r="W58" s="128">
        <f t="shared" si="42"/>
        <v>230.53024147999997</v>
      </c>
      <c r="X58" s="128">
        <f>W58*12</f>
        <v>2766.3628977599997</v>
      </c>
      <c r="Y58" s="128">
        <f t="shared" si="29"/>
        <v>3054.0646391270398</v>
      </c>
      <c r="Z58" s="128">
        <f>Y58*(100+5.6)%</f>
        <v>3225.0922589181541</v>
      </c>
      <c r="AA58" s="128">
        <f t="shared" si="30"/>
        <v>3460.5239938191794</v>
      </c>
      <c r="AB58" s="128">
        <f t="shared" si="31"/>
        <v>288.37699948493162</v>
      </c>
      <c r="AC58" s="149">
        <f t="shared" si="33"/>
        <v>411.66114549999998</v>
      </c>
      <c r="AD58" s="128">
        <f>S58</f>
        <v>133.21400000000003</v>
      </c>
      <c r="AE58" s="149">
        <f t="shared" si="34"/>
        <v>187.11870250000001</v>
      </c>
      <c r="AF58" s="149">
        <f t="shared" si="35"/>
        <v>45.45454545454546</v>
      </c>
      <c r="AG58" s="131">
        <f>AD58*AF58%-0.01</f>
        <v>60.541818181818201</v>
      </c>
      <c r="AH58" s="4"/>
    </row>
    <row r="59" spans="1:34" x14ac:dyDescent="0.25">
      <c r="A59" s="1" t="s">
        <v>184</v>
      </c>
      <c r="B59" s="122">
        <v>5</v>
      </c>
      <c r="C59" s="19" t="s">
        <v>91</v>
      </c>
      <c r="D59" s="11">
        <v>2</v>
      </c>
      <c r="E59" s="14">
        <v>81.680000000000007</v>
      </c>
      <c r="F59" s="128">
        <f t="shared" si="36"/>
        <v>132375.50880000001</v>
      </c>
      <c r="G59" s="128">
        <f t="shared" si="37"/>
        <v>2206.25848</v>
      </c>
      <c r="H59" s="128">
        <f t="shared" si="38"/>
        <v>1985.6326320000001</v>
      </c>
      <c r="I59" s="128">
        <f t="shared" si="39"/>
        <v>661.87754400000006</v>
      </c>
      <c r="J59" s="128">
        <f t="shared" si="43"/>
        <v>4853.7686560000002</v>
      </c>
      <c r="K59" s="128">
        <f t="shared" si="40"/>
        <v>404.48072133333335</v>
      </c>
      <c r="L59" s="128"/>
      <c r="M59" s="128">
        <f t="shared" si="41"/>
        <v>5125.5797007360006</v>
      </c>
      <c r="N59" s="128">
        <f>+K59*N53</f>
        <v>283.1365049333333</v>
      </c>
      <c r="O59" s="128">
        <f>+N59*O53</f>
        <v>226.50920394666664</v>
      </c>
      <c r="P59" s="128">
        <f>N59*P53</f>
        <v>254.82285443999999</v>
      </c>
      <c r="Q59" s="128">
        <f>+N59*Q53</f>
        <v>283.1365049333333</v>
      </c>
      <c r="R59" s="128">
        <v>2509.36</v>
      </c>
      <c r="S59" s="128">
        <f>R59*S53</f>
        <v>250.93600000000004</v>
      </c>
      <c r="T59" s="128">
        <v>0</v>
      </c>
      <c r="U59" s="128">
        <v>0</v>
      </c>
      <c r="V59" s="128">
        <v>0</v>
      </c>
      <c r="W59" s="128">
        <f t="shared" si="42"/>
        <v>226.50920394666664</v>
      </c>
      <c r="X59" s="128">
        <f>O59*12+0.01</f>
        <v>2718.1204473600001</v>
      </c>
      <c r="Y59" s="128">
        <f t="shared" si="29"/>
        <v>3000.8049738854402</v>
      </c>
      <c r="Z59" s="128">
        <f>Y59*(100+5.6)%-0.01</f>
        <v>3168.8400524230246</v>
      </c>
      <c r="AA59" s="128">
        <f t="shared" si="30"/>
        <v>3400.1653762499054</v>
      </c>
      <c r="AB59" s="128">
        <f t="shared" si="31"/>
        <v>283.34711468749214</v>
      </c>
      <c r="AC59" s="149">
        <f t="shared" si="33"/>
        <v>404.48072133333335</v>
      </c>
      <c r="AD59" s="128">
        <f>S59</f>
        <v>250.93600000000004</v>
      </c>
      <c r="AE59" s="149">
        <f t="shared" si="34"/>
        <v>183.85487333333333</v>
      </c>
      <c r="AF59" s="149">
        <f t="shared" si="35"/>
        <v>45.454545454545453</v>
      </c>
      <c r="AG59" s="131">
        <f>AD59*AF59%-0.01</f>
        <v>114.05181818181819</v>
      </c>
      <c r="AH59" s="4"/>
    </row>
    <row r="60" spans="1:34" x14ac:dyDescent="0.25">
      <c r="A60" s="1" t="s">
        <v>185</v>
      </c>
      <c r="B60" s="35">
        <v>6</v>
      </c>
      <c r="C60" s="19" t="s">
        <v>92</v>
      </c>
      <c r="D60" s="11">
        <v>2</v>
      </c>
      <c r="E60" s="14">
        <v>80.900000000000006</v>
      </c>
      <c r="F60" s="128">
        <f t="shared" si="36"/>
        <v>131111.39400000003</v>
      </c>
      <c r="G60" s="128">
        <f t="shared" si="37"/>
        <v>2185.1899000000003</v>
      </c>
      <c r="H60" s="128">
        <f t="shared" si="38"/>
        <v>1966.6709100000003</v>
      </c>
      <c r="I60" s="128">
        <f t="shared" si="39"/>
        <v>655.55697000000021</v>
      </c>
      <c r="J60" s="128">
        <f t="shared" si="43"/>
        <v>4807.4177800000007</v>
      </c>
      <c r="K60" s="128">
        <f t="shared" si="40"/>
        <v>400.61814833333341</v>
      </c>
      <c r="L60" s="128"/>
      <c r="M60" s="128">
        <f t="shared" si="41"/>
        <v>5076.6331756800009</v>
      </c>
      <c r="N60" s="128">
        <f>+K60*N53</f>
        <v>280.43270383333339</v>
      </c>
      <c r="O60" s="128">
        <f>N60*O53</f>
        <v>224.34616306666672</v>
      </c>
      <c r="P60" s="128">
        <f>+N60*P53</f>
        <v>252.38943345000007</v>
      </c>
      <c r="Q60" s="128">
        <f>+N60*Q53</f>
        <v>280.43270383333339</v>
      </c>
      <c r="R60" s="128">
        <v>650.38</v>
      </c>
      <c r="S60" s="128">
        <f>R60*S53</f>
        <v>65.037999999999997</v>
      </c>
      <c r="T60" s="128">
        <v>0</v>
      </c>
      <c r="U60" s="128">
        <v>0</v>
      </c>
      <c r="V60" s="128">
        <v>0</v>
      </c>
      <c r="W60" s="128">
        <f t="shared" si="42"/>
        <v>224.34616306666672</v>
      </c>
      <c r="X60" s="128">
        <f>W60*12</f>
        <v>2692.1539568000007</v>
      </c>
      <c r="Y60" s="128">
        <f t="shared" si="29"/>
        <v>2972.1379683072009</v>
      </c>
      <c r="Z60" s="128">
        <f>Y60*(100+5.6)%+0.01</f>
        <v>3138.5876945324044</v>
      </c>
      <c r="AA60" s="128">
        <f t="shared" si="30"/>
        <v>3367.70459623327</v>
      </c>
      <c r="AB60" s="128">
        <f t="shared" si="31"/>
        <v>280.64204968610585</v>
      </c>
      <c r="AC60" s="149">
        <f t="shared" si="33"/>
        <v>400.61814833333341</v>
      </c>
      <c r="AD60" s="128">
        <v>85</v>
      </c>
      <c r="AE60" s="149">
        <f t="shared" si="34"/>
        <v>182.09915833333335</v>
      </c>
      <c r="AF60" s="149">
        <f t="shared" si="35"/>
        <v>45.454545454545446</v>
      </c>
      <c r="AG60" s="131">
        <f>AD60*AF60%-0.01</f>
        <v>38.626363636363635</v>
      </c>
      <c r="AH60" s="4"/>
    </row>
    <row r="61" spans="1:34" x14ac:dyDescent="0.25">
      <c r="A61" s="1" t="s">
        <v>186</v>
      </c>
      <c r="B61" s="122">
        <v>7</v>
      </c>
      <c r="C61" s="19" t="s">
        <v>93</v>
      </c>
      <c r="D61" s="11">
        <v>2</v>
      </c>
      <c r="E61" s="19">
        <v>82.34</v>
      </c>
      <c r="F61" s="128">
        <f t="shared" si="36"/>
        <v>133445.14440000002</v>
      </c>
      <c r="G61" s="128">
        <f t="shared" si="37"/>
        <v>2224.0857400000004</v>
      </c>
      <c r="H61" s="128">
        <f t="shared" si="38"/>
        <v>2001.6771660000002</v>
      </c>
      <c r="I61" s="128">
        <f t="shared" si="39"/>
        <v>667.22572200000013</v>
      </c>
      <c r="J61" s="128">
        <v>4893</v>
      </c>
      <c r="K61" s="128">
        <f t="shared" si="40"/>
        <v>407.75</v>
      </c>
      <c r="L61" s="128"/>
      <c r="M61" s="128">
        <f t="shared" si="41"/>
        <v>5167.0079999999998</v>
      </c>
      <c r="N61" s="128">
        <f>+K61*N53</f>
        <v>285.42499999999995</v>
      </c>
      <c r="O61" s="128">
        <f>+N61*O53</f>
        <v>228.33999999999997</v>
      </c>
      <c r="P61" s="128">
        <f>N61*P53</f>
        <v>256.88249999999999</v>
      </c>
      <c r="Q61" s="128">
        <f>+N61*Q53</f>
        <v>285.42499999999995</v>
      </c>
      <c r="R61" s="128">
        <v>964.31</v>
      </c>
      <c r="S61" s="128">
        <f>R61*S53</f>
        <v>96.430999999999997</v>
      </c>
      <c r="T61" s="128">
        <v>0</v>
      </c>
      <c r="U61" s="128">
        <v>0</v>
      </c>
      <c r="V61" s="128">
        <v>0</v>
      </c>
      <c r="W61" s="128">
        <f t="shared" si="42"/>
        <v>228.33999999999997</v>
      </c>
      <c r="X61" s="128">
        <f>W61*12</f>
        <v>2740.08</v>
      </c>
      <c r="Y61" s="128">
        <f t="shared" si="29"/>
        <v>3025.0483200000003</v>
      </c>
      <c r="Z61" s="128">
        <f>Y61*(100+5.6)%</f>
        <v>3194.4510259200006</v>
      </c>
      <c r="AA61" s="128">
        <f>Z61*(100+7.3)%-0.01</f>
        <v>3427.6359508121604</v>
      </c>
      <c r="AB61" s="128">
        <f t="shared" si="31"/>
        <v>285.6363292343467</v>
      </c>
      <c r="AC61" s="149">
        <f t="shared" si="33"/>
        <v>407.75</v>
      </c>
      <c r="AD61" s="128">
        <f>S61</f>
        <v>96.430999999999997</v>
      </c>
      <c r="AE61" s="149">
        <f t="shared" si="34"/>
        <v>185.34047833333338</v>
      </c>
      <c r="AF61" s="149">
        <f t="shared" si="35"/>
        <v>45.454439811976307</v>
      </c>
      <c r="AG61" s="131">
        <f t="shared" si="32"/>
        <v>43.832170855086872</v>
      </c>
      <c r="AH61" s="4"/>
    </row>
    <row r="62" spans="1:34" x14ac:dyDescent="0.25">
      <c r="A62" s="1" t="s">
        <v>187</v>
      </c>
      <c r="B62" s="35">
        <v>8</v>
      </c>
      <c r="C62" s="112" t="s">
        <v>87</v>
      </c>
      <c r="D62" s="36">
        <v>1</v>
      </c>
      <c r="E62" s="37">
        <v>83.13</v>
      </c>
      <c r="F62" s="128">
        <f>E62*1620.66</f>
        <v>134725.46580000001</v>
      </c>
      <c r="G62" s="128">
        <f t="shared" si="37"/>
        <v>2245.42443</v>
      </c>
      <c r="H62" s="128">
        <f t="shared" si="38"/>
        <v>2020.881987</v>
      </c>
      <c r="I62" s="128">
        <f t="shared" si="39"/>
        <v>673.62732900000003</v>
      </c>
      <c r="J62" s="128">
        <f>I62+H62+G62</f>
        <v>4939.9337460000006</v>
      </c>
      <c r="K62" s="128">
        <f>J62/12</f>
        <v>411.66114550000003</v>
      </c>
      <c r="L62" s="128"/>
      <c r="M62" s="128"/>
      <c r="N62" s="128">
        <f>K62*N53</f>
        <v>288.16280184999999</v>
      </c>
      <c r="O62" s="128">
        <f>N62*O53</f>
        <v>230.53024148</v>
      </c>
      <c r="P62" s="128">
        <f>N62*P53</f>
        <v>259.34652166500001</v>
      </c>
      <c r="Q62" s="128">
        <f>N62*Q53</f>
        <v>288.16280184999999</v>
      </c>
      <c r="R62" s="128">
        <v>1025.08</v>
      </c>
      <c r="S62" s="128">
        <f>R62*S53</f>
        <v>102.508</v>
      </c>
      <c r="T62" s="128">
        <v>0</v>
      </c>
      <c r="U62" s="128">
        <v>0</v>
      </c>
      <c r="V62" s="128">
        <v>0</v>
      </c>
      <c r="W62" s="128">
        <f t="shared" si="42"/>
        <v>230.53024148</v>
      </c>
      <c r="X62" s="128">
        <f>W62*12</f>
        <v>2766.3628977600001</v>
      </c>
      <c r="Y62" s="128">
        <f t="shared" si="29"/>
        <v>3054.0646391270402</v>
      </c>
      <c r="Z62" s="128">
        <f>Y62*(100+5.6)%</f>
        <v>3225.0922589181546</v>
      </c>
      <c r="AA62" s="128">
        <f>Z62*(100+7.3)%</f>
        <v>3460.5239938191799</v>
      </c>
      <c r="AB62" s="128">
        <f t="shared" si="31"/>
        <v>288.37699948493167</v>
      </c>
      <c r="AC62" s="149">
        <f t="shared" si="33"/>
        <v>411.66114550000003</v>
      </c>
      <c r="AD62" s="128">
        <f>S62</f>
        <v>102.508</v>
      </c>
      <c r="AE62" s="149">
        <f t="shared" si="34"/>
        <v>187.11870250000001</v>
      </c>
      <c r="AF62" s="149">
        <f t="shared" si="35"/>
        <v>45.454545454545453</v>
      </c>
      <c r="AG62" s="131">
        <f t="shared" si="32"/>
        <v>46.594545454545454</v>
      </c>
      <c r="AH62" s="4"/>
    </row>
    <row r="63" spans="1:34" x14ac:dyDescent="0.25">
      <c r="A63" s="1" t="s">
        <v>188</v>
      </c>
      <c r="B63" s="122">
        <v>9</v>
      </c>
      <c r="C63" s="19" t="s">
        <v>94</v>
      </c>
      <c r="D63" s="11">
        <v>2</v>
      </c>
      <c r="E63" s="19">
        <v>81.680000000000007</v>
      </c>
      <c r="F63" s="128">
        <f t="shared" si="36"/>
        <v>132375.50880000001</v>
      </c>
      <c r="G63" s="128">
        <f t="shared" si="37"/>
        <v>2206.25848</v>
      </c>
      <c r="H63" s="128">
        <f t="shared" si="38"/>
        <v>1985.6326320000001</v>
      </c>
      <c r="I63" s="128">
        <f t="shared" si="39"/>
        <v>661.87754400000006</v>
      </c>
      <c r="J63" s="128">
        <f t="shared" si="43"/>
        <v>4853.7686560000002</v>
      </c>
      <c r="K63" s="128">
        <f t="shared" si="40"/>
        <v>404.48072133333335</v>
      </c>
      <c r="L63" s="128"/>
      <c r="M63" s="128">
        <f t="shared" si="41"/>
        <v>5125.5797007360006</v>
      </c>
      <c r="N63" s="128">
        <f>+K63*N53</f>
        <v>283.1365049333333</v>
      </c>
      <c r="O63" s="128">
        <f>+N63*O53</f>
        <v>226.50920394666664</v>
      </c>
      <c r="P63" s="128">
        <f>N63*P53</f>
        <v>254.82285443999999</v>
      </c>
      <c r="Q63" s="128">
        <f>+N63*Q53</f>
        <v>283.1365049333333</v>
      </c>
      <c r="R63" s="128">
        <v>2001.21</v>
      </c>
      <c r="S63" s="128">
        <f>R63*S53</f>
        <v>200.12100000000001</v>
      </c>
      <c r="T63" s="128">
        <v>0</v>
      </c>
      <c r="U63" s="128">
        <v>0</v>
      </c>
      <c r="V63" s="128">
        <v>0</v>
      </c>
      <c r="W63" s="128">
        <f t="shared" si="42"/>
        <v>226.50920394666664</v>
      </c>
      <c r="X63" s="128">
        <f>W63*12+0.01</f>
        <v>2718.1204473600001</v>
      </c>
      <c r="Y63" s="128">
        <f t="shared" si="29"/>
        <v>3000.8049738854402</v>
      </c>
      <c r="Z63" s="128">
        <f>Y63*(100+5.6)%-0.01</f>
        <v>3168.8400524230246</v>
      </c>
      <c r="AA63" s="128">
        <f>Z63*(100+7.3)%</f>
        <v>3400.1653762499054</v>
      </c>
      <c r="AB63" s="128">
        <f t="shared" si="31"/>
        <v>283.34711468749214</v>
      </c>
      <c r="AC63" s="149">
        <f t="shared" si="33"/>
        <v>404.48072133333335</v>
      </c>
      <c r="AD63" s="128">
        <f>S63</f>
        <v>200.12100000000001</v>
      </c>
      <c r="AE63" s="149">
        <f t="shared" si="34"/>
        <v>183.85487333333333</v>
      </c>
      <c r="AF63" s="149">
        <f t="shared" si="35"/>
        <v>45.454545454545453</v>
      </c>
      <c r="AG63" s="131">
        <f>AD63*AF63%-0.01</f>
        <v>90.954090909090908</v>
      </c>
      <c r="AH63" s="4"/>
    </row>
    <row r="64" spans="1:34" x14ac:dyDescent="0.25">
      <c r="B64" s="7"/>
      <c r="C64" s="230" t="s">
        <v>77</v>
      </c>
      <c r="D64" s="230"/>
      <c r="E64" s="38">
        <f>SUM(E55:E63)</f>
        <v>725.23</v>
      </c>
      <c r="F64" s="148">
        <f>SUM(F55:F63)</f>
        <v>1175351.2518</v>
      </c>
      <c r="G64" s="148">
        <f>SUM(G55:G63)</f>
        <v>19589.187530000003</v>
      </c>
      <c r="H64" s="148">
        <f>SUM(H55:H63)</f>
        <v>17630.268777000001</v>
      </c>
      <c r="I64" s="148">
        <f>SUM(I55:I63)+0.02</f>
        <v>5876.7762590000002</v>
      </c>
      <c r="J64" s="148">
        <f>SUM(J55:J63)-0.01</f>
        <v>43096.225310000002</v>
      </c>
      <c r="K64" s="148">
        <f>SUM(K55:K63)</f>
        <v>3591.3529425000002</v>
      </c>
      <c r="L64" s="148"/>
      <c r="M64" s="148">
        <f>SUM(M56:M63)</f>
        <v>35619.916347840008</v>
      </c>
      <c r="N64" s="148">
        <f>SUM(N55:N63)</f>
        <v>2513.9470597499994</v>
      </c>
      <c r="O64" s="148">
        <f>SUM(O55:O63)</f>
        <v>2011.1576478000002</v>
      </c>
      <c r="P64" s="148">
        <f>SUM(P55:P63)</f>
        <v>2262.552353775</v>
      </c>
      <c r="Q64" s="148">
        <f>SUM(Q55:Q63)</f>
        <v>2513.9470597499994</v>
      </c>
      <c r="R64" s="148"/>
      <c r="S64" s="148">
        <f>SUM(S55:S63)</f>
        <v>1160.0460000000003</v>
      </c>
      <c r="T64" s="148">
        <f t="shared" ref="T64:W64" si="44">SUM(T55:T63)</f>
        <v>0</v>
      </c>
      <c r="U64" s="148">
        <f t="shared" si="44"/>
        <v>0</v>
      </c>
      <c r="V64" s="148">
        <f t="shared" si="44"/>
        <v>257.39999999999998</v>
      </c>
      <c r="W64" s="148">
        <f t="shared" si="44"/>
        <v>2059.0199953733331</v>
      </c>
      <c r="X64" s="148">
        <f>SUM(X55:X63)-0.01</f>
        <v>24708.189944480004</v>
      </c>
      <c r="Y64" s="148">
        <f>SUM(Y55:Y63)-0.01</f>
        <v>27277.842738705924</v>
      </c>
      <c r="Z64" s="148">
        <f t="shared" ref="Z64:AD64" si="45">SUM(Z55:Z63)</f>
        <v>28805.402492073452</v>
      </c>
      <c r="AA64" s="148">
        <f t="shared" si="45"/>
        <v>30908.176873994817</v>
      </c>
      <c r="AB64" s="148">
        <f>SUM(AB55:AB63)+0.02</f>
        <v>2575.7014061662348</v>
      </c>
      <c r="AC64" s="148">
        <f t="shared" si="45"/>
        <v>3591.3529425000002</v>
      </c>
      <c r="AD64" s="148">
        <f t="shared" si="45"/>
        <v>1437.4080000000001</v>
      </c>
      <c r="AE64" s="148">
        <f>SUM(AE55:AE63)-0.01</f>
        <v>1632.4222941666669</v>
      </c>
      <c r="AF64" s="148">
        <f>SUM(AF55:AF63)-0.04</f>
        <v>409.05069780577077</v>
      </c>
      <c r="AG64" s="148">
        <f>SUM(AG55:AG63)-0.02</f>
        <v>653.28697568889186</v>
      </c>
      <c r="AH64" s="4"/>
    </row>
    <row r="65" spans="1:34" ht="20.25" x14ac:dyDescent="0.25">
      <c r="B65" s="4"/>
      <c r="C65" s="223" t="s">
        <v>95</v>
      </c>
      <c r="D65" s="223"/>
      <c r="E65" s="223"/>
      <c r="F65" s="223"/>
      <c r="G65" s="223"/>
      <c r="H65" s="3"/>
      <c r="I65" s="4"/>
      <c r="J65" s="4"/>
      <c r="K65" s="3"/>
      <c r="L65" s="3"/>
      <c r="M65" s="3"/>
      <c r="N65" s="3"/>
      <c r="O65" s="4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3"/>
      <c r="AF65" s="3"/>
      <c r="AG65" s="4"/>
      <c r="AH65" s="4"/>
    </row>
    <row r="66" spans="1:34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3"/>
      <c r="X66" s="4"/>
      <c r="Y66" s="4"/>
      <c r="Z66" s="4"/>
      <c r="AA66" s="4"/>
      <c r="AB66" s="4"/>
      <c r="AC66" s="4"/>
      <c r="AD66" s="4"/>
      <c r="AE66" s="4"/>
      <c r="AF66" s="4"/>
      <c r="AG66" s="3"/>
      <c r="AH66" s="4"/>
    </row>
    <row r="67" spans="1:34" x14ac:dyDescent="0.25">
      <c r="B67" s="4"/>
      <c r="C67" s="4"/>
      <c r="D67" s="5" t="s">
        <v>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20.75" customHeight="1" x14ac:dyDescent="0.25">
      <c r="B69" s="215" t="s">
        <v>1</v>
      </c>
      <c r="C69" s="217" t="s">
        <v>56</v>
      </c>
      <c r="D69" s="209" t="s">
        <v>3</v>
      </c>
      <c r="E69" s="209" t="s">
        <v>4</v>
      </c>
      <c r="F69" s="209" t="s">
        <v>5</v>
      </c>
      <c r="G69" s="209" t="s">
        <v>6</v>
      </c>
      <c r="H69" s="209" t="s">
        <v>7</v>
      </c>
      <c r="I69" s="209" t="s">
        <v>8</v>
      </c>
      <c r="J69" s="209" t="s">
        <v>9</v>
      </c>
      <c r="K69" s="209" t="s">
        <v>57</v>
      </c>
      <c r="L69" s="22" t="s">
        <v>10</v>
      </c>
      <c r="M69" s="22" t="s">
        <v>10</v>
      </c>
      <c r="N69" s="22" t="s">
        <v>12</v>
      </c>
      <c r="O69" s="211" t="s">
        <v>13</v>
      </c>
      <c r="P69" s="212"/>
      <c r="Q69" s="213"/>
      <c r="R69" s="209" t="s">
        <v>14</v>
      </c>
      <c r="S69" s="225" t="s">
        <v>58</v>
      </c>
      <c r="T69" s="226"/>
      <c r="U69" s="226"/>
      <c r="V69" s="227"/>
      <c r="W69" s="207" t="s">
        <v>21</v>
      </c>
      <c r="X69" s="209" t="s">
        <v>9</v>
      </c>
      <c r="Y69" s="22" t="s">
        <v>242</v>
      </c>
      <c r="Z69" s="22" t="s">
        <v>243</v>
      </c>
      <c r="AA69" s="22" t="s">
        <v>156</v>
      </c>
      <c r="AB69" s="207" t="s">
        <v>59</v>
      </c>
      <c r="AC69" s="228" t="s">
        <v>18</v>
      </c>
      <c r="AD69" s="229"/>
      <c r="AE69" s="229"/>
      <c r="AF69" s="229"/>
      <c r="AG69" s="205" t="s">
        <v>19</v>
      </c>
      <c r="AH69" s="4"/>
    </row>
    <row r="70" spans="1:34" ht="51" x14ac:dyDescent="0.25">
      <c r="B70" s="216"/>
      <c r="C70" s="218"/>
      <c r="D70" s="210"/>
      <c r="E70" s="210"/>
      <c r="F70" s="210"/>
      <c r="G70" s="210"/>
      <c r="H70" s="210"/>
      <c r="I70" s="210"/>
      <c r="J70" s="210"/>
      <c r="K70" s="210"/>
      <c r="L70" s="22">
        <v>5.6</v>
      </c>
      <c r="M70" s="22">
        <v>5.6</v>
      </c>
      <c r="N70" s="22">
        <v>0.7</v>
      </c>
      <c r="O70" s="23">
        <v>0.8</v>
      </c>
      <c r="P70" s="24">
        <v>0.9</v>
      </c>
      <c r="Q70" s="28">
        <v>1</v>
      </c>
      <c r="R70" s="210"/>
      <c r="S70" s="29">
        <v>0.1</v>
      </c>
      <c r="T70" s="30">
        <v>0.2</v>
      </c>
      <c r="U70" s="30">
        <v>0.3</v>
      </c>
      <c r="V70" s="30">
        <v>0.1</v>
      </c>
      <c r="W70" s="208"/>
      <c r="X70" s="210"/>
      <c r="Y70" s="22">
        <v>10.4</v>
      </c>
      <c r="Z70" s="22">
        <v>5.6</v>
      </c>
      <c r="AA70" s="22">
        <v>7.3</v>
      </c>
      <c r="AB70" s="208"/>
      <c r="AC70" s="33" t="s">
        <v>20</v>
      </c>
      <c r="AD70" s="33" t="s">
        <v>21</v>
      </c>
      <c r="AE70" s="33" t="s">
        <v>22</v>
      </c>
      <c r="AF70" s="33" t="s">
        <v>23</v>
      </c>
      <c r="AG70" s="206"/>
      <c r="AH70" s="4"/>
    </row>
    <row r="71" spans="1:34" x14ac:dyDescent="0.25">
      <c r="B71" s="7"/>
      <c r="C71" s="8"/>
      <c r="D71" s="9">
        <v>0</v>
      </c>
      <c r="E71" s="9">
        <v>1</v>
      </c>
      <c r="F71" s="9">
        <v>2</v>
      </c>
      <c r="G71" s="9" t="s">
        <v>24</v>
      </c>
      <c r="H71" s="9" t="s">
        <v>25</v>
      </c>
      <c r="I71" s="9" t="s">
        <v>26</v>
      </c>
      <c r="J71" s="9" t="s">
        <v>27</v>
      </c>
      <c r="K71" s="25" t="s">
        <v>60</v>
      </c>
      <c r="L71" s="9" t="s">
        <v>61</v>
      </c>
      <c r="M71" s="9" t="s">
        <v>61</v>
      </c>
      <c r="N71" s="9" t="s">
        <v>62</v>
      </c>
      <c r="O71" s="9" t="s">
        <v>63</v>
      </c>
      <c r="P71" s="9" t="s">
        <v>63</v>
      </c>
      <c r="Q71" s="9" t="s">
        <v>63</v>
      </c>
      <c r="R71" s="9">
        <v>9</v>
      </c>
      <c r="S71" s="31" t="s">
        <v>161</v>
      </c>
      <c r="T71" s="31" t="s">
        <v>162</v>
      </c>
      <c r="U71" s="31" t="s">
        <v>163</v>
      </c>
      <c r="V71" s="31" t="s">
        <v>164</v>
      </c>
      <c r="W71" s="31" t="s">
        <v>64</v>
      </c>
      <c r="X71" s="9" t="s">
        <v>65</v>
      </c>
      <c r="Y71" s="9" t="s">
        <v>66</v>
      </c>
      <c r="Z71" s="9" t="s">
        <v>67</v>
      </c>
      <c r="AA71" s="9" t="s">
        <v>246</v>
      </c>
      <c r="AB71" s="9" t="s">
        <v>240</v>
      </c>
      <c r="AC71" s="9">
        <v>16</v>
      </c>
      <c r="AD71" s="31" t="s">
        <v>158</v>
      </c>
      <c r="AE71" s="31" t="s">
        <v>159</v>
      </c>
      <c r="AF71" s="31" t="s">
        <v>160</v>
      </c>
      <c r="AG71" s="9">
        <v>17</v>
      </c>
      <c r="AH71" s="51"/>
    </row>
    <row r="72" spans="1:34" x14ac:dyDescent="0.25">
      <c r="A72" s="1" t="s">
        <v>190</v>
      </c>
      <c r="B72" s="10">
        <v>1</v>
      </c>
      <c r="C72" s="19" t="s">
        <v>96</v>
      </c>
      <c r="D72" s="11">
        <v>1</v>
      </c>
      <c r="E72" s="128">
        <v>53.81</v>
      </c>
      <c r="F72" s="128">
        <f>+E72*1620.66</f>
        <v>87207.714600000007</v>
      </c>
      <c r="G72" s="128">
        <f>+F72/60</f>
        <v>1453.4619100000002</v>
      </c>
      <c r="H72" s="128">
        <f>+F72*1.5%</f>
        <v>1308.1157190000001</v>
      </c>
      <c r="I72" s="128">
        <v>0</v>
      </c>
      <c r="J72" s="128">
        <f>+G72+H72+I72</f>
        <v>2761.5776290000003</v>
      </c>
      <c r="K72" s="128">
        <f>+J72/12</f>
        <v>230.13146908333337</v>
      </c>
      <c r="L72" s="128"/>
      <c r="M72" s="128">
        <f>+J72*(100%+5.6%)</f>
        <v>2916.2259762240005</v>
      </c>
      <c r="N72" s="128">
        <f>+K72*N70</f>
        <v>161.09202835833335</v>
      </c>
      <c r="O72" s="128">
        <f>+N72*O70</f>
        <v>128.87362268666669</v>
      </c>
      <c r="P72" s="128">
        <f>+N72*P70</f>
        <v>144.98282552250001</v>
      </c>
      <c r="Q72" s="128">
        <f>+N72*Q70</f>
        <v>161.09202835833335</v>
      </c>
      <c r="R72" s="128">
        <v>530.14</v>
      </c>
      <c r="S72" s="128">
        <f>R72*S70</f>
        <v>53.014000000000003</v>
      </c>
      <c r="T72" s="128">
        <v>0</v>
      </c>
      <c r="U72" s="128">
        <v>0</v>
      </c>
      <c r="V72" s="128">
        <v>0</v>
      </c>
      <c r="W72" s="128">
        <f>O72</f>
        <v>128.87362268666669</v>
      </c>
      <c r="X72" s="128">
        <f>W72*12-0.04</f>
        <v>1546.4434722400003</v>
      </c>
      <c r="Y72" s="128">
        <v>0</v>
      </c>
      <c r="Z72" s="128">
        <f>X72*(100+5.6)%</f>
        <v>1633.0443066854405</v>
      </c>
      <c r="AA72" s="128">
        <f>Z72*(100+7.3)%-0.01</f>
        <v>1752.2465410734776</v>
      </c>
      <c r="AB72" s="128">
        <f>AA72/12</f>
        <v>146.02054508945648</v>
      </c>
      <c r="AC72" s="128">
        <f>K72</f>
        <v>230.13146908333337</v>
      </c>
      <c r="AD72" s="128">
        <f>S72</f>
        <v>53.014000000000003</v>
      </c>
      <c r="AE72" s="128">
        <f>G72/12</f>
        <v>121.12182583333335</v>
      </c>
      <c r="AF72" s="128">
        <f>AE72/AC72*100</f>
        <v>52.631578947368418</v>
      </c>
      <c r="AG72" s="131">
        <f>AD72*AF72%</f>
        <v>27.902105263157896</v>
      </c>
      <c r="AH72" s="51"/>
    </row>
    <row r="73" spans="1:34" x14ac:dyDescent="0.25">
      <c r="A73" s="1" t="s">
        <v>191</v>
      </c>
      <c r="B73" s="10">
        <v>2</v>
      </c>
      <c r="C73" s="19" t="s">
        <v>93</v>
      </c>
      <c r="D73" s="11">
        <v>1</v>
      </c>
      <c r="E73" s="128">
        <v>60.83</v>
      </c>
      <c r="F73" s="128">
        <f>+E73*1620.66</f>
        <v>98584.747799999997</v>
      </c>
      <c r="G73" s="128">
        <f>+F73/60</f>
        <v>1643.0791299999999</v>
      </c>
      <c r="H73" s="128">
        <f>+F73*1.5%</f>
        <v>1478.771217</v>
      </c>
      <c r="I73" s="128">
        <v>0</v>
      </c>
      <c r="J73" s="128">
        <f>+G73+H73+I73</f>
        <v>3121.8503469999996</v>
      </c>
      <c r="K73" s="128">
        <f>+J73/12</f>
        <v>260.15419558333332</v>
      </c>
      <c r="L73" s="128"/>
      <c r="M73" s="128">
        <f>+J73*(100%+5.6%)</f>
        <v>3296.6739664319998</v>
      </c>
      <c r="N73" s="128">
        <f>+K73*N70</f>
        <v>182.1079369083333</v>
      </c>
      <c r="O73" s="128">
        <f>+N73*O70</f>
        <v>145.68634952666665</v>
      </c>
      <c r="P73" s="128">
        <f>+N73*P70</f>
        <v>163.89714321749997</v>
      </c>
      <c r="Q73" s="128">
        <f>+N73*Q70</f>
        <v>182.1079369083333</v>
      </c>
      <c r="R73" s="128">
        <v>3114.53</v>
      </c>
      <c r="S73" s="128">
        <v>0</v>
      </c>
      <c r="T73" s="128">
        <f>R73*T70</f>
        <v>622.90600000000006</v>
      </c>
      <c r="U73" s="128">
        <v>0</v>
      </c>
      <c r="V73" s="128">
        <v>0</v>
      </c>
      <c r="W73" s="128">
        <f>P73</f>
        <v>163.89714321749997</v>
      </c>
      <c r="X73" s="128">
        <f>W73*12+0.03</f>
        <v>1966.7957186099995</v>
      </c>
      <c r="Y73" s="128">
        <f>X73*(100+10.4)%+0.01</f>
        <v>2171.3524733454401</v>
      </c>
      <c r="Z73" s="128">
        <f>Y73*(100+5.6)%</f>
        <v>2292.9482118527849</v>
      </c>
      <c r="AA73" s="128">
        <f>Z73*(100+7.3)%+0.01</f>
        <v>2460.3434313180383</v>
      </c>
      <c r="AB73" s="128">
        <f>AA73/12</f>
        <v>205.02861927650318</v>
      </c>
      <c r="AC73" s="128">
        <f t="shared" ref="AC73:AC75" si="46">K73</f>
        <v>260.15419558333332</v>
      </c>
      <c r="AD73" s="128">
        <f>AB73</f>
        <v>205.02861927650318</v>
      </c>
      <c r="AE73" s="128">
        <f t="shared" ref="AE73:AE75" si="47">G73/12</f>
        <v>136.92326083333333</v>
      </c>
      <c r="AF73" s="128">
        <f t="shared" ref="AF73:AF75" si="48">AE73/AC73*100</f>
        <v>52.631578947368418</v>
      </c>
      <c r="AG73" s="131">
        <f>AD73*AF73%</f>
        <v>107.90979961921219</v>
      </c>
      <c r="AH73" s="51"/>
    </row>
    <row r="74" spans="1:34" x14ac:dyDescent="0.25">
      <c r="A74" s="1" t="s">
        <v>192</v>
      </c>
      <c r="B74" s="10">
        <v>3</v>
      </c>
      <c r="C74" s="35" t="s">
        <v>87</v>
      </c>
      <c r="D74" s="36">
        <v>1</v>
      </c>
      <c r="E74" s="128">
        <v>62.54</v>
      </c>
      <c r="F74" s="128">
        <f>+E74*1620.66</f>
        <v>101356.07640000001</v>
      </c>
      <c r="G74" s="128">
        <f>+F74/60</f>
        <v>1689.2679400000002</v>
      </c>
      <c r="H74" s="128">
        <f>+F74*1.5%</f>
        <v>1520.341146</v>
      </c>
      <c r="I74" s="128">
        <v>0</v>
      </c>
      <c r="J74" s="128">
        <f>+G74+H74+I74</f>
        <v>3209.6090860000004</v>
      </c>
      <c r="K74" s="128">
        <f>+J74/12</f>
        <v>267.46742383333338</v>
      </c>
      <c r="L74" s="128"/>
      <c r="M74" s="128">
        <f>+J74*(100%+5.6%)</f>
        <v>3389.3471948160004</v>
      </c>
      <c r="N74" s="128">
        <f>+K74*N70</f>
        <v>187.22719668333335</v>
      </c>
      <c r="O74" s="128">
        <f>+N74*O70</f>
        <v>149.78175734666669</v>
      </c>
      <c r="P74" s="128">
        <f>+N74*P70</f>
        <v>168.50447701500002</v>
      </c>
      <c r="Q74" s="128">
        <f>+N74*Q70</f>
        <v>187.22719668333335</v>
      </c>
      <c r="R74" s="128">
        <v>926.04</v>
      </c>
      <c r="S74" s="128">
        <f>R74*S70</f>
        <v>92.603999999999999</v>
      </c>
      <c r="T74" s="128">
        <v>0</v>
      </c>
      <c r="U74" s="128">
        <v>0</v>
      </c>
      <c r="V74" s="128">
        <v>0</v>
      </c>
      <c r="W74" s="128">
        <f>O74</f>
        <v>149.78175734666669</v>
      </c>
      <c r="X74" s="128">
        <f>W74*12-0.02</f>
        <v>1797.3610881600002</v>
      </c>
      <c r="Y74" s="128">
        <f>X74*(100+10.4)%</f>
        <v>1984.2866413286404</v>
      </c>
      <c r="Z74" s="128">
        <f>Y74*(100+5.6)%</f>
        <v>2095.4066932430442</v>
      </c>
      <c r="AA74" s="128">
        <f>Z74*(100+7.3)%</f>
        <v>2248.3713818497863</v>
      </c>
      <c r="AB74" s="128">
        <f>AA74/12</f>
        <v>187.36428182081553</v>
      </c>
      <c r="AC74" s="128">
        <f t="shared" si="46"/>
        <v>267.46742383333338</v>
      </c>
      <c r="AD74" s="128">
        <f>S74</f>
        <v>92.603999999999999</v>
      </c>
      <c r="AE74" s="128">
        <f t="shared" si="47"/>
        <v>140.77232833333335</v>
      </c>
      <c r="AF74" s="128">
        <f t="shared" si="48"/>
        <v>52.631578947368418</v>
      </c>
      <c r="AG74" s="131">
        <f>AD74*AF74%</f>
        <v>48.738947368421051</v>
      </c>
      <c r="AH74" s="51"/>
    </row>
    <row r="75" spans="1:34" x14ac:dyDescent="0.25">
      <c r="A75" s="1" t="s">
        <v>193</v>
      </c>
      <c r="B75" s="10">
        <v>4</v>
      </c>
      <c r="C75" s="19" t="s">
        <v>94</v>
      </c>
      <c r="D75" s="11">
        <v>1</v>
      </c>
      <c r="E75" s="128">
        <v>63.14</v>
      </c>
      <c r="F75" s="128">
        <f>+E75*1620.66</f>
        <v>102328.47240000001</v>
      </c>
      <c r="G75" s="128">
        <f>+F75/60</f>
        <v>1705.4745400000002</v>
      </c>
      <c r="H75" s="128">
        <f>+F75*1.5%</f>
        <v>1534.9270860000001</v>
      </c>
      <c r="I75" s="128">
        <v>0</v>
      </c>
      <c r="J75" s="128">
        <f>+G75+H75+I75</f>
        <v>3240.4016260000003</v>
      </c>
      <c r="K75" s="128">
        <f>+J75/12</f>
        <v>270.03346883333336</v>
      </c>
      <c r="L75" s="128"/>
      <c r="M75" s="128">
        <f>+J75*(100%+5.6%)</f>
        <v>3421.8641170560004</v>
      </c>
      <c r="N75" s="128">
        <f>+K75*N70</f>
        <v>189.02342818333335</v>
      </c>
      <c r="O75" s="128">
        <f>+N75*O70</f>
        <v>151.21874254666668</v>
      </c>
      <c r="P75" s="128">
        <f>+N75*P70</f>
        <v>170.12108536500003</v>
      </c>
      <c r="Q75" s="128">
        <f>+N75*Q70</f>
        <v>189.02342818333335</v>
      </c>
      <c r="R75" s="128">
        <v>1045.69</v>
      </c>
      <c r="S75" s="128">
        <f>R75*S70</f>
        <v>104.56900000000002</v>
      </c>
      <c r="T75" s="128">
        <v>0</v>
      </c>
      <c r="U75" s="128">
        <v>0</v>
      </c>
      <c r="V75" s="128">
        <v>0</v>
      </c>
      <c r="W75" s="128">
        <f>O75</f>
        <v>151.21874254666668</v>
      </c>
      <c r="X75" s="128">
        <f>W75*12+0.02</f>
        <v>1814.64491056</v>
      </c>
      <c r="Y75" s="128">
        <v>0</v>
      </c>
      <c r="Z75" s="128">
        <f>X75*(100+5.6)%-0.01</f>
        <v>1916.2550255513602</v>
      </c>
      <c r="AA75" s="128">
        <f>Z75*(100+7.3)%+0.01</f>
        <v>2056.1516424166098</v>
      </c>
      <c r="AB75" s="128">
        <f>AA75/12</f>
        <v>171.34597020138415</v>
      </c>
      <c r="AC75" s="128">
        <f t="shared" si="46"/>
        <v>270.03346883333336</v>
      </c>
      <c r="AD75" s="128">
        <f>S75</f>
        <v>104.56900000000002</v>
      </c>
      <c r="AE75" s="128">
        <f t="shared" si="47"/>
        <v>142.12287833333335</v>
      </c>
      <c r="AF75" s="128">
        <f t="shared" si="48"/>
        <v>52.631578947368418</v>
      </c>
      <c r="AG75" s="131">
        <f>AD75*AF75%</f>
        <v>55.03631578947369</v>
      </c>
      <c r="AH75" s="51"/>
    </row>
    <row r="76" spans="1:34" x14ac:dyDescent="0.25">
      <c r="B76" s="8"/>
      <c r="C76" s="230" t="s">
        <v>77</v>
      </c>
      <c r="D76" s="230"/>
      <c r="E76" s="148">
        <f t="shared" ref="E76:J76" si="49">SUM(E72:E75)</f>
        <v>240.32</v>
      </c>
      <c r="F76" s="148">
        <f t="shared" si="49"/>
        <v>389477.01120000007</v>
      </c>
      <c r="G76" s="148">
        <f t="shared" si="49"/>
        <v>6491.28352</v>
      </c>
      <c r="H76" s="148">
        <f t="shared" si="49"/>
        <v>5842.1551679999993</v>
      </c>
      <c r="I76" s="148">
        <f t="shared" si="49"/>
        <v>0</v>
      </c>
      <c r="J76" s="148">
        <f t="shared" si="49"/>
        <v>12333.438688</v>
      </c>
      <c r="K76" s="148">
        <f>SUM(K72:K75)-0.01</f>
        <v>1027.7765573333334</v>
      </c>
      <c r="L76" s="148"/>
      <c r="M76" s="148">
        <f>SUM(M72:M75)</f>
        <v>13024.111254528001</v>
      </c>
      <c r="N76" s="148">
        <f>SUM(N72:N75)</f>
        <v>719.45059013333344</v>
      </c>
      <c r="O76" s="148">
        <f>SUM(O72:O75)</f>
        <v>575.56047210666679</v>
      </c>
      <c r="P76" s="148">
        <f>SUM(P72:P75)-0.01</f>
        <v>647.49553112000001</v>
      </c>
      <c r="Q76" s="148">
        <f>SUM(Q72:Q75)</f>
        <v>719.45059013333344</v>
      </c>
      <c r="R76" s="148"/>
      <c r="S76" s="148">
        <f>SUM(S72:S75)-0.01</f>
        <v>250.17700000000002</v>
      </c>
      <c r="T76" s="148">
        <f t="shared" ref="T76:AG76" si="50">SUM(T72:T75)</f>
        <v>622.90600000000006</v>
      </c>
      <c r="U76" s="148">
        <f t="shared" si="50"/>
        <v>0</v>
      </c>
      <c r="V76" s="148">
        <f t="shared" si="50"/>
        <v>0</v>
      </c>
      <c r="W76" s="148">
        <f t="shared" si="50"/>
        <v>593.77126579750006</v>
      </c>
      <c r="X76" s="148">
        <f>SUM(X72:X75)-0.01</f>
        <v>7125.2351895699994</v>
      </c>
      <c r="Y76" s="148">
        <f t="shared" si="50"/>
        <v>4155.6391146740807</v>
      </c>
      <c r="Z76" s="148">
        <f>SUM(Z72:Z75)+0.01</f>
        <v>7937.6642373326304</v>
      </c>
      <c r="AA76" s="148">
        <f t="shared" si="50"/>
        <v>8517.1129966579119</v>
      </c>
      <c r="AB76" s="148">
        <f t="shared" si="50"/>
        <v>709.75941638815937</v>
      </c>
      <c r="AC76" s="148">
        <f>SUM(AC72:AC75)-0.01</f>
        <v>1027.7765573333334</v>
      </c>
      <c r="AD76" s="148">
        <f>SUM(AD72:AD75)-0.01</f>
        <v>455.20561927650317</v>
      </c>
      <c r="AE76" s="148">
        <f>SUM(AE72:AE75)-0.01</f>
        <v>540.93029333333334</v>
      </c>
      <c r="AF76" s="148">
        <f>SUM(AF72:AF75)-0.01</f>
        <v>210.51631578947368</v>
      </c>
      <c r="AG76" s="148">
        <f t="shared" si="50"/>
        <v>239.58716804026483</v>
      </c>
      <c r="AH76" s="51"/>
    </row>
    <row r="77" spans="1:34" x14ac:dyDescent="0.25">
      <c r="B77" s="4"/>
      <c r="C77" s="16"/>
      <c r="D77" s="16"/>
      <c r="E77" s="4"/>
      <c r="F77" s="4"/>
      <c r="G77" s="4"/>
      <c r="H77" s="4"/>
      <c r="I77" s="4"/>
      <c r="J77" s="4"/>
      <c r="K77" s="3"/>
      <c r="L77" s="3"/>
      <c r="M77" s="3"/>
      <c r="N77" s="3"/>
      <c r="O77" s="3"/>
      <c r="P77" s="3"/>
      <c r="Q77" s="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H77" s="4"/>
    </row>
    <row r="78" spans="1:34" x14ac:dyDescent="0.25">
      <c r="B78" s="3"/>
      <c r="C78" s="4"/>
      <c r="D78" s="5" t="s">
        <v>42</v>
      </c>
      <c r="E78" s="4"/>
      <c r="F78" s="4"/>
      <c r="G78" s="4"/>
      <c r="H78" s="4"/>
      <c r="I78" s="4"/>
      <c r="J78" s="4"/>
      <c r="K78" s="3"/>
      <c r="L78" s="3"/>
      <c r="M78" s="3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3"/>
      <c r="AF78" s="4"/>
      <c r="AG78" s="3"/>
      <c r="AH78" s="4"/>
    </row>
    <row r="79" spans="1:34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20" customHeight="1" x14ac:dyDescent="0.25">
      <c r="B80" s="215" t="s">
        <v>1</v>
      </c>
      <c r="C80" s="217" t="s">
        <v>56</v>
      </c>
      <c r="D80" s="209" t="s">
        <v>3</v>
      </c>
      <c r="E80" s="209" t="s">
        <v>4</v>
      </c>
      <c r="F80" s="209" t="s">
        <v>5</v>
      </c>
      <c r="G80" s="209" t="s">
        <v>6</v>
      </c>
      <c r="H80" s="209" t="s">
        <v>7</v>
      </c>
      <c r="I80" s="209" t="s">
        <v>8</v>
      </c>
      <c r="J80" s="209" t="s">
        <v>9</v>
      </c>
      <c r="K80" s="209" t="s">
        <v>57</v>
      </c>
      <c r="L80" s="22" t="s">
        <v>10</v>
      </c>
      <c r="M80" s="22" t="s">
        <v>10</v>
      </c>
      <c r="N80" s="22" t="s">
        <v>12</v>
      </c>
      <c r="O80" s="211" t="s">
        <v>13</v>
      </c>
      <c r="P80" s="212"/>
      <c r="Q80" s="213"/>
      <c r="R80" s="209" t="s">
        <v>14</v>
      </c>
      <c r="S80" s="225" t="s">
        <v>58</v>
      </c>
      <c r="T80" s="226"/>
      <c r="U80" s="226"/>
      <c r="V80" s="227"/>
      <c r="W80" s="207" t="s">
        <v>21</v>
      </c>
      <c r="X80" s="209" t="s">
        <v>9</v>
      </c>
      <c r="Y80" s="22" t="s">
        <v>242</v>
      </c>
      <c r="Z80" s="22" t="s">
        <v>243</v>
      </c>
      <c r="AA80" s="22" t="s">
        <v>156</v>
      </c>
      <c r="AB80" s="207" t="s">
        <v>59</v>
      </c>
      <c r="AC80" s="228" t="s">
        <v>18</v>
      </c>
      <c r="AD80" s="229"/>
      <c r="AE80" s="229"/>
      <c r="AF80" s="229"/>
      <c r="AG80" s="205" t="s">
        <v>19</v>
      </c>
      <c r="AH80" s="4"/>
    </row>
    <row r="81" spans="1:34" ht="51" x14ac:dyDescent="0.25">
      <c r="B81" s="216"/>
      <c r="C81" s="218"/>
      <c r="D81" s="210"/>
      <c r="E81" s="210"/>
      <c r="F81" s="210"/>
      <c r="G81" s="210"/>
      <c r="H81" s="210"/>
      <c r="I81" s="210"/>
      <c r="J81" s="210"/>
      <c r="K81" s="210"/>
      <c r="L81" s="22">
        <v>5.6</v>
      </c>
      <c r="M81" s="22">
        <v>5.6</v>
      </c>
      <c r="N81" s="22">
        <v>0.7</v>
      </c>
      <c r="O81" s="23">
        <v>0.8</v>
      </c>
      <c r="P81" s="24">
        <v>0.9</v>
      </c>
      <c r="Q81" s="28">
        <v>1</v>
      </c>
      <c r="R81" s="210"/>
      <c r="S81" s="29">
        <v>0.1</v>
      </c>
      <c r="T81" s="30">
        <v>0.2</v>
      </c>
      <c r="U81" s="30">
        <v>0.3</v>
      </c>
      <c r="V81" s="30">
        <v>0.1</v>
      </c>
      <c r="W81" s="208"/>
      <c r="X81" s="210"/>
      <c r="Y81" s="22">
        <v>10.4</v>
      </c>
      <c r="Z81" s="22">
        <v>5.6</v>
      </c>
      <c r="AA81" s="22">
        <v>7.3</v>
      </c>
      <c r="AB81" s="208"/>
      <c r="AC81" s="33" t="s">
        <v>20</v>
      </c>
      <c r="AD81" s="33" t="s">
        <v>21</v>
      </c>
      <c r="AE81" s="33" t="s">
        <v>22</v>
      </c>
      <c r="AF81" s="33" t="s">
        <v>23</v>
      </c>
      <c r="AG81" s="206"/>
      <c r="AH81" s="4"/>
    </row>
    <row r="82" spans="1:34" x14ac:dyDescent="0.25">
      <c r="B82" s="7"/>
      <c r="C82" s="8"/>
      <c r="D82" s="9">
        <v>0</v>
      </c>
      <c r="E82" s="9">
        <v>1</v>
      </c>
      <c r="F82" s="9">
        <v>2</v>
      </c>
      <c r="G82" s="9" t="s">
        <v>24</v>
      </c>
      <c r="H82" s="9" t="s">
        <v>25</v>
      </c>
      <c r="I82" s="9" t="s">
        <v>26</v>
      </c>
      <c r="J82" s="9" t="s">
        <v>27</v>
      </c>
      <c r="K82" s="25" t="s">
        <v>60</v>
      </c>
      <c r="L82" s="9" t="s">
        <v>61</v>
      </c>
      <c r="M82" s="9" t="s">
        <v>61</v>
      </c>
      <c r="N82" s="9" t="s">
        <v>62</v>
      </c>
      <c r="O82" s="9" t="s">
        <v>63</v>
      </c>
      <c r="P82" s="9" t="s">
        <v>63</v>
      </c>
      <c r="Q82" s="9" t="s">
        <v>63</v>
      </c>
      <c r="R82" s="9">
        <v>9</v>
      </c>
      <c r="S82" s="31" t="s">
        <v>161</v>
      </c>
      <c r="T82" s="31" t="s">
        <v>162</v>
      </c>
      <c r="U82" s="31" t="s">
        <v>163</v>
      </c>
      <c r="V82" s="31" t="s">
        <v>164</v>
      </c>
      <c r="W82" s="31" t="s">
        <v>64</v>
      </c>
      <c r="X82" s="9" t="s">
        <v>65</v>
      </c>
      <c r="Y82" s="9" t="s">
        <v>66</v>
      </c>
      <c r="Z82" s="9" t="s">
        <v>67</v>
      </c>
      <c r="AA82" s="9" t="s">
        <v>246</v>
      </c>
      <c r="AB82" s="9" t="s">
        <v>240</v>
      </c>
      <c r="AC82" s="9">
        <v>16</v>
      </c>
      <c r="AD82" s="31" t="s">
        <v>158</v>
      </c>
      <c r="AE82" s="31" t="s">
        <v>159</v>
      </c>
      <c r="AF82" s="31" t="s">
        <v>160</v>
      </c>
      <c r="AG82" s="9">
        <v>17</v>
      </c>
      <c r="AH82" s="4"/>
    </row>
    <row r="83" spans="1:34" x14ac:dyDescent="0.25">
      <c r="A83" s="1" t="s">
        <v>189</v>
      </c>
      <c r="B83" s="10">
        <v>1</v>
      </c>
      <c r="C83" s="112" t="s">
        <v>86</v>
      </c>
      <c r="D83" s="36">
        <v>1</v>
      </c>
      <c r="E83" s="128">
        <v>56.55</v>
      </c>
      <c r="F83" s="128">
        <f>+E83*1620.66</f>
        <v>91648.323000000004</v>
      </c>
      <c r="G83" s="128">
        <f>+F83/60</f>
        <v>1527.4720500000001</v>
      </c>
      <c r="H83" s="128">
        <f>+F83*1.5%</f>
        <v>1374.724845</v>
      </c>
      <c r="I83" s="128">
        <f>F83*0.5%</f>
        <v>458.24161500000002</v>
      </c>
      <c r="J83" s="128">
        <f>G83+H83+I83-0.01</f>
        <v>3360.4285099999997</v>
      </c>
      <c r="K83" s="128">
        <f>+J83/12</f>
        <v>280.03570916666666</v>
      </c>
      <c r="L83" s="128"/>
      <c r="M83" s="128">
        <f>+J83*(100%+5.6%)</f>
        <v>3548.6125065599999</v>
      </c>
      <c r="N83" s="128">
        <f>K83*N81</f>
        <v>196.02499641666665</v>
      </c>
      <c r="O83" s="128">
        <f>N83*O81</f>
        <v>156.81999713333335</v>
      </c>
      <c r="P83" s="128">
        <f>N83*P81</f>
        <v>176.42249677499998</v>
      </c>
      <c r="Q83" s="128">
        <f>+N83*Q81</f>
        <v>196.02499641666665</v>
      </c>
      <c r="R83" s="128">
        <v>449.92</v>
      </c>
      <c r="S83" s="128">
        <f>R83*S81</f>
        <v>44.992000000000004</v>
      </c>
      <c r="T83" s="128">
        <v>0</v>
      </c>
      <c r="U83" s="128">
        <v>0</v>
      </c>
      <c r="V83" s="128">
        <v>0</v>
      </c>
      <c r="W83" s="128">
        <f>O83</f>
        <v>156.81999713333335</v>
      </c>
      <c r="X83" s="128">
        <f>W83*12</f>
        <v>1881.8399656000001</v>
      </c>
      <c r="Y83" s="128">
        <f>X83*(100+10.4)%</f>
        <v>2077.5513220224002</v>
      </c>
      <c r="Z83" s="128">
        <f>Y83*(100+5.6)%-0.01</f>
        <v>2193.8841960556547</v>
      </c>
      <c r="AA83" s="128">
        <f>Z83*(100+7.3)%</f>
        <v>2354.0377423677173</v>
      </c>
      <c r="AB83" s="128">
        <f>AA83/12</f>
        <v>196.16981186397643</v>
      </c>
      <c r="AC83" s="128">
        <f>K83</f>
        <v>280.03570916666666</v>
      </c>
      <c r="AD83" s="128">
        <v>61</v>
      </c>
      <c r="AE83" s="128">
        <f>G83/12</f>
        <v>127.2893375</v>
      </c>
      <c r="AF83" s="128">
        <f>AE83/AC83*100</f>
        <v>45.45468071868013</v>
      </c>
      <c r="AG83" s="128">
        <f>AD83*AF83%-0.01</f>
        <v>27.717355238394877</v>
      </c>
      <c r="AH83" s="152"/>
    </row>
    <row r="84" spans="1:34" ht="15" customHeight="1" x14ac:dyDescent="0.25">
      <c r="A84" s="1" t="s">
        <v>194</v>
      </c>
      <c r="B84" s="116">
        <v>2</v>
      </c>
      <c r="C84" s="116" t="s">
        <v>89</v>
      </c>
      <c r="D84" s="117">
        <v>1</v>
      </c>
      <c r="E84" s="153">
        <v>60.83</v>
      </c>
      <c r="F84" s="153">
        <f>+E84*1620.66</f>
        <v>98584.747799999997</v>
      </c>
      <c r="G84" s="153">
        <f>+F84/60</f>
        <v>1643.0791299999999</v>
      </c>
      <c r="H84" s="153">
        <f>F84*1.5%</f>
        <v>1478.771217</v>
      </c>
      <c r="I84" s="153">
        <f>F84*0.5%</f>
        <v>492.92373900000001</v>
      </c>
      <c r="J84" s="153">
        <f>G84+H84+I84</f>
        <v>3614.7740859999994</v>
      </c>
      <c r="K84" s="153">
        <f>+J84/12</f>
        <v>301.23117383333329</v>
      </c>
      <c r="L84" s="153"/>
      <c r="M84" s="153">
        <f>+J84*(100%+5.6%)</f>
        <v>3817.2014348159996</v>
      </c>
      <c r="N84" s="153">
        <f>+K84*N81</f>
        <v>210.86182168333329</v>
      </c>
      <c r="O84" s="153">
        <f>+N84*O81</f>
        <v>168.68945734666664</v>
      </c>
      <c r="P84" s="153">
        <f>N84*P81</f>
        <v>189.77563951499997</v>
      </c>
      <c r="Q84" s="153">
        <f>+N84*Q81</f>
        <v>210.86182168333329</v>
      </c>
      <c r="R84" s="139" t="s">
        <v>251</v>
      </c>
      <c r="S84" s="153">
        <v>0</v>
      </c>
      <c r="T84" s="153">
        <v>0</v>
      </c>
      <c r="U84" s="153">
        <v>0</v>
      </c>
      <c r="V84" s="153">
        <v>0</v>
      </c>
      <c r="W84" s="153">
        <f>N84</f>
        <v>210.86182168333329</v>
      </c>
      <c r="X84" s="153">
        <f>W84*12-0.02</f>
        <v>2530.3218601999993</v>
      </c>
      <c r="Y84" s="153">
        <v>0</v>
      </c>
      <c r="Z84" s="153">
        <v>0</v>
      </c>
      <c r="AA84" s="153">
        <f>X84*(100+7.3)%-0.01</f>
        <v>2715.0253559945991</v>
      </c>
      <c r="AB84" s="153">
        <f>AA84/12</f>
        <v>226.25211299954992</v>
      </c>
      <c r="AC84" s="153">
        <f t="shared" ref="AC84:AC87" si="51">K84</f>
        <v>301.23117383333329</v>
      </c>
      <c r="AD84" s="153">
        <f>AB84</f>
        <v>226.25211299954992</v>
      </c>
      <c r="AE84" s="153">
        <f t="shared" ref="AE84:AE87" si="52">G84/12</f>
        <v>136.92326083333333</v>
      </c>
      <c r="AF84" s="153">
        <f t="shared" ref="AF84:AF87" si="53">AE84/AC84*100</f>
        <v>45.45454545454546</v>
      </c>
      <c r="AG84" s="153">
        <f>AD84*AF84%-0.01</f>
        <v>102.83186954524997</v>
      </c>
      <c r="AH84" s="154"/>
    </row>
    <row r="85" spans="1:34" ht="12.95" customHeight="1" x14ac:dyDescent="0.25">
      <c r="A85" s="1" t="s">
        <v>195</v>
      </c>
      <c r="B85" s="10">
        <v>3</v>
      </c>
      <c r="C85" s="19" t="s">
        <v>90</v>
      </c>
      <c r="D85" s="11">
        <v>1</v>
      </c>
      <c r="E85" s="128">
        <v>61.35</v>
      </c>
      <c r="F85" s="128">
        <f>+E85*1620.66</f>
        <v>99427.491000000009</v>
      </c>
      <c r="G85" s="128">
        <f>+F85/60</f>
        <v>1657.1248500000002</v>
      </c>
      <c r="H85" s="128">
        <f>F85*1.5%</f>
        <v>1491.4123650000001</v>
      </c>
      <c r="I85" s="128">
        <f>F85*0.5%</f>
        <v>497.13745500000005</v>
      </c>
      <c r="J85" s="128">
        <f>G85+H85+I85</f>
        <v>3645.6746700000003</v>
      </c>
      <c r="K85" s="128">
        <f>+J85/12</f>
        <v>303.80622250000005</v>
      </c>
      <c r="L85" s="128"/>
      <c r="M85" s="128">
        <f>+J85*(100%+5.6%)</f>
        <v>3849.8324515200006</v>
      </c>
      <c r="N85" s="128">
        <v>212.67</v>
      </c>
      <c r="O85" s="128">
        <f>+N85*O81</f>
        <v>170.136</v>
      </c>
      <c r="P85" s="128">
        <f>+N85*P81</f>
        <v>191.40299999999999</v>
      </c>
      <c r="Q85" s="128">
        <f>+N85*Q81</f>
        <v>212.67</v>
      </c>
      <c r="R85" s="128">
        <v>2082.31</v>
      </c>
      <c r="S85" s="128">
        <f>R85*S81</f>
        <v>208.23099999999999</v>
      </c>
      <c r="T85" s="128">
        <v>0</v>
      </c>
      <c r="U85" s="128">
        <v>0</v>
      </c>
      <c r="V85" s="128">
        <v>0</v>
      </c>
      <c r="W85" s="128">
        <f>O85</f>
        <v>170.136</v>
      </c>
      <c r="X85" s="128">
        <f>W85*12+0.05</f>
        <v>2041.682</v>
      </c>
      <c r="Y85" s="128">
        <f>X85*(100+10.4)%-0.01</f>
        <v>2254.0069279999998</v>
      </c>
      <c r="Z85" s="128">
        <f>Y85*(100+5.6)%</f>
        <v>2380.2313159679998</v>
      </c>
      <c r="AA85" s="128">
        <f>Z85*(100+7.3)%</f>
        <v>2553.9882020336636</v>
      </c>
      <c r="AB85" s="128">
        <f>AA85/12</f>
        <v>212.83235016947197</v>
      </c>
      <c r="AC85" s="128">
        <f t="shared" si="51"/>
        <v>303.80622250000005</v>
      </c>
      <c r="AD85" s="128">
        <f>S85</f>
        <v>208.23099999999999</v>
      </c>
      <c r="AE85" s="128">
        <f t="shared" si="52"/>
        <v>138.0937375</v>
      </c>
      <c r="AF85" s="128">
        <f t="shared" si="53"/>
        <v>45.454545454545446</v>
      </c>
      <c r="AG85" s="128">
        <f>AD85*AF85%-0.01</f>
        <v>94.640454545454517</v>
      </c>
      <c r="AH85" s="154"/>
    </row>
    <row r="86" spans="1:34" ht="14.1" customHeight="1" x14ac:dyDescent="0.25">
      <c r="A86" s="1" t="s">
        <v>196</v>
      </c>
      <c r="B86" s="35">
        <v>4</v>
      </c>
      <c r="C86" s="19" t="s">
        <v>91</v>
      </c>
      <c r="D86" s="11">
        <v>1</v>
      </c>
      <c r="E86" s="128">
        <v>63.14</v>
      </c>
      <c r="F86" s="128">
        <f>+E86*1620.66</f>
        <v>102328.47240000001</v>
      </c>
      <c r="G86" s="128">
        <f>F86/60</f>
        <v>1705.4745400000002</v>
      </c>
      <c r="H86" s="128">
        <f>F86*1.5%</f>
        <v>1534.9270860000001</v>
      </c>
      <c r="I86" s="128">
        <f>F86*0.5%</f>
        <v>511.64236200000011</v>
      </c>
      <c r="J86" s="128">
        <f>G86+H86+I86</f>
        <v>3752.0439880000004</v>
      </c>
      <c r="K86" s="128">
        <f>+J86/12</f>
        <v>312.67033233333336</v>
      </c>
      <c r="L86" s="128"/>
      <c r="M86" s="128">
        <f>+J86*(100%+5.6%)</f>
        <v>3962.1584513280004</v>
      </c>
      <c r="N86" s="128">
        <f>+K86*N81</f>
        <v>218.86923263333335</v>
      </c>
      <c r="O86" s="128">
        <f>+N86*O81</f>
        <v>175.09538610666669</v>
      </c>
      <c r="P86" s="128">
        <f>+N86*P81</f>
        <v>196.98230937000002</v>
      </c>
      <c r="Q86" s="128">
        <f>+N86*Q81</f>
        <v>218.86923263333335</v>
      </c>
      <c r="R86" s="128">
        <v>5249.25</v>
      </c>
      <c r="S86" s="128">
        <v>0</v>
      </c>
      <c r="T86" s="128">
        <v>0</v>
      </c>
      <c r="U86" s="128">
        <f>R86*U81</f>
        <v>1574.7749999999999</v>
      </c>
      <c r="V86" s="128">
        <v>0</v>
      </c>
      <c r="W86" s="128">
        <f>Q86</f>
        <v>218.86923263333335</v>
      </c>
      <c r="X86" s="128">
        <f>W86*12+0.01</f>
        <v>2626.4407916000005</v>
      </c>
      <c r="Y86" s="128">
        <f>X86*(100+10.4)%</f>
        <v>2899.5906339264006</v>
      </c>
      <c r="Z86" s="128">
        <f>Y86*(100+5.6)%</f>
        <v>3061.9677094262793</v>
      </c>
      <c r="AA86" s="128">
        <f>Z86*(100+7.3)%</f>
        <v>3285.4913522143975</v>
      </c>
      <c r="AB86" s="128">
        <f>AA86/12</f>
        <v>273.79094601786647</v>
      </c>
      <c r="AC86" s="128">
        <f t="shared" si="51"/>
        <v>312.67033233333336</v>
      </c>
      <c r="AD86" s="128">
        <f>AB86</f>
        <v>273.79094601786647</v>
      </c>
      <c r="AE86" s="128">
        <f t="shared" si="52"/>
        <v>142.12287833333335</v>
      </c>
      <c r="AF86" s="128">
        <f t="shared" si="53"/>
        <v>45.454545454545453</v>
      </c>
      <c r="AG86" s="128">
        <f>AD86*AF86%-0.01</f>
        <v>124.44043000812111</v>
      </c>
      <c r="AH86" s="154"/>
    </row>
    <row r="87" spans="1:34" ht="14.1" customHeight="1" x14ac:dyDescent="0.25">
      <c r="A87" s="1" t="s">
        <v>197</v>
      </c>
      <c r="B87" s="10">
        <v>5</v>
      </c>
      <c r="C87" s="19" t="s">
        <v>97</v>
      </c>
      <c r="D87" s="11">
        <v>1</v>
      </c>
      <c r="E87" s="128">
        <v>61.35</v>
      </c>
      <c r="F87" s="128">
        <f>+E87*1620.66</f>
        <v>99427.491000000009</v>
      </c>
      <c r="G87" s="128">
        <f>F87/60</f>
        <v>1657.1248500000002</v>
      </c>
      <c r="H87" s="128">
        <f>F87*1.5%</f>
        <v>1491.4123650000001</v>
      </c>
      <c r="I87" s="128">
        <f>F87*0.5%</f>
        <v>497.13745500000005</v>
      </c>
      <c r="J87" s="128">
        <f>G87+H87+I87</f>
        <v>3645.6746700000003</v>
      </c>
      <c r="K87" s="128">
        <f>+J87/12</f>
        <v>303.80622250000005</v>
      </c>
      <c r="L87" s="128"/>
      <c r="M87" s="128">
        <f>+J87*(100%+5.6%)</f>
        <v>3849.8324515200006</v>
      </c>
      <c r="N87" s="128">
        <v>212.67</v>
      </c>
      <c r="O87" s="128">
        <f>+N87*O81</f>
        <v>170.136</v>
      </c>
      <c r="P87" s="128">
        <f>+N87*P81</f>
        <v>191.40299999999999</v>
      </c>
      <c r="Q87" s="128">
        <f>+N87*Q81</f>
        <v>212.67</v>
      </c>
      <c r="R87" s="128">
        <v>50.87</v>
      </c>
      <c r="S87" s="128">
        <f>R87*S81</f>
        <v>5.0869999999999997</v>
      </c>
      <c r="T87" s="128">
        <v>0</v>
      </c>
      <c r="U87" s="128">
        <v>0</v>
      </c>
      <c r="V87" s="128">
        <v>0</v>
      </c>
      <c r="W87" s="128">
        <f>O87</f>
        <v>170.136</v>
      </c>
      <c r="X87" s="128">
        <f>W87*12+0.05</f>
        <v>2041.682</v>
      </c>
      <c r="Y87" s="128">
        <f>X87*(100+10.4)%-0.01</f>
        <v>2254.0069279999998</v>
      </c>
      <c r="Z87" s="128">
        <f>Y87*(100+5.6)%</f>
        <v>2380.2313159679998</v>
      </c>
      <c r="AA87" s="128">
        <f>Z87*(100+7.3)%</f>
        <v>2553.9882020336636</v>
      </c>
      <c r="AB87" s="128">
        <f>AA87/12</f>
        <v>212.83235016947197</v>
      </c>
      <c r="AC87" s="128">
        <f t="shared" si="51"/>
        <v>303.80622250000005</v>
      </c>
      <c r="AD87" s="128">
        <v>61</v>
      </c>
      <c r="AE87" s="128">
        <f t="shared" si="52"/>
        <v>138.0937375</v>
      </c>
      <c r="AF87" s="128">
        <f t="shared" si="53"/>
        <v>45.454545454545446</v>
      </c>
      <c r="AG87" s="128">
        <f>AD87*AF87%-0.01</f>
        <v>27.717272727272722</v>
      </c>
      <c r="AH87" s="154"/>
    </row>
    <row r="88" spans="1:34" x14ac:dyDescent="0.25">
      <c r="B88" s="7"/>
      <c r="C88" s="230" t="s">
        <v>77</v>
      </c>
      <c r="D88" s="230"/>
      <c r="E88" s="148">
        <f>SUM(E83:E87)</f>
        <v>303.22000000000003</v>
      </c>
      <c r="F88" s="148">
        <f>SUM(F83:F87)-0.01</f>
        <v>491416.51520000002</v>
      </c>
      <c r="G88" s="148">
        <f>SUM(G83:G87)-0.02</f>
        <v>8190.2554200000004</v>
      </c>
      <c r="H88" s="148">
        <f>SUM(H83:H87)-0.01</f>
        <v>7371.2378779999999</v>
      </c>
      <c r="I88" s="148">
        <f>SUM(I83:I87)</f>
        <v>2457.0826260000003</v>
      </c>
      <c r="J88" s="148">
        <f>SUM(J83:J87)-0.02</f>
        <v>18018.575924000001</v>
      </c>
      <c r="K88" s="148">
        <f>SUM(K83:K87)+0.01</f>
        <v>1501.5596603333336</v>
      </c>
      <c r="L88" s="148"/>
      <c r="M88" s="148">
        <f>SUM(M84:M87)</f>
        <v>15479.024789184001</v>
      </c>
      <c r="N88" s="148">
        <f>SUM(N83:N87)-0.01</f>
        <v>1051.0860507333332</v>
      </c>
      <c r="O88" s="148">
        <f>SUM(O83:O87)+0.01</f>
        <v>840.88684058666672</v>
      </c>
      <c r="P88" s="148">
        <f>SUM(P83:P87)-0.01</f>
        <v>945.97644566000008</v>
      </c>
      <c r="Q88" s="148">
        <f>SUM(Q83:Q87)-0.01</f>
        <v>1051.0860507333332</v>
      </c>
      <c r="R88" s="148"/>
      <c r="S88" s="148">
        <f>SUM(S83:S87)</f>
        <v>258.31</v>
      </c>
      <c r="T88" s="148">
        <f t="shared" ref="T88:V88" si="54">SUM(T84:T87)</f>
        <v>0</v>
      </c>
      <c r="U88" s="148">
        <f t="shared" si="54"/>
        <v>1574.7749999999999</v>
      </c>
      <c r="V88" s="148">
        <f t="shared" si="54"/>
        <v>0</v>
      </c>
      <c r="W88" s="148">
        <f>SUM(W83:W87)+0.01</f>
        <v>926.83305144999997</v>
      </c>
      <c r="X88" s="148">
        <f>SUM(X83:X87)-0.01</f>
        <v>11121.956617400001</v>
      </c>
      <c r="Y88" s="148">
        <f>SUM(Y83:Y87)</f>
        <v>9485.1558119488</v>
      </c>
      <c r="Z88" s="148">
        <f>SUM(Z83:Z87)</f>
        <v>10016.314537417933</v>
      </c>
      <c r="AA88" s="148">
        <f>SUM(AA83:AA87)+0.01</f>
        <v>13462.540854644039</v>
      </c>
      <c r="AB88" s="148">
        <f>SUM(AB83:AB87)-0.01</f>
        <v>1121.8675712203367</v>
      </c>
      <c r="AC88" s="148">
        <f>SUM(AC83:AC87)+0.01</f>
        <v>1501.5596603333336</v>
      </c>
      <c r="AD88" s="148">
        <f>SUM(AD83:AD87)</f>
        <v>830.27405901741645</v>
      </c>
      <c r="AE88" s="148">
        <f>SUM(AE83:AE87)-0.01</f>
        <v>682.51295166666671</v>
      </c>
      <c r="AF88" s="148">
        <f>SUM(AF83:AF87)-0.02</f>
        <v>227.2528625368619</v>
      </c>
      <c r="AG88" s="148">
        <f>SUM(AG83:AG87)</f>
        <v>377.34738206449316</v>
      </c>
      <c r="AH88" s="154"/>
    </row>
    <row r="89" spans="1:34" x14ac:dyDescent="0.25">
      <c r="B89" s="4"/>
      <c r="C89" s="39"/>
      <c r="D89" s="39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51"/>
    </row>
    <row r="90" spans="1:34" ht="20.100000000000001" customHeight="1" x14ac:dyDescent="0.25">
      <c r="B90" s="4"/>
      <c r="C90" s="223" t="s">
        <v>98</v>
      </c>
      <c r="D90" s="223"/>
      <c r="E90" s="223"/>
      <c r="F90" s="223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"/>
    </row>
    <row r="91" spans="1:34" ht="11.1" customHeight="1" x14ac:dyDescent="0.25">
      <c r="B91" s="4"/>
      <c r="C91" s="42"/>
      <c r="D91" s="42"/>
      <c r="E91" s="42"/>
      <c r="F91" s="42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"/>
    </row>
    <row r="92" spans="1:34" x14ac:dyDescent="0.25">
      <c r="B92" s="231" t="s">
        <v>0</v>
      </c>
      <c r="C92" s="231"/>
      <c r="D92" s="231"/>
      <c r="E92" s="23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21.5" customHeight="1" x14ac:dyDescent="0.25">
      <c r="B94" s="215" t="s">
        <v>1</v>
      </c>
      <c r="C94" s="217" t="s">
        <v>56</v>
      </c>
      <c r="D94" s="209" t="s">
        <v>3</v>
      </c>
      <c r="E94" s="209" t="s">
        <v>4</v>
      </c>
      <c r="F94" s="209" t="s">
        <v>5</v>
      </c>
      <c r="G94" s="209" t="s">
        <v>6</v>
      </c>
      <c r="H94" s="209" t="s">
        <v>7</v>
      </c>
      <c r="I94" s="209" t="s">
        <v>8</v>
      </c>
      <c r="J94" s="209" t="s">
        <v>9</v>
      </c>
      <c r="K94" s="209" t="s">
        <v>57</v>
      </c>
      <c r="L94" s="22" t="s">
        <v>10</v>
      </c>
      <c r="M94" s="22" t="s">
        <v>10</v>
      </c>
      <c r="N94" s="22" t="s">
        <v>12</v>
      </c>
      <c r="O94" s="211" t="s">
        <v>13</v>
      </c>
      <c r="P94" s="212"/>
      <c r="Q94" s="213"/>
      <c r="R94" s="209" t="s">
        <v>14</v>
      </c>
      <c r="S94" s="225" t="s">
        <v>58</v>
      </c>
      <c r="T94" s="226"/>
      <c r="U94" s="226"/>
      <c r="V94" s="227"/>
      <c r="W94" s="207" t="s">
        <v>21</v>
      </c>
      <c r="X94" s="209" t="s">
        <v>9</v>
      </c>
      <c r="Y94" s="22" t="s">
        <v>242</v>
      </c>
      <c r="Z94" s="22" t="s">
        <v>243</v>
      </c>
      <c r="AA94" s="22" t="s">
        <v>156</v>
      </c>
      <c r="AB94" s="207" t="s">
        <v>59</v>
      </c>
      <c r="AC94" s="228" t="s">
        <v>18</v>
      </c>
      <c r="AD94" s="229"/>
      <c r="AE94" s="229"/>
      <c r="AF94" s="229"/>
      <c r="AG94" s="205" t="s">
        <v>19</v>
      </c>
      <c r="AH94"/>
    </row>
    <row r="95" spans="1:34" ht="51" x14ac:dyDescent="0.25">
      <c r="B95" s="216"/>
      <c r="C95" s="218"/>
      <c r="D95" s="210"/>
      <c r="E95" s="210"/>
      <c r="F95" s="210"/>
      <c r="G95" s="210"/>
      <c r="H95" s="210"/>
      <c r="I95" s="210"/>
      <c r="J95" s="210"/>
      <c r="K95" s="210"/>
      <c r="L95" s="22">
        <v>5.6</v>
      </c>
      <c r="M95" s="22">
        <v>5.6</v>
      </c>
      <c r="N95" s="22">
        <v>0.7</v>
      </c>
      <c r="O95" s="23">
        <v>0.8</v>
      </c>
      <c r="P95" s="24">
        <v>0.9</v>
      </c>
      <c r="Q95" s="28">
        <v>1</v>
      </c>
      <c r="R95" s="210"/>
      <c r="S95" s="29">
        <v>0.1</v>
      </c>
      <c r="T95" s="30">
        <v>0.2</v>
      </c>
      <c r="U95" s="30">
        <v>0.3</v>
      </c>
      <c r="V95" s="30">
        <v>0.1</v>
      </c>
      <c r="W95" s="208"/>
      <c r="X95" s="210"/>
      <c r="Y95" s="22">
        <v>10.4</v>
      </c>
      <c r="Z95" s="22">
        <v>5.6</v>
      </c>
      <c r="AA95" s="22">
        <v>7.3</v>
      </c>
      <c r="AB95" s="208"/>
      <c r="AC95" s="33" t="s">
        <v>20</v>
      </c>
      <c r="AD95" s="33" t="s">
        <v>21</v>
      </c>
      <c r="AE95" s="33" t="s">
        <v>22</v>
      </c>
      <c r="AF95" s="33" t="s">
        <v>23</v>
      </c>
      <c r="AG95" s="206"/>
      <c r="AH95"/>
    </row>
    <row r="96" spans="1:34" ht="15" x14ac:dyDescent="0.25">
      <c r="B96" s="7"/>
      <c r="C96" s="8"/>
      <c r="D96" s="9">
        <v>0</v>
      </c>
      <c r="E96" s="9">
        <v>1</v>
      </c>
      <c r="F96" s="9">
        <v>2</v>
      </c>
      <c r="G96" s="9" t="s">
        <v>24</v>
      </c>
      <c r="H96" s="9" t="s">
        <v>25</v>
      </c>
      <c r="I96" s="9" t="s">
        <v>26</v>
      </c>
      <c r="J96" s="9" t="s">
        <v>27</v>
      </c>
      <c r="K96" s="25" t="s">
        <v>60</v>
      </c>
      <c r="L96" s="9" t="s">
        <v>61</v>
      </c>
      <c r="M96" s="9" t="s">
        <v>61</v>
      </c>
      <c r="N96" s="9" t="s">
        <v>62</v>
      </c>
      <c r="O96" s="9" t="s">
        <v>63</v>
      </c>
      <c r="P96" s="9" t="s">
        <v>63</v>
      </c>
      <c r="Q96" s="9" t="s">
        <v>63</v>
      </c>
      <c r="R96" s="9">
        <v>9</v>
      </c>
      <c r="S96" s="31" t="s">
        <v>161</v>
      </c>
      <c r="T96" s="31" t="s">
        <v>162</v>
      </c>
      <c r="U96" s="31" t="s">
        <v>163</v>
      </c>
      <c r="V96" s="31" t="s">
        <v>164</v>
      </c>
      <c r="W96" s="31" t="s">
        <v>64</v>
      </c>
      <c r="X96" s="9" t="s">
        <v>65</v>
      </c>
      <c r="Y96" s="9" t="s">
        <v>66</v>
      </c>
      <c r="Z96" s="9" t="s">
        <v>67</v>
      </c>
      <c r="AA96" s="9" t="s">
        <v>246</v>
      </c>
      <c r="AB96" s="9" t="s">
        <v>240</v>
      </c>
      <c r="AC96" s="9">
        <v>16</v>
      </c>
      <c r="AD96" s="31" t="s">
        <v>158</v>
      </c>
      <c r="AE96" s="31" t="s">
        <v>159</v>
      </c>
      <c r="AF96" s="31" t="s">
        <v>160</v>
      </c>
      <c r="AG96" s="9">
        <v>17</v>
      </c>
      <c r="AH96"/>
    </row>
    <row r="97" spans="1:34" ht="15" x14ac:dyDescent="0.25">
      <c r="A97" s="1" t="s">
        <v>198</v>
      </c>
      <c r="B97" s="35">
        <v>1</v>
      </c>
      <c r="C97" s="35" t="s">
        <v>99</v>
      </c>
      <c r="D97" s="36">
        <v>2</v>
      </c>
      <c r="E97" s="43">
        <v>99.13</v>
      </c>
      <c r="F97" s="128">
        <f>+E97*952.3639558</f>
        <v>94407.838938453991</v>
      </c>
      <c r="G97" s="128">
        <f>+F97/60</f>
        <v>1573.4639823075665</v>
      </c>
      <c r="H97" s="128">
        <f>+F97*1.5%</f>
        <v>1416.1175840768099</v>
      </c>
      <c r="I97" s="128">
        <v>0</v>
      </c>
      <c r="J97" s="128">
        <f>+G97+H97</f>
        <v>2989.5815663843764</v>
      </c>
      <c r="K97" s="128">
        <f>+J97/12</f>
        <v>249.13179719869802</v>
      </c>
      <c r="L97" s="128"/>
      <c r="M97" s="128">
        <f>J97*(100%+5.6%)</f>
        <v>3156.9981341019015</v>
      </c>
      <c r="N97" s="128">
        <f>+K97*N95</f>
        <v>174.3922580390886</v>
      </c>
      <c r="O97" s="128">
        <f>+N97*O95</f>
        <v>139.51380643127089</v>
      </c>
      <c r="P97" s="128">
        <f>+N97*P95</f>
        <v>156.95303223517973</v>
      </c>
      <c r="Q97" s="128">
        <f>+N97*Q95</f>
        <v>174.3922580390886</v>
      </c>
      <c r="R97" s="145" t="s">
        <v>245</v>
      </c>
      <c r="S97" s="145">
        <v>0</v>
      </c>
      <c r="T97" s="145">
        <v>0</v>
      </c>
      <c r="U97" s="145">
        <v>0</v>
      </c>
      <c r="V97" s="145">
        <v>257.39999999999998</v>
      </c>
      <c r="W97" s="145">
        <v>257.39999999999998</v>
      </c>
      <c r="X97" s="145">
        <f>W97*12</f>
        <v>3088.7999999999997</v>
      </c>
      <c r="Y97" s="145">
        <f>X97*(100+10.4)%</f>
        <v>3410.0351999999998</v>
      </c>
      <c r="Z97" s="145">
        <f>Y97*(100+5.6)%</f>
        <v>3600.9971712000001</v>
      </c>
      <c r="AA97" s="145">
        <f>Z97*(100+7.3)%</f>
        <v>3863.8699646976002</v>
      </c>
      <c r="AB97" s="145">
        <f>AA97/12</f>
        <v>321.98916372479999</v>
      </c>
      <c r="AC97" s="145">
        <f>K97</f>
        <v>249.13179719869802</v>
      </c>
      <c r="AD97" s="145">
        <f>V97</f>
        <v>257.39999999999998</v>
      </c>
      <c r="AE97" s="145">
        <f>G97/12</f>
        <v>131.12199852563054</v>
      </c>
      <c r="AF97" s="145">
        <f>AE97/AC97*100</f>
        <v>52.631578947368418</v>
      </c>
      <c r="AG97" s="147">
        <f>AD97*AF97%</f>
        <v>135.4736842105263</v>
      </c>
      <c r="AH97" s="164"/>
    </row>
    <row r="98" spans="1:34" ht="15" x14ac:dyDescent="0.25">
      <c r="A98" s="1" t="s">
        <v>199</v>
      </c>
      <c r="B98" s="116">
        <v>2</v>
      </c>
      <c r="C98" s="116" t="s">
        <v>100</v>
      </c>
      <c r="D98" s="117">
        <v>2</v>
      </c>
      <c r="E98" s="118">
        <v>99</v>
      </c>
      <c r="F98" s="153">
        <f>+E98*952.3639558</f>
        <v>94284.031624199997</v>
      </c>
      <c r="G98" s="153">
        <f>+F98/60</f>
        <v>1571.40052707</v>
      </c>
      <c r="H98" s="153">
        <f>+F98*1.5%</f>
        <v>1414.260474363</v>
      </c>
      <c r="I98" s="153">
        <v>0</v>
      </c>
      <c r="J98" s="153">
        <f>+G98+H98</f>
        <v>2985.6610014329999</v>
      </c>
      <c r="K98" s="153">
        <f>J98/12</f>
        <v>248.80508345274998</v>
      </c>
      <c r="L98" s="153"/>
      <c r="M98" s="153"/>
      <c r="N98" s="153">
        <f>+K98*N95</f>
        <v>174.16355841692499</v>
      </c>
      <c r="O98" s="153">
        <f>+N98*O95</f>
        <v>139.33084673354</v>
      </c>
      <c r="P98" s="153">
        <f>+N98*P95</f>
        <v>156.74720257523248</v>
      </c>
      <c r="Q98" s="153">
        <f>+N98</f>
        <v>174.16355841692499</v>
      </c>
      <c r="R98" s="153">
        <v>1440.17</v>
      </c>
      <c r="S98" s="153">
        <f>R98*S95</f>
        <v>144.01700000000002</v>
      </c>
      <c r="T98" s="153">
        <v>0</v>
      </c>
      <c r="U98" s="153">
        <v>0</v>
      </c>
      <c r="V98" s="153">
        <v>0</v>
      </c>
      <c r="W98" s="153">
        <f>O98</f>
        <v>139.33084673354</v>
      </c>
      <c r="X98" s="153">
        <f>W98*12+0.02</f>
        <v>1671.99016080248</v>
      </c>
      <c r="Y98" s="153">
        <v>0</v>
      </c>
      <c r="Z98" s="153">
        <v>0</v>
      </c>
      <c r="AA98" s="153">
        <f>X98*(100+7.3)%</f>
        <v>1794.045442541061</v>
      </c>
      <c r="AB98" s="153">
        <f>AA98/12</f>
        <v>149.50378687842175</v>
      </c>
      <c r="AC98" s="153">
        <f>K98</f>
        <v>248.80508345274998</v>
      </c>
      <c r="AD98" s="153">
        <f>S98</f>
        <v>144.01700000000002</v>
      </c>
      <c r="AE98" s="153">
        <f>G98/12</f>
        <v>130.95004392249999</v>
      </c>
      <c r="AF98" s="153">
        <f>AE98/AC98*100</f>
        <v>52.631578947368418</v>
      </c>
      <c r="AG98" s="155">
        <f>AD98*AF98%</f>
        <v>75.798421052631582</v>
      </c>
      <c r="AH98" s="164"/>
    </row>
    <row r="99" spans="1:34" ht="15" x14ac:dyDescent="0.25">
      <c r="B99" s="7"/>
      <c r="C99" s="219" t="s">
        <v>77</v>
      </c>
      <c r="D99" s="219"/>
      <c r="E99" s="15">
        <f>SUM(E97:E98)</f>
        <v>198.13</v>
      </c>
      <c r="F99" s="148">
        <f>SUM(F97:F98)</f>
        <v>188691.87056265399</v>
      </c>
      <c r="G99" s="148">
        <f>SUM(G97:G98)</f>
        <v>3144.8645093775667</v>
      </c>
      <c r="H99" s="148">
        <f>SUM(H97:H98)</f>
        <v>2830.37805843981</v>
      </c>
      <c r="I99" s="148">
        <f>+I97</f>
        <v>0</v>
      </c>
      <c r="J99" s="148">
        <f>SUM(J97:J98)</f>
        <v>5975.2425678173768</v>
      </c>
      <c r="K99" s="148">
        <f>SUM(K97:K98)</f>
        <v>497.93688065144801</v>
      </c>
      <c r="L99" s="148"/>
      <c r="M99" s="148">
        <f>SUM(M97:M97)</f>
        <v>3156.9981341019015</v>
      </c>
      <c r="N99" s="148">
        <f>SUM(N97:N98)-0.01</f>
        <v>348.5458164560136</v>
      </c>
      <c r="O99" s="148">
        <f>SUM(O97:O98)</f>
        <v>278.84465316481089</v>
      </c>
      <c r="P99" s="148">
        <f>SUM(P97:P98)</f>
        <v>313.70023481041221</v>
      </c>
      <c r="Q99" s="148">
        <f>SUM(Q97:Q98)-0.01</f>
        <v>348.5458164560136</v>
      </c>
      <c r="R99" s="148"/>
      <c r="S99" s="148">
        <f>SUM(S97:S98)</f>
        <v>144.01700000000002</v>
      </c>
      <c r="T99" s="148">
        <f t="shared" ref="T99:AG99" si="55">SUM(T97:T98)</f>
        <v>0</v>
      </c>
      <c r="U99" s="148">
        <f t="shared" si="55"/>
        <v>0</v>
      </c>
      <c r="V99" s="148">
        <f t="shared" si="55"/>
        <v>257.39999999999998</v>
      </c>
      <c r="W99" s="148">
        <f t="shared" si="55"/>
        <v>396.73084673353998</v>
      </c>
      <c r="X99" s="148">
        <f t="shared" si="55"/>
        <v>4760.7901608024795</v>
      </c>
      <c r="Y99" s="148">
        <f t="shared" si="55"/>
        <v>3410.0351999999998</v>
      </c>
      <c r="Z99" s="148">
        <f t="shared" si="55"/>
        <v>3600.9971712000001</v>
      </c>
      <c r="AA99" s="148">
        <f t="shared" si="55"/>
        <v>5657.9154072386609</v>
      </c>
      <c r="AB99" s="148">
        <f t="shared" si="55"/>
        <v>471.49295060322174</v>
      </c>
      <c r="AC99" s="148">
        <f t="shared" si="55"/>
        <v>497.93688065144801</v>
      </c>
      <c r="AD99" s="148">
        <f t="shared" si="55"/>
        <v>401.41700000000003</v>
      </c>
      <c r="AE99" s="148">
        <f t="shared" si="55"/>
        <v>262.07204244813056</v>
      </c>
      <c r="AF99" s="148">
        <f t="shared" si="55"/>
        <v>105.26315789473684</v>
      </c>
      <c r="AG99" s="148">
        <f t="shared" si="55"/>
        <v>211.27210526315787</v>
      </c>
      <c r="AH99"/>
    </row>
    <row r="100" spans="1:34" ht="15" x14ac:dyDescent="0.25">
      <c r="B100" s="4"/>
      <c r="C100" s="20"/>
      <c r="D100" s="20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41"/>
      <c r="AG100" s="41"/>
      <c r="AH100"/>
    </row>
    <row r="101" spans="1:34" ht="15" x14ac:dyDescent="0.25">
      <c r="B101" s="4"/>
      <c r="C101" s="20"/>
      <c r="D101" s="20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41"/>
      <c r="AG101" s="41"/>
      <c r="AH101"/>
    </row>
    <row r="102" spans="1:34" ht="14.1" customHeight="1" x14ac:dyDescent="0.25">
      <c r="B102" s="44"/>
      <c r="C102" s="44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4"/>
      <c r="Y102" s="44"/>
      <c r="Z102" s="44"/>
      <c r="AA102" s="44"/>
      <c r="AB102" s="44"/>
      <c r="AC102" s="44"/>
      <c r="AD102" s="44"/>
      <c r="AE102" s="44"/>
      <c r="AF102" s="48"/>
      <c r="AG102" s="49"/>
      <c r="AH102" s="4"/>
    </row>
    <row r="103" spans="1:34" ht="18" customHeight="1" x14ac:dyDescent="0.25">
      <c r="B103" s="44" t="s">
        <v>101</v>
      </c>
      <c r="C103" s="44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4"/>
      <c r="Y103" s="44"/>
      <c r="Z103" s="44"/>
      <c r="AA103" s="44"/>
      <c r="AB103" s="44"/>
      <c r="AC103" s="44"/>
      <c r="AD103" s="44"/>
      <c r="AE103" s="44"/>
      <c r="AF103" s="48"/>
      <c r="AG103" s="49"/>
      <c r="AH103" s="4"/>
    </row>
    <row r="104" spans="1:34" ht="21.95" customHeight="1" x14ac:dyDescent="0.25">
      <c r="A104" s="2"/>
      <c r="B104" s="2"/>
      <c r="C104" s="2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2"/>
      <c r="Y104" s="2"/>
      <c r="Z104" s="2"/>
      <c r="AA104" s="2"/>
      <c r="AB104" s="2"/>
      <c r="AC104" s="2"/>
      <c r="AD104" s="50"/>
      <c r="AE104" s="50"/>
      <c r="AF104" s="48"/>
      <c r="AG104" s="49"/>
      <c r="AH104" s="4"/>
    </row>
    <row r="105" spans="1:34" ht="120" customHeight="1" x14ac:dyDescent="0.25">
      <c r="B105" s="215" t="s">
        <v>1</v>
      </c>
      <c r="C105" s="217" t="s">
        <v>56</v>
      </c>
      <c r="D105" s="209" t="s">
        <v>3</v>
      </c>
      <c r="E105" s="209" t="s">
        <v>4</v>
      </c>
      <c r="F105" s="209" t="s">
        <v>5</v>
      </c>
      <c r="G105" s="209" t="s">
        <v>6</v>
      </c>
      <c r="H105" s="209" t="s">
        <v>7</v>
      </c>
      <c r="I105" s="209" t="s">
        <v>8</v>
      </c>
      <c r="J105" s="209" t="s">
        <v>9</v>
      </c>
      <c r="K105" s="209" t="s">
        <v>57</v>
      </c>
      <c r="L105" s="22" t="s">
        <v>10</v>
      </c>
      <c r="M105" s="22" t="s">
        <v>10</v>
      </c>
      <c r="N105" s="22" t="s">
        <v>12</v>
      </c>
      <c r="O105" s="211" t="s">
        <v>13</v>
      </c>
      <c r="P105" s="212"/>
      <c r="Q105" s="213"/>
      <c r="R105" s="209" t="s">
        <v>14</v>
      </c>
      <c r="S105" s="225" t="s">
        <v>58</v>
      </c>
      <c r="T105" s="226"/>
      <c r="U105" s="226"/>
      <c r="V105" s="227"/>
      <c r="W105" s="207" t="s">
        <v>21</v>
      </c>
      <c r="X105" s="209" t="s">
        <v>9</v>
      </c>
      <c r="Y105" s="22" t="s">
        <v>242</v>
      </c>
      <c r="Z105" s="22" t="s">
        <v>243</v>
      </c>
      <c r="AA105" s="22" t="s">
        <v>156</v>
      </c>
      <c r="AB105" s="207" t="s">
        <v>59</v>
      </c>
      <c r="AC105" s="228" t="s">
        <v>18</v>
      </c>
      <c r="AD105" s="229"/>
      <c r="AE105" s="229"/>
      <c r="AF105" s="229"/>
      <c r="AG105" s="205" t="s">
        <v>19</v>
      </c>
      <c r="AH105" s="4"/>
    </row>
    <row r="106" spans="1:34" ht="51" x14ac:dyDescent="0.25">
      <c r="B106" s="216"/>
      <c r="C106" s="218"/>
      <c r="D106" s="210"/>
      <c r="E106" s="210"/>
      <c r="F106" s="210"/>
      <c r="G106" s="210"/>
      <c r="H106" s="210"/>
      <c r="I106" s="210"/>
      <c r="J106" s="210"/>
      <c r="K106" s="210"/>
      <c r="L106" s="22">
        <v>5.6</v>
      </c>
      <c r="M106" s="22">
        <v>5.6</v>
      </c>
      <c r="N106" s="22">
        <v>0.7</v>
      </c>
      <c r="O106" s="23">
        <v>0.8</v>
      </c>
      <c r="P106" s="24">
        <v>0.9</v>
      </c>
      <c r="Q106" s="28">
        <v>1</v>
      </c>
      <c r="R106" s="210"/>
      <c r="S106" s="29">
        <v>0.1</v>
      </c>
      <c r="T106" s="30">
        <v>0.2</v>
      </c>
      <c r="U106" s="30">
        <v>0.3</v>
      </c>
      <c r="V106" s="30">
        <v>0.1</v>
      </c>
      <c r="W106" s="208"/>
      <c r="X106" s="210"/>
      <c r="Y106" s="22">
        <v>10.4</v>
      </c>
      <c r="Z106" s="22">
        <v>5.6</v>
      </c>
      <c r="AA106" s="22">
        <v>7.3</v>
      </c>
      <c r="AB106" s="208"/>
      <c r="AC106" s="33" t="s">
        <v>20</v>
      </c>
      <c r="AD106" s="33" t="s">
        <v>21</v>
      </c>
      <c r="AE106" s="33" t="s">
        <v>22</v>
      </c>
      <c r="AF106" s="33" t="s">
        <v>23</v>
      </c>
      <c r="AG106" s="206"/>
      <c r="AH106" s="4"/>
    </row>
    <row r="107" spans="1:34" x14ac:dyDescent="0.25">
      <c r="B107" s="7"/>
      <c r="C107" s="8"/>
      <c r="D107" s="9">
        <v>0</v>
      </c>
      <c r="E107" s="9">
        <v>1</v>
      </c>
      <c r="F107" s="156">
        <v>2</v>
      </c>
      <c r="G107" s="156" t="s">
        <v>24</v>
      </c>
      <c r="H107" s="156" t="s">
        <v>25</v>
      </c>
      <c r="I107" s="156" t="s">
        <v>26</v>
      </c>
      <c r="J107" s="156" t="s">
        <v>27</v>
      </c>
      <c r="K107" s="156" t="s">
        <v>60</v>
      </c>
      <c r="L107" s="156" t="s">
        <v>61</v>
      </c>
      <c r="M107" s="156" t="s">
        <v>61</v>
      </c>
      <c r="N107" s="156" t="s">
        <v>62</v>
      </c>
      <c r="O107" s="156" t="s">
        <v>63</v>
      </c>
      <c r="P107" s="156" t="s">
        <v>63</v>
      </c>
      <c r="Q107" s="156" t="s">
        <v>63</v>
      </c>
      <c r="R107" s="156">
        <v>9</v>
      </c>
      <c r="S107" s="156" t="s">
        <v>161</v>
      </c>
      <c r="T107" s="156" t="s">
        <v>162</v>
      </c>
      <c r="U107" s="156" t="s">
        <v>163</v>
      </c>
      <c r="V107" s="156" t="s">
        <v>164</v>
      </c>
      <c r="W107" s="156" t="s">
        <v>64</v>
      </c>
      <c r="X107" s="156" t="s">
        <v>65</v>
      </c>
      <c r="Y107" s="156" t="s">
        <v>66</v>
      </c>
      <c r="Z107" s="156" t="s">
        <v>67</v>
      </c>
      <c r="AA107" s="156" t="s">
        <v>246</v>
      </c>
      <c r="AB107" s="156" t="s">
        <v>240</v>
      </c>
      <c r="AC107" s="156">
        <v>16</v>
      </c>
      <c r="AD107" s="156" t="s">
        <v>158</v>
      </c>
      <c r="AE107" s="156" t="s">
        <v>159</v>
      </c>
      <c r="AF107" s="156" t="s">
        <v>160</v>
      </c>
      <c r="AG107" s="156">
        <v>17</v>
      </c>
      <c r="AH107" s="4"/>
    </row>
    <row r="108" spans="1:34" ht="15" x14ac:dyDescent="0.25">
      <c r="A108" s="1" t="s">
        <v>200</v>
      </c>
      <c r="B108" s="7">
        <v>1</v>
      </c>
      <c r="C108" s="19" t="s">
        <v>102</v>
      </c>
      <c r="D108" s="11">
        <v>2</v>
      </c>
      <c r="E108" s="18">
        <v>98.59</v>
      </c>
      <c r="F108" s="128">
        <f t="shared" ref="F108:F113" si="56">+E108*952.363958</f>
        <v>93893.56261922</v>
      </c>
      <c r="G108" s="128">
        <f t="shared" ref="G108:G113" si="57">+F108/60</f>
        <v>1564.8927103203334</v>
      </c>
      <c r="H108" s="128">
        <f t="shared" ref="H108:H109" si="58">+F108*1.5%</f>
        <v>1408.4034392883</v>
      </c>
      <c r="I108" s="128">
        <f t="shared" ref="I108:I113" si="59">+F108*0.5%</f>
        <v>469.46781309610003</v>
      </c>
      <c r="J108" s="128">
        <f t="shared" ref="J108:J112" si="60">+G108+H108+I108</f>
        <v>3442.7639627047338</v>
      </c>
      <c r="K108" s="128">
        <f t="shared" ref="K108:K113" si="61">+J108/12</f>
        <v>286.89699689206117</v>
      </c>
      <c r="L108" s="128"/>
      <c r="M108" s="128">
        <f t="shared" ref="M108:M113" si="62">+J108*(100%+5.6%)</f>
        <v>3635.558744616199</v>
      </c>
      <c r="N108" s="128">
        <f>+K108*N106</f>
        <v>200.8278978244428</v>
      </c>
      <c r="O108" s="128">
        <f>+N108*O106</f>
        <v>160.66231825955424</v>
      </c>
      <c r="P108" s="128">
        <f>+N108*P106</f>
        <v>180.74510804199852</v>
      </c>
      <c r="Q108" s="128">
        <f>+N108*Q106</f>
        <v>200.8278978244428</v>
      </c>
      <c r="R108" s="128">
        <v>999.11</v>
      </c>
      <c r="S108" s="128">
        <f>R108*S106</f>
        <v>99.911000000000001</v>
      </c>
      <c r="T108" s="128">
        <v>0</v>
      </c>
      <c r="U108" s="128">
        <v>0</v>
      </c>
      <c r="V108" s="128">
        <v>0</v>
      </c>
      <c r="W108" s="128">
        <f>O108</f>
        <v>160.66231825955424</v>
      </c>
      <c r="X108" s="128">
        <f>W108*12-0.03</f>
        <v>1927.9178191146509</v>
      </c>
      <c r="Y108" s="128">
        <f>X108*(100+10.4)%</f>
        <v>2128.4212723025748</v>
      </c>
      <c r="Z108" s="128">
        <f>Y108*(100+5.6)%</f>
        <v>2247.6128635515192</v>
      </c>
      <c r="AA108" s="128">
        <f>Z108*(100+7.3)%</f>
        <v>2411.6886025907802</v>
      </c>
      <c r="AB108" s="128">
        <f t="shared" ref="AB108:AB113" si="63">AA108/12</f>
        <v>200.97405021589836</v>
      </c>
      <c r="AC108" s="128">
        <f>K108</f>
        <v>286.89699689206117</v>
      </c>
      <c r="AD108" s="128">
        <f>S108</f>
        <v>99.911000000000001</v>
      </c>
      <c r="AE108" s="128">
        <f>G108/12</f>
        <v>130.4077258600278</v>
      </c>
      <c r="AF108" s="130">
        <f>AE108/AC108*100</f>
        <v>45.454545454545453</v>
      </c>
      <c r="AG108" s="131">
        <f>AD108*AF108%</f>
        <v>45.414090909090909</v>
      </c>
      <c r="AH108" s="4"/>
    </row>
    <row r="109" spans="1:34" ht="15" x14ac:dyDescent="0.25">
      <c r="A109" s="1" t="s">
        <v>201</v>
      </c>
      <c r="B109" s="7">
        <v>2</v>
      </c>
      <c r="C109" s="19" t="s">
        <v>103</v>
      </c>
      <c r="D109" s="11">
        <v>2</v>
      </c>
      <c r="E109" s="18">
        <v>98.23</v>
      </c>
      <c r="F109" s="128">
        <f t="shared" si="56"/>
        <v>93550.711594340013</v>
      </c>
      <c r="G109" s="128">
        <f t="shared" si="57"/>
        <v>1559.1785265723336</v>
      </c>
      <c r="H109" s="128">
        <f t="shared" si="58"/>
        <v>1403.2606739151001</v>
      </c>
      <c r="I109" s="128">
        <f t="shared" si="59"/>
        <v>467.75355797170005</v>
      </c>
      <c r="J109" s="128">
        <f t="shared" si="60"/>
        <v>3430.1927584591335</v>
      </c>
      <c r="K109" s="128">
        <f t="shared" si="61"/>
        <v>285.84939653826115</v>
      </c>
      <c r="L109" s="128"/>
      <c r="M109" s="128">
        <f t="shared" si="62"/>
        <v>3622.2835529328454</v>
      </c>
      <c r="N109" s="128">
        <f>K109*N106</f>
        <v>200.0945775767828</v>
      </c>
      <c r="O109" s="128">
        <f>+N109*O106</f>
        <v>160.07566206142624</v>
      </c>
      <c r="P109" s="128">
        <f>+N109*P106</f>
        <v>180.08511981910453</v>
      </c>
      <c r="Q109" s="128">
        <f>+N109*Q106</f>
        <v>200.0945775767828</v>
      </c>
      <c r="R109" s="139" t="s">
        <v>251</v>
      </c>
      <c r="S109" s="139">
        <v>0</v>
      </c>
      <c r="T109" s="139">
        <v>0</v>
      </c>
      <c r="U109" s="139">
        <v>0</v>
      </c>
      <c r="V109" s="139">
        <v>0</v>
      </c>
      <c r="W109" s="139">
        <f>N109</f>
        <v>200.0945775767828</v>
      </c>
      <c r="X109" s="139">
        <f>W109*12</f>
        <v>2401.1349309213938</v>
      </c>
      <c r="Y109" s="139">
        <f>X109*(100+10.4)%</f>
        <v>2650.8529637372189</v>
      </c>
      <c r="Z109" s="139">
        <f>Y109*(100+5.6)%-0.01</f>
        <v>2799.290729706503</v>
      </c>
      <c r="AA109" s="139">
        <f>Z109*(100+7.3)%</f>
        <v>3003.6389529750777</v>
      </c>
      <c r="AB109" s="139">
        <f t="shared" si="63"/>
        <v>250.30324608125648</v>
      </c>
      <c r="AC109" s="139">
        <f t="shared" ref="AC109:AC112" si="64">K109</f>
        <v>285.84939653826115</v>
      </c>
      <c r="AD109" s="139">
        <f>AB109</f>
        <v>250.30324608125648</v>
      </c>
      <c r="AE109" s="139">
        <f t="shared" ref="AE109:AE113" si="65">G109/12</f>
        <v>129.93154388102781</v>
      </c>
      <c r="AF109" s="141">
        <f t="shared" ref="AF109:AF112" si="66">AE109/AC109*100</f>
        <v>45.45454545454546</v>
      </c>
      <c r="AG109" s="142">
        <f>AD109*AF109%-0.01</f>
        <v>113.7642027642075</v>
      </c>
      <c r="AH109" s="4"/>
    </row>
    <row r="110" spans="1:34" ht="15" x14ac:dyDescent="0.25">
      <c r="A110" s="1" t="s">
        <v>178</v>
      </c>
      <c r="B110" s="7">
        <v>3</v>
      </c>
      <c r="C110" s="19" t="s">
        <v>104</v>
      </c>
      <c r="D110" s="11">
        <v>2</v>
      </c>
      <c r="E110" s="18">
        <v>98.73</v>
      </c>
      <c r="F110" s="128">
        <f t="shared" si="56"/>
        <v>94026.893573339999</v>
      </c>
      <c r="G110" s="128">
        <f t="shared" si="57"/>
        <v>1567.114892889</v>
      </c>
      <c r="H110" s="128">
        <f>+F110*1.5%</f>
        <v>1410.4034036000999</v>
      </c>
      <c r="I110" s="128">
        <f t="shared" si="59"/>
        <v>470.13446786669999</v>
      </c>
      <c r="J110" s="128">
        <f>G110+H110+I110-0.01</f>
        <v>3447.6427643558</v>
      </c>
      <c r="K110" s="128">
        <f t="shared" si="61"/>
        <v>287.30356369631664</v>
      </c>
      <c r="L110" s="128"/>
      <c r="M110" s="128">
        <f t="shared" si="62"/>
        <v>3640.7107591597251</v>
      </c>
      <c r="N110" s="128">
        <f>+K110*N106</f>
        <v>201.11249458742165</v>
      </c>
      <c r="O110" s="128">
        <f>+N110*O106</f>
        <v>160.88999566993732</v>
      </c>
      <c r="P110" s="128">
        <f>+N110*P106</f>
        <v>181.0012451286795</v>
      </c>
      <c r="Q110" s="128">
        <f>+N110*Q106</f>
        <v>201.11249458742165</v>
      </c>
      <c r="R110" s="128">
        <v>2056.06</v>
      </c>
      <c r="S110" s="128">
        <f>R110*S106</f>
        <v>205.60599999999999</v>
      </c>
      <c r="T110" s="128">
        <v>0</v>
      </c>
      <c r="U110" s="128">
        <v>0</v>
      </c>
      <c r="V110" s="128">
        <v>0</v>
      </c>
      <c r="W110" s="128">
        <v>160.88999999999999</v>
      </c>
      <c r="X110" s="128">
        <f>W110*12</f>
        <v>1930.6799999999998</v>
      </c>
      <c r="Y110" s="128">
        <f>X110*(100+10.4)%</f>
        <v>2131.4707199999998</v>
      </c>
      <c r="Z110" s="128">
        <f>Y110*(100+5.6)%</f>
        <v>2250.8330803199997</v>
      </c>
      <c r="AA110" s="128">
        <f>Z110*107.3%</f>
        <v>2415.1438951833597</v>
      </c>
      <c r="AB110" s="128">
        <f t="shared" si="63"/>
        <v>201.26199126527999</v>
      </c>
      <c r="AC110" s="128">
        <f t="shared" si="64"/>
        <v>287.30356369631664</v>
      </c>
      <c r="AD110" s="128">
        <f>AB110</f>
        <v>201.26199126527999</v>
      </c>
      <c r="AE110" s="128">
        <f t="shared" si="65"/>
        <v>130.59290774075001</v>
      </c>
      <c r="AF110" s="130">
        <f t="shared" si="66"/>
        <v>45.454677296933319</v>
      </c>
      <c r="AG110" s="131">
        <f>AD110*AF110%-0.01</f>
        <v>91.472988651015143</v>
      </c>
      <c r="AH110" s="4"/>
    </row>
    <row r="111" spans="1:34" ht="15" x14ac:dyDescent="0.25">
      <c r="A111" s="1" t="s">
        <v>202</v>
      </c>
      <c r="B111" s="7">
        <v>4</v>
      </c>
      <c r="C111" s="19" t="s">
        <v>105</v>
      </c>
      <c r="D111" s="11">
        <v>2</v>
      </c>
      <c r="E111" s="18">
        <v>99.79</v>
      </c>
      <c r="F111" s="128">
        <f t="shared" si="56"/>
        <v>95036.399368820013</v>
      </c>
      <c r="G111" s="128">
        <f>F111/60</f>
        <v>1583.9399894803335</v>
      </c>
      <c r="H111" s="128">
        <f t="shared" ref="H111:H113" si="67">+F111*1.5%</f>
        <v>1425.5459905323</v>
      </c>
      <c r="I111" s="128">
        <f t="shared" si="59"/>
        <v>475.18199684410007</v>
      </c>
      <c r="J111" s="128">
        <f>+G111+H111+I111</f>
        <v>3484.6679768567333</v>
      </c>
      <c r="K111" s="128">
        <f t="shared" si="61"/>
        <v>290.38899807139444</v>
      </c>
      <c r="L111" s="128"/>
      <c r="M111" s="128">
        <f t="shared" si="62"/>
        <v>3679.8093835607106</v>
      </c>
      <c r="N111" s="128">
        <f>+K111*N106</f>
        <v>203.27229864997611</v>
      </c>
      <c r="O111" s="128">
        <f>+N111*O106</f>
        <v>162.6178389199809</v>
      </c>
      <c r="P111" s="128">
        <f>+N111*P106</f>
        <v>182.9450687849785</v>
      </c>
      <c r="Q111" s="128">
        <f>+N111*Q106</f>
        <v>203.27229864997611</v>
      </c>
      <c r="R111" s="128">
        <v>857.17</v>
      </c>
      <c r="S111" s="128">
        <f>R111*S106</f>
        <v>85.716999999999999</v>
      </c>
      <c r="T111" s="128">
        <v>0</v>
      </c>
      <c r="U111" s="128">
        <v>0</v>
      </c>
      <c r="V111" s="128">
        <v>0</v>
      </c>
      <c r="W111" s="128">
        <f>O111</f>
        <v>162.6178389199809</v>
      </c>
      <c r="X111" s="128">
        <f>W111*12+0.03</f>
        <v>1951.4440670397707</v>
      </c>
      <c r="Y111" s="128">
        <f>X111*(100+10.4)%+0.01</f>
        <v>2154.4042500119072</v>
      </c>
      <c r="Z111" s="128">
        <f>Y111*(100+5.6)%</f>
        <v>2275.050888012574</v>
      </c>
      <c r="AA111" s="128">
        <f>Z111*(100+7.3)%</f>
        <v>2441.1296028374918</v>
      </c>
      <c r="AB111" s="128">
        <f t="shared" si="63"/>
        <v>203.42746690312433</v>
      </c>
      <c r="AC111" s="128">
        <f t="shared" si="64"/>
        <v>290.38899807139444</v>
      </c>
      <c r="AD111" s="128">
        <f>S111</f>
        <v>85.716999999999999</v>
      </c>
      <c r="AE111" s="128">
        <f t="shared" si="65"/>
        <v>131.99499912336111</v>
      </c>
      <c r="AF111" s="130">
        <f t="shared" si="66"/>
        <v>45.454545454545453</v>
      </c>
      <c r="AG111" s="131">
        <f>AD111*AF111%</f>
        <v>38.962272727272726</v>
      </c>
      <c r="AH111" s="4"/>
    </row>
    <row r="112" spans="1:34" ht="15" x14ac:dyDescent="0.25">
      <c r="A112" s="1" t="s">
        <v>203</v>
      </c>
      <c r="B112" s="7">
        <v>5</v>
      </c>
      <c r="C112" s="19" t="s">
        <v>106</v>
      </c>
      <c r="D112" s="11">
        <v>2</v>
      </c>
      <c r="E112" s="18">
        <v>97.8</v>
      </c>
      <c r="F112" s="128">
        <f t="shared" si="56"/>
        <v>93141.195092399998</v>
      </c>
      <c r="G112" s="128">
        <f t="shared" si="57"/>
        <v>1552.35325154</v>
      </c>
      <c r="H112" s="128">
        <f t="shared" si="67"/>
        <v>1397.1179263859999</v>
      </c>
      <c r="I112" s="128">
        <f>F112*0.5%</f>
        <v>465.70597546199997</v>
      </c>
      <c r="J112" s="128">
        <f t="shared" si="60"/>
        <v>3415.1771533879996</v>
      </c>
      <c r="K112" s="128">
        <f t="shared" si="61"/>
        <v>284.59809611566664</v>
      </c>
      <c r="L112" s="128"/>
      <c r="M112" s="128">
        <f t="shared" si="62"/>
        <v>3606.4270739777276</v>
      </c>
      <c r="N112" s="128">
        <f>+K112*N106</f>
        <v>199.21866728096663</v>
      </c>
      <c r="O112" s="128">
        <f>N112*O106</f>
        <v>159.37493382477331</v>
      </c>
      <c r="P112" s="128">
        <f>+N112*P106</f>
        <v>179.29680055286997</v>
      </c>
      <c r="Q112" s="128">
        <f>+N112*Q106</f>
        <v>199.21866728096663</v>
      </c>
      <c r="R112" s="128">
        <v>1843.92</v>
      </c>
      <c r="S112" s="128">
        <f>R112*S106</f>
        <v>184.39200000000002</v>
      </c>
      <c r="T112" s="128">
        <v>0</v>
      </c>
      <c r="U112" s="128">
        <v>0</v>
      </c>
      <c r="V112" s="128">
        <v>0</v>
      </c>
      <c r="W112" s="128">
        <f>O112</f>
        <v>159.37493382477331</v>
      </c>
      <c r="X112" s="128">
        <f>W112*12</f>
        <v>1912.4992058972798</v>
      </c>
      <c r="Y112" s="128">
        <f>X112*(100+10.4)%</f>
        <v>2111.3991233105971</v>
      </c>
      <c r="Z112" s="128">
        <f>Y112*(100+5.6)%</f>
        <v>2229.6374742159906</v>
      </c>
      <c r="AA112" s="128">
        <f>Z112*(100+7.3)%</f>
        <v>2392.4010098337576</v>
      </c>
      <c r="AB112" s="128">
        <f t="shared" si="63"/>
        <v>199.36675081947979</v>
      </c>
      <c r="AC112" s="128">
        <f t="shared" si="64"/>
        <v>284.59809611566664</v>
      </c>
      <c r="AD112" s="128">
        <f>S112</f>
        <v>184.39200000000002</v>
      </c>
      <c r="AE112" s="128">
        <f t="shared" si="65"/>
        <v>129.36277096166666</v>
      </c>
      <c r="AF112" s="130">
        <f t="shared" si="66"/>
        <v>45.454545454545453</v>
      </c>
      <c r="AG112" s="131">
        <f>AD112*AF112%</f>
        <v>83.814545454545467</v>
      </c>
      <c r="AH112" s="4"/>
    </row>
    <row r="113" spans="1:34" ht="15" x14ac:dyDescent="0.25">
      <c r="A113" s="1" t="s">
        <v>204</v>
      </c>
      <c r="B113" s="7">
        <v>6</v>
      </c>
      <c r="C113" s="19" t="s">
        <v>107</v>
      </c>
      <c r="D113" s="11">
        <v>2</v>
      </c>
      <c r="E113" s="18">
        <v>99.07</v>
      </c>
      <c r="F113" s="128">
        <f t="shared" si="56"/>
        <v>94350.697319059997</v>
      </c>
      <c r="G113" s="128">
        <f t="shared" si="57"/>
        <v>1572.5116219843333</v>
      </c>
      <c r="H113" s="128">
        <f t="shared" si="67"/>
        <v>1415.2604597858999</v>
      </c>
      <c r="I113" s="128">
        <f t="shared" si="59"/>
        <v>471.75348659529999</v>
      </c>
      <c r="J113" s="128">
        <f>G113+H113+I113-0.01</f>
        <v>3459.5155683655325</v>
      </c>
      <c r="K113" s="128">
        <f t="shared" si="61"/>
        <v>288.29296403046106</v>
      </c>
      <c r="L113" s="128"/>
      <c r="M113" s="128">
        <f t="shared" si="62"/>
        <v>3653.2484401940023</v>
      </c>
      <c r="N113" s="128">
        <f>+K113*N106</f>
        <v>201.80507482132273</v>
      </c>
      <c r="O113" s="128">
        <f>+N113*O106</f>
        <v>161.44405985705819</v>
      </c>
      <c r="P113" s="128">
        <f>+N113*P106</f>
        <v>181.62456733919046</v>
      </c>
      <c r="Q113" s="128">
        <f>+N113*Q106</f>
        <v>201.80507482132273</v>
      </c>
      <c r="R113" s="139" t="s">
        <v>251</v>
      </c>
      <c r="S113" s="139">
        <v>0</v>
      </c>
      <c r="T113" s="139">
        <v>0</v>
      </c>
      <c r="U113" s="139">
        <v>0</v>
      </c>
      <c r="V113" s="139">
        <v>0</v>
      </c>
      <c r="W113" s="139">
        <f>N113</f>
        <v>201.80507482132273</v>
      </c>
      <c r="X113" s="139">
        <f>W113*12-0.06</f>
        <v>2421.600897855873</v>
      </c>
      <c r="Y113" s="139">
        <f>X113*(100+10.4)%+0.01</f>
        <v>2673.4573912328842</v>
      </c>
      <c r="Z113" s="139">
        <f>Y113*(100+5.6)%-0.01</f>
        <v>2823.1610051419257</v>
      </c>
      <c r="AA113" s="139">
        <f>Z113*(100+7.3)%</f>
        <v>3029.2517585172859</v>
      </c>
      <c r="AB113" s="139">
        <f t="shared" si="63"/>
        <v>252.43764654310715</v>
      </c>
      <c r="AC113" s="139">
        <f>K113</f>
        <v>288.29296403046106</v>
      </c>
      <c r="AD113" s="139">
        <f>AB113</f>
        <v>252.43764654310715</v>
      </c>
      <c r="AE113" s="139">
        <f t="shared" si="65"/>
        <v>131.04263516536111</v>
      </c>
      <c r="AF113" s="141">
        <v>45.45</v>
      </c>
      <c r="AG113" s="142">
        <f>AD113*AF113%</f>
        <v>114.7329103538422</v>
      </c>
      <c r="AH113" s="4"/>
    </row>
    <row r="114" spans="1:34" x14ac:dyDescent="0.25">
      <c r="B114" s="7"/>
      <c r="C114" s="219" t="s">
        <v>77</v>
      </c>
      <c r="D114" s="219"/>
      <c r="E114" s="15">
        <f>SUM(E108:E113)</f>
        <v>592.21</v>
      </c>
      <c r="F114" s="148">
        <f>SUM(F108:F113)</f>
        <v>563999.45956718002</v>
      </c>
      <c r="G114" s="148">
        <f>SUM(G108:G113)-0.01</f>
        <v>9399.9809927863334</v>
      </c>
      <c r="H114" s="148">
        <f>SUM(H108:H113)</f>
        <v>8459.9918935077003</v>
      </c>
      <c r="I114" s="148">
        <f>SUM(I108:I113)-0.01</f>
        <v>2819.9872978358994</v>
      </c>
      <c r="J114" s="148">
        <f>SUM(J108:J113)</f>
        <v>20679.960184129934</v>
      </c>
      <c r="K114" s="148">
        <f>SUM(K108:K113)</f>
        <v>1723.330015344161</v>
      </c>
      <c r="L114" s="148"/>
      <c r="M114" s="148">
        <f>SUM(M108:M113)</f>
        <v>21838.03795444121</v>
      </c>
      <c r="N114" s="148">
        <f>SUM(N108:N113)</f>
        <v>1206.3310107409127</v>
      </c>
      <c r="O114" s="148">
        <f>SUM(O108:O113)</f>
        <v>965.06480859273006</v>
      </c>
      <c r="P114" s="148">
        <f>SUM(P108:P113)+0.01</f>
        <v>1085.7079096668215</v>
      </c>
      <c r="Q114" s="148">
        <f>SUM(Q108:Q113)</f>
        <v>1206.3310107409127</v>
      </c>
      <c r="R114" s="148"/>
      <c r="S114" s="148">
        <f>SUM(S108:S113)</f>
        <v>575.62599999999998</v>
      </c>
      <c r="T114" s="148">
        <f t="shared" ref="T114:AD114" si="68">SUM(T108:T113)</f>
        <v>0</v>
      </c>
      <c r="U114" s="148">
        <f t="shared" si="68"/>
        <v>0</v>
      </c>
      <c r="V114" s="148">
        <f t="shared" si="68"/>
        <v>0</v>
      </c>
      <c r="W114" s="148">
        <f t="shared" si="68"/>
        <v>1045.4447434024139</v>
      </c>
      <c r="X114" s="148">
        <f>SUM(X108:X113)-0.01</f>
        <v>12545.266920828968</v>
      </c>
      <c r="Y114" s="148">
        <f>SUM(Y108:Y113)-0.01</f>
        <v>13849.995720595181</v>
      </c>
      <c r="Z114" s="148">
        <f>SUM(Z108:Z113)-0.01</f>
        <v>14625.576040948514</v>
      </c>
      <c r="AA114" s="148">
        <f t="shared" si="68"/>
        <v>15693.253821937753</v>
      </c>
      <c r="AB114" s="148">
        <f t="shared" si="68"/>
        <v>1307.7711518281462</v>
      </c>
      <c r="AC114" s="148">
        <f t="shared" si="68"/>
        <v>1723.330015344161</v>
      </c>
      <c r="AD114" s="148">
        <f t="shared" si="68"/>
        <v>1074.0228838896437</v>
      </c>
      <c r="AE114" s="148">
        <f>SUM(AE108:AE113)-0.01</f>
        <v>783.32258273219463</v>
      </c>
      <c r="AF114" s="148">
        <v>272.7</v>
      </c>
      <c r="AG114" s="148">
        <f>SUM(AG108:AG113)-0.02</f>
        <v>488.14101085997396</v>
      </c>
      <c r="AH114" s="4"/>
    </row>
    <row r="115" spans="1:34" x14ac:dyDescent="0.25">
      <c r="B115" s="4"/>
      <c r="C115" s="52"/>
      <c r="D115" s="5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"/>
    </row>
    <row r="116" spans="1:34" ht="18.95" customHeight="1" x14ac:dyDescent="0.25">
      <c r="B116" s="4"/>
      <c r="C116" s="223" t="s">
        <v>108</v>
      </c>
      <c r="D116" s="223"/>
      <c r="E116" s="223"/>
      <c r="F116" s="223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60"/>
      <c r="X116" s="2"/>
      <c r="Y116" s="2"/>
      <c r="Z116" s="2"/>
      <c r="AA116" s="2"/>
      <c r="AB116" s="2"/>
      <c r="AC116" s="2"/>
      <c r="AD116" s="50"/>
      <c r="AE116" s="50"/>
      <c r="AF116" s="50"/>
      <c r="AG116" s="63"/>
      <c r="AH116" s="4"/>
    </row>
    <row r="117" spans="1:34" ht="12.95" customHeight="1" x14ac:dyDescent="0.25">
      <c r="B117" s="4"/>
      <c r="C117" s="53"/>
      <c r="D117" s="53"/>
      <c r="E117" s="42"/>
      <c r="F117" s="42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2"/>
      <c r="Y117" s="2"/>
      <c r="Z117" s="2"/>
      <c r="AA117" s="2"/>
      <c r="AB117" s="2"/>
      <c r="AC117" s="2"/>
      <c r="AD117" s="50"/>
      <c r="AE117" s="50"/>
      <c r="AF117" s="50"/>
      <c r="AG117" s="64"/>
      <c r="AH117" s="4"/>
    </row>
    <row r="118" spans="1:34" ht="17.100000000000001" customHeight="1" x14ac:dyDescent="0.25">
      <c r="B118" s="4"/>
      <c r="C118" s="224" t="s">
        <v>0</v>
      </c>
      <c r="D118" s="224"/>
      <c r="E118" s="42"/>
      <c r="F118" s="42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2"/>
      <c r="Y118" s="2"/>
      <c r="Z118" s="2"/>
      <c r="AA118" s="2"/>
      <c r="AB118" s="2"/>
      <c r="AC118" s="2"/>
      <c r="AD118" s="50"/>
      <c r="AE118" s="50"/>
      <c r="AF118" s="50"/>
      <c r="AG118" s="64"/>
      <c r="AH118" s="4"/>
    </row>
    <row r="119" spans="1:34" ht="120.75" customHeight="1" x14ac:dyDescent="0.25">
      <c r="B119" s="215" t="s">
        <v>1</v>
      </c>
      <c r="C119" s="217" t="s">
        <v>56</v>
      </c>
      <c r="D119" s="209" t="s">
        <v>3</v>
      </c>
      <c r="E119" s="209" t="s">
        <v>4</v>
      </c>
      <c r="F119" s="209" t="s">
        <v>5</v>
      </c>
      <c r="G119" s="209" t="s">
        <v>6</v>
      </c>
      <c r="H119" s="209" t="s">
        <v>7</v>
      </c>
      <c r="I119" s="209" t="s">
        <v>8</v>
      </c>
      <c r="J119" s="209" t="s">
        <v>9</v>
      </c>
      <c r="K119" s="209" t="s">
        <v>57</v>
      </c>
      <c r="L119" s="22" t="s">
        <v>10</v>
      </c>
      <c r="M119" s="22" t="s">
        <v>10</v>
      </c>
      <c r="N119" s="22" t="s">
        <v>12</v>
      </c>
      <c r="O119" s="211" t="s">
        <v>13</v>
      </c>
      <c r="P119" s="212"/>
      <c r="Q119" s="213"/>
      <c r="R119" s="209" t="s">
        <v>14</v>
      </c>
      <c r="S119" s="225" t="s">
        <v>58</v>
      </c>
      <c r="T119" s="226"/>
      <c r="U119" s="226"/>
      <c r="V119" s="227"/>
      <c r="W119" s="207" t="s">
        <v>21</v>
      </c>
      <c r="X119" s="209" t="s">
        <v>9</v>
      </c>
      <c r="Y119" s="22" t="s">
        <v>242</v>
      </c>
      <c r="Z119" s="22" t="s">
        <v>243</v>
      </c>
      <c r="AA119" s="22" t="s">
        <v>156</v>
      </c>
      <c r="AB119" s="207" t="s">
        <v>59</v>
      </c>
      <c r="AC119" s="228" t="s">
        <v>18</v>
      </c>
      <c r="AD119" s="229"/>
      <c r="AE119" s="229"/>
      <c r="AF119" s="229"/>
      <c r="AG119" s="205" t="s">
        <v>19</v>
      </c>
      <c r="AH119" s="4"/>
    </row>
    <row r="120" spans="1:34" ht="51" x14ac:dyDescent="0.25">
      <c r="B120" s="216"/>
      <c r="C120" s="218"/>
      <c r="D120" s="210"/>
      <c r="E120" s="210"/>
      <c r="F120" s="210"/>
      <c r="G120" s="210"/>
      <c r="H120" s="210"/>
      <c r="I120" s="210"/>
      <c r="J120" s="210"/>
      <c r="K120" s="210"/>
      <c r="L120" s="22">
        <v>5.6</v>
      </c>
      <c r="M120" s="22">
        <v>5.6</v>
      </c>
      <c r="N120" s="22">
        <v>0.7</v>
      </c>
      <c r="O120" s="23">
        <v>0.8</v>
      </c>
      <c r="P120" s="24">
        <v>0.9</v>
      </c>
      <c r="Q120" s="28">
        <v>1</v>
      </c>
      <c r="R120" s="210"/>
      <c r="S120" s="29">
        <v>0.1</v>
      </c>
      <c r="T120" s="30">
        <v>0.2</v>
      </c>
      <c r="U120" s="30">
        <v>0.3</v>
      </c>
      <c r="V120" s="30">
        <v>0.1</v>
      </c>
      <c r="W120" s="208"/>
      <c r="X120" s="210"/>
      <c r="Y120" s="22">
        <v>10.4</v>
      </c>
      <c r="Z120" s="22">
        <v>5.6</v>
      </c>
      <c r="AA120" s="22">
        <v>7.3</v>
      </c>
      <c r="AB120" s="208"/>
      <c r="AC120" s="33" t="s">
        <v>20</v>
      </c>
      <c r="AD120" s="33" t="s">
        <v>21</v>
      </c>
      <c r="AE120" s="33" t="s">
        <v>22</v>
      </c>
      <c r="AF120" s="33" t="s">
        <v>23</v>
      </c>
      <c r="AG120" s="206"/>
      <c r="AH120" s="4"/>
    </row>
    <row r="121" spans="1:34" x14ac:dyDescent="0.25">
      <c r="B121" s="7"/>
      <c r="C121" s="8"/>
      <c r="D121" s="9">
        <v>0</v>
      </c>
      <c r="E121" s="9">
        <v>1</v>
      </c>
      <c r="F121" s="9">
        <v>2</v>
      </c>
      <c r="G121" s="9" t="s">
        <v>24</v>
      </c>
      <c r="H121" s="9" t="s">
        <v>25</v>
      </c>
      <c r="I121" s="9" t="s">
        <v>26</v>
      </c>
      <c r="J121" s="9" t="s">
        <v>27</v>
      </c>
      <c r="K121" s="25" t="s">
        <v>60</v>
      </c>
      <c r="L121" s="9" t="s">
        <v>61</v>
      </c>
      <c r="M121" s="9" t="s">
        <v>61</v>
      </c>
      <c r="N121" s="9" t="s">
        <v>62</v>
      </c>
      <c r="O121" s="9" t="s">
        <v>63</v>
      </c>
      <c r="P121" s="9" t="s">
        <v>63</v>
      </c>
      <c r="Q121" s="9" t="s">
        <v>63</v>
      </c>
      <c r="R121" s="9">
        <v>9</v>
      </c>
      <c r="S121" s="31" t="s">
        <v>161</v>
      </c>
      <c r="T121" s="31" t="s">
        <v>162</v>
      </c>
      <c r="U121" s="31" t="s">
        <v>163</v>
      </c>
      <c r="V121" s="31" t="s">
        <v>164</v>
      </c>
      <c r="W121" s="31" t="s">
        <v>64</v>
      </c>
      <c r="X121" s="9" t="s">
        <v>65</v>
      </c>
      <c r="Y121" s="9" t="s">
        <v>66</v>
      </c>
      <c r="Z121" s="9" t="s">
        <v>67</v>
      </c>
      <c r="AA121" s="9" t="s">
        <v>246</v>
      </c>
      <c r="AB121" s="9" t="s">
        <v>240</v>
      </c>
      <c r="AC121" s="9">
        <v>16</v>
      </c>
      <c r="AD121" s="31" t="s">
        <v>158</v>
      </c>
      <c r="AE121" s="31" t="s">
        <v>159</v>
      </c>
      <c r="AF121" s="31" t="s">
        <v>160</v>
      </c>
      <c r="AG121" s="9">
        <v>17</v>
      </c>
      <c r="AH121" s="4"/>
    </row>
    <row r="122" spans="1:34" ht="15" x14ac:dyDescent="0.25">
      <c r="A122" s="1" t="s">
        <v>205</v>
      </c>
      <c r="B122" s="7">
        <v>1</v>
      </c>
      <c r="C122" s="19" t="s">
        <v>109</v>
      </c>
      <c r="D122" s="123">
        <v>2</v>
      </c>
      <c r="E122" s="13">
        <v>98.2</v>
      </c>
      <c r="F122" s="128">
        <f>+E122*1157.17</f>
        <v>113634.09400000001</v>
      </c>
      <c r="G122" s="128">
        <f>+F122/60</f>
        <v>1893.9015666666669</v>
      </c>
      <c r="H122" s="128">
        <f>+F122*1.5%</f>
        <v>1704.5114100000001</v>
      </c>
      <c r="I122" s="128">
        <v>0</v>
      </c>
      <c r="J122" s="128">
        <f>+G122+H122+I122</f>
        <v>3598.412976666667</v>
      </c>
      <c r="K122" s="128">
        <f>+J122/12</f>
        <v>299.86774805555558</v>
      </c>
      <c r="L122" s="128"/>
      <c r="M122" s="128">
        <f>+J122*(100%+5.6%)</f>
        <v>3799.9241033600006</v>
      </c>
      <c r="N122" s="128">
        <f>+K122*N120</f>
        <v>209.9074236388889</v>
      </c>
      <c r="O122" s="128">
        <f>+N122*O120</f>
        <v>167.92593891111113</v>
      </c>
      <c r="P122" s="128">
        <f>+N122*P120</f>
        <v>188.916681275</v>
      </c>
      <c r="Q122" s="128">
        <f>+N122*Q120</f>
        <v>209.9074236388889</v>
      </c>
      <c r="R122" s="128">
        <v>1892.63</v>
      </c>
      <c r="S122" s="128">
        <f>R122*S120</f>
        <v>189.26300000000003</v>
      </c>
      <c r="T122" s="128">
        <v>0</v>
      </c>
      <c r="U122" s="128">
        <v>0</v>
      </c>
      <c r="V122" s="128">
        <v>0</v>
      </c>
      <c r="W122" s="128">
        <f>O122</f>
        <v>167.92593891111113</v>
      </c>
      <c r="X122" s="128">
        <f>W122*12+0.05</f>
        <v>2015.1612669333335</v>
      </c>
      <c r="Y122" s="128">
        <f>X122*(100+10.4)%</f>
        <v>2224.7380386944005</v>
      </c>
      <c r="Z122" s="128">
        <f>Y122*(100+5.6)%+0.01</f>
        <v>2349.3333688612875</v>
      </c>
      <c r="AA122" s="128">
        <f>Z122*(100+7.3)%</f>
        <v>2520.8347047881612</v>
      </c>
      <c r="AB122" s="128">
        <f>AA122/12</f>
        <v>210.06955873234676</v>
      </c>
      <c r="AC122" s="128">
        <f>K122</f>
        <v>299.86774805555558</v>
      </c>
      <c r="AD122" s="128">
        <f>S122</f>
        <v>189.26300000000003</v>
      </c>
      <c r="AE122" s="128">
        <f>G122/12</f>
        <v>157.82513055555557</v>
      </c>
      <c r="AF122" s="130">
        <f>AE122/AC122*100</f>
        <v>52.631578947368418</v>
      </c>
      <c r="AG122" s="142">
        <f>AD122*AF122%</f>
        <v>99.6121052631579</v>
      </c>
      <c r="AH122" s="4"/>
    </row>
    <row r="123" spans="1:34" x14ac:dyDescent="0.25">
      <c r="B123" s="7"/>
      <c r="C123" s="219" t="s">
        <v>77</v>
      </c>
      <c r="D123" s="219"/>
      <c r="E123" s="15">
        <v>98.2</v>
      </c>
      <c r="F123" s="148">
        <f>SUM(F122:F122)</f>
        <v>113634.09400000001</v>
      </c>
      <c r="G123" s="148">
        <f>SUM(G122:G122)</f>
        <v>1893.9015666666669</v>
      </c>
      <c r="H123" s="148">
        <f>SUM(H122:H122)</f>
        <v>1704.5114100000001</v>
      </c>
      <c r="I123" s="148">
        <f>+I122</f>
        <v>0</v>
      </c>
      <c r="J123" s="148">
        <f>SUM(J122:J122)</f>
        <v>3598.412976666667</v>
      </c>
      <c r="K123" s="148">
        <f>+K122</f>
        <v>299.86774805555558</v>
      </c>
      <c r="L123" s="148"/>
      <c r="M123" s="148">
        <f>SUM(M122:M122)</f>
        <v>3799.9241033600006</v>
      </c>
      <c r="N123" s="148">
        <f>+N122</f>
        <v>209.9074236388889</v>
      </c>
      <c r="O123" s="148">
        <f>+O122</f>
        <v>167.92593891111113</v>
      </c>
      <c r="P123" s="148">
        <f>+P122</f>
        <v>188.916681275</v>
      </c>
      <c r="Q123" s="148">
        <f>+Q122</f>
        <v>209.9074236388889</v>
      </c>
      <c r="R123" s="148"/>
      <c r="S123" s="148">
        <f>SUM(S122)</f>
        <v>189.26300000000003</v>
      </c>
      <c r="T123" s="148">
        <f t="shared" ref="T123:AG123" si="69">SUM(T122)</f>
        <v>0</v>
      </c>
      <c r="U123" s="148">
        <f t="shared" si="69"/>
        <v>0</v>
      </c>
      <c r="V123" s="148">
        <f t="shared" si="69"/>
        <v>0</v>
      </c>
      <c r="W123" s="148">
        <f t="shared" si="69"/>
        <v>167.92593891111113</v>
      </c>
      <c r="X123" s="148">
        <f t="shared" si="69"/>
        <v>2015.1612669333335</v>
      </c>
      <c r="Y123" s="148">
        <f t="shared" si="69"/>
        <v>2224.7380386944005</v>
      </c>
      <c r="Z123" s="148">
        <f t="shared" si="69"/>
        <v>2349.3333688612875</v>
      </c>
      <c r="AA123" s="148">
        <f t="shared" si="69"/>
        <v>2520.8347047881612</v>
      </c>
      <c r="AB123" s="148">
        <f t="shared" si="69"/>
        <v>210.06955873234676</v>
      </c>
      <c r="AC123" s="148">
        <f t="shared" si="69"/>
        <v>299.86774805555558</v>
      </c>
      <c r="AD123" s="148">
        <f t="shared" si="69"/>
        <v>189.26300000000003</v>
      </c>
      <c r="AE123" s="148">
        <f t="shared" si="69"/>
        <v>157.82513055555557</v>
      </c>
      <c r="AF123" s="148">
        <f t="shared" si="69"/>
        <v>52.631578947368418</v>
      </c>
      <c r="AG123" s="148">
        <f t="shared" si="69"/>
        <v>99.6121052631579</v>
      </c>
      <c r="AH123" s="4"/>
    </row>
    <row r="124" spans="1:34" x14ac:dyDescent="0.25">
      <c r="B124" s="4"/>
      <c r="C124" s="52"/>
      <c r="D124" s="5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"/>
    </row>
    <row r="125" spans="1:34" ht="12.95" customHeight="1" x14ac:dyDescent="0.25">
      <c r="B125" s="4"/>
      <c r="C125" s="223"/>
      <c r="D125" s="223"/>
      <c r="E125" s="223"/>
      <c r="F125" s="223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"/>
    </row>
    <row r="126" spans="1:34" ht="14.1" customHeight="1" x14ac:dyDescent="0.25">
      <c r="B126" s="4"/>
      <c r="C126" s="224" t="s">
        <v>101</v>
      </c>
      <c r="D126" s="224"/>
      <c r="E126" s="42"/>
      <c r="F126" s="42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"/>
    </row>
    <row r="127" spans="1:34" x14ac:dyDescent="0.25">
      <c r="B127" s="4"/>
      <c r="C127" s="4"/>
      <c r="D127" s="4"/>
      <c r="E127" s="4"/>
      <c r="F127" s="4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"/>
    </row>
    <row r="128" spans="1:34" ht="129.75" customHeight="1" x14ac:dyDescent="0.25">
      <c r="B128" s="215" t="s">
        <v>1</v>
      </c>
      <c r="C128" s="217" t="s">
        <v>56</v>
      </c>
      <c r="D128" s="209" t="s">
        <v>3</v>
      </c>
      <c r="E128" s="209" t="s">
        <v>4</v>
      </c>
      <c r="F128" s="209" t="s">
        <v>5</v>
      </c>
      <c r="G128" s="209" t="s">
        <v>6</v>
      </c>
      <c r="H128" s="209" t="s">
        <v>7</v>
      </c>
      <c r="I128" s="209" t="s">
        <v>8</v>
      </c>
      <c r="J128" s="209" t="s">
        <v>9</v>
      </c>
      <c r="K128" s="209" t="s">
        <v>57</v>
      </c>
      <c r="L128" s="22" t="s">
        <v>10</v>
      </c>
      <c r="M128" s="22" t="s">
        <v>10</v>
      </c>
      <c r="N128" s="22" t="s">
        <v>12</v>
      </c>
      <c r="O128" s="211" t="s">
        <v>13</v>
      </c>
      <c r="P128" s="212"/>
      <c r="Q128" s="213"/>
      <c r="R128" s="209" t="s">
        <v>14</v>
      </c>
      <c r="S128" s="225" t="s">
        <v>58</v>
      </c>
      <c r="T128" s="226"/>
      <c r="U128" s="226"/>
      <c r="V128" s="227"/>
      <c r="W128" s="207" t="s">
        <v>21</v>
      </c>
      <c r="X128" s="209" t="s">
        <v>9</v>
      </c>
      <c r="Y128" s="22" t="s">
        <v>242</v>
      </c>
      <c r="Z128" s="22" t="s">
        <v>243</v>
      </c>
      <c r="AA128" s="22" t="s">
        <v>156</v>
      </c>
      <c r="AB128" s="207" t="s">
        <v>59</v>
      </c>
      <c r="AC128" s="228" t="s">
        <v>18</v>
      </c>
      <c r="AD128" s="229"/>
      <c r="AE128" s="229"/>
      <c r="AF128" s="229"/>
      <c r="AG128" s="205" t="s">
        <v>19</v>
      </c>
      <c r="AH128" s="4"/>
    </row>
    <row r="129" spans="1:34" ht="51" x14ac:dyDescent="0.25">
      <c r="B129" s="216"/>
      <c r="C129" s="218"/>
      <c r="D129" s="210"/>
      <c r="E129" s="210"/>
      <c r="F129" s="210"/>
      <c r="G129" s="210"/>
      <c r="H129" s="210"/>
      <c r="I129" s="210"/>
      <c r="J129" s="210"/>
      <c r="K129" s="210"/>
      <c r="L129" s="22">
        <v>5.6</v>
      </c>
      <c r="M129" s="22">
        <v>5.6</v>
      </c>
      <c r="N129" s="22">
        <v>0.7</v>
      </c>
      <c r="O129" s="23">
        <v>0.8</v>
      </c>
      <c r="P129" s="24">
        <v>0.9</v>
      </c>
      <c r="Q129" s="28">
        <v>1</v>
      </c>
      <c r="R129" s="210"/>
      <c r="S129" s="29">
        <v>0.1</v>
      </c>
      <c r="T129" s="30">
        <v>0.2</v>
      </c>
      <c r="U129" s="30">
        <v>0.3</v>
      </c>
      <c r="V129" s="30">
        <v>0.1</v>
      </c>
      <c r="W129" s="208"/>
      <c r="X129" s="210"/>
      <c r="Y129" s="22">
        <v>10.4</v>
      </c>
      <c r="Z129" s="22">
        <v>5.6</v>
      </c>
      <c r="AA129" s="22">
        <v>7.3</v>
      </c>
      <c r="AB129" s="208"/>
      <c r="AC129" s="33" t="s">
        <v>20</v>
      </c>
      <c r="AD129" s="33" t="s">
        <v>21</v>
      </c>
      <c r="AE129" s="33" t="s">
        <v>22</v>
      </c>
      <c r="AF129" s="33" t="s">
        <v>23</v>
      </c>
      <c r="AG129" s="206"/>
      <c r="AH129" s="4"/>
    </row>
    <row r="130" spans="1:34" x14ac:dyDescent="0.25">
      <c r="B130" s="7"/>
      <c r="C130" s="8"/>
      <c r="D130" s="9">
        <v>0</v>
      </c>
      <c r="E130" s="9">
        <v>1</v>
      </c>
      <c r="F130" s="9">
        <v>2</v>
      </c>
      <c r="G130" s="9" t="s">
        <v>24</v>
      </c>
      <c r="H130" s="9" t="s">
        <v>25</v>
      </c>
      <c r="I130" s="9" t="s">
        <v>26</v>
      </c>
      <c r="J130" s="9" t="s">
        <v>27</v>
      </c>
      <c r="K130" s="25" t="s">
        <v>60</v>
      </c>
      <c r="L130" s="9" t="s">
        <v>61</v>
      </c>
      <c r="M130" s="9" t="s">
        <v>61</v>
      </c>
      <c r="N130" s="9" t="s">
        <v>62</v>
      </c>
      <c r="O130" s="9" t="s">
        <v>63</v>
      </c>
      <c r="P130" s="9" t="s">
        <v>63</v>
      </c>
      <c r="Q130" s="9" t="s">
        <v>63</v>
      </c>
      <c r="R130" s="9">
        <v>9</v>
      </c>
      <c r="S130" s="31" t="s">
        <v>161</v>
      </c>
      <c r="T130" s="31" t="s">
        <v>162</v>
      </c>
      <c r="U130" s="31" t="s">
        <v>163</v>
      </c>
      <c r="V130" s="31" t="s">
        <v>164</v>
      </c>
      <c r="W130" s="31" t="s">
        <v>64</v>
      </c>
      <c r="X130" s="9" t="s">
        <v>65</v>
      </c>
      <c r="Y130" s="9" t="s">
        <v>66</v>
      </c>
      <c r="Z130" s="9" t="s">
        <v>67</v>
      </c>
      <c r="AA130" s="9" t="s">
        <v>246</v>
      </c>
      <c r="AB130" s="9" t="s">
        <v>240</v>
      </c>
      <c r="AC130" s="9">
        <v>16</v>
      </c>
      <c r="AD130" s="31" t="s">
        <v>158</v>
      </c>
      <c r="AE130" s="31" t="s">
        <v>159</v>
      </c>
      <c r="AF130" s="31" t="s">
        <v>160</v>
      </c>
      <c r="AG130" s="9">
        <v>17</v>
      </c>
      <c r="AH130" s="4"/>
    </row>
    <row r="131" spans="1:34" ht="15" x14ac:dyDescent="0.25">
      <c r="A131" s="1" t="s">
        <v>206</v>
      </c>
      <c r="B131" s="7">
        <v>1</v>
      </c>
      <c r="C131" s="19" t="s">
        <v>103</v>
      </c>
      <c r="D131" s="11">
        <v>2</v>
      </c>
      <c r="E131" s="18">
        <v>97.35</v>
      </c>
      <c r="F131" s="128">
        <f>+E131*1157.17</f>
        <v>112650.49950000001</v>
      </c>
      <c r="G131" s="128">
        <f>+F131/60</f>
        <v>1877.508325</v>
      </c>
      <c r="H131" s="128">
        <f>+F131*1.5%</f>
        <v>1689.7574925000001</v>
      </c>
      <c r="I131" s="128">
        <f>+F131*0.5%</f>
        <v>563.2524975</v>
      </c>
      <c r="J131" s="128">
        <f>+G131+H131+I131</f>
        <v>4130.5183150000003</v>
      </c>
      <c r="K131" s="128">
        <f>+J131/12</f>
        <v>344.20985958333335</v>
      </c>
      <c r="L131" s="128"/>
      <c r="M131" s="128">
        <f>+J131*(100%+5.6%)</f>
        <v>4361.8273406400003</v>
      </c>
      <c r="N131" s="128">
        <f>+K131*N129</f>
        <v>240.94690170833334</v>
      </c>
      <c r="O131" s="128">
        <f>+N131*O129</f>
        <v>192.75752136666668</v>
      </c>
      <c r="P131" s="128">
        <f>+N131*P129</f>
        <v>216.85221153750001</v>
      </c>
      <c r="Q131" s="128">
        <f>+N131*Q129</f>
        <v>240.94690170833334</v>
      </c>
      <c r="R131" s="128">
        <v>2201.44</v>
      </c>
      <c r="S131" s="128">
        <f>R131*S129</f>
        <v>220.14400000000001</v>
      </c>
      <c r="T131" s="128">
        <v>0</v>
      </c>
      <c r="U131" s="128">
        <v>0</v>
      </c>
      <c r="V131" s="128">
        <v>0</v>
      </c>
      <c r="W131" s="128">
        <f>O131</f>
        <v>192.75752136666668</v>
      </c>
      <c r="X131" s="128">
        <f>W131*12+0.03</f>
        <v>2313.1202564000005</v>
      </c>
      <c r="Y131" s="128">
        <f>X131*(100+10.4)%</f>
        <v>2553.6847630656007</v>
      </c>
      <c r="Z131" s="128">
        <f>Y131*(100+5.6)%</f>
        <v>2696.6911097972743</v>
      </c>
      <c r="AA131" s="128">
        <f>Z131*(100+7.3)%</f>
        <v>2893.5495608124752</v>
      </c>
      <c r="AB131" s="128">
        <f>AA131/12</f>
        <v>241.12913006770626</v>
      </c>
      <c r="AC131" s="128">
        <f>K131</f>
        <v>344.20985958333335</v>
      </c>
      <c r="AD131" s="128">
        <f>S131</f>
        <v>220.14400000000001</v>
      </c>
      <c r="AE131" s="128">
        <f>G131/12</f>
        <v>156.45902708333332</v>
      </c>
      <c r="AF131" s="130">
        <f>AE131/AC131*100</f>
        <v>45.454545454545446</v>
      </c>
      <c r="AG131" s="131">
        <f>AD131*AF131%-0.02</f>
        <v>100.04545454545453</v>
      </c>
      <c r="AH131" s="4"/>
    </row>
    <row r="132" spans="1:34" ht="15" x14ac:dyDescent="0.25">
      <c r="A132" s="1" t="s">
        <v>207</v>
      </c>
      <c r="B132" s="7">
        <v>2</v>
      </c>
      <c r="C132" s="19" t="s">
        <v>99</v>
      </c>
      <c r="D132" s="11">
        <v>2</v>
      </c>
      <c r="E132" s="18">
        <v>99.24</v>
      </c>
      <c r="F132" s="128">
        <f>+E132*1157.17</f>
        <v>114837.5508</v>
      </c>
      <c r="G132" s="128">
        <f>+F132/60</f>
        <v>1913.9591800000001</v>
      </c>
      <c r="H132" s="128">
        <f>+F132*1.5%</f>
        <v>1722.5632619999999</v>
      </c>
      <c r="I132" s="128">
        <f>+F132*0.5%</f>
        <v>574.18775400000004</v>
      </c>
      <c r="J132" s="128">
        <f>+G132+H132+I132</f>
        <v>4210.710196</v>
      </c>
      <c r="K132" s="128">
        <f>+J132/12</f>
        <v>350.89251633333333</v>
      </c>
      <c r="L132" s="128"/>
      <c r="M132" s="128">
        <f>+J132*(100%+5.6%)</f>
        <v>4446.5099669760002</v>
      </c>
      <c r="N132" s="128">
        <f>+K132*N129</f>
        <v>245.6247614333333</v>
      </c>
      <c r="O132" s="128">
        <f>+N132*O129</f>
        <v>196.49980914666665</v>
      </c>
      <c r="P132" s="128">
        <f>+N132*P129</f>
        <v>221.06228528999998</v>
      </c>
      <c r="Q132" s="128">
        <f>+N132*Q129</f>
        <v>245.6247614333333</v>
      </c>
      <c r="R132" s="128">
        <v>4519.71</v>
      </c>
      <c r="S132" s="128">
        <v>0</v>
      </c>
      <c r="T132" s="128">
        <v>0</v>
      </c>
      <c r="U132" s="128">
        <f>R132*U129</f>
        <v>1355.913</v>
      </c>
      <c r="V132" s="128">
        <v>0</v>
      </c>
      <c r="W132" s="128">
        <f>P132</f>
        <v>221.06228528999998</v>
      </c>
      <c r="X132" s="128">
        <f>W132*12-0.03</f>
        <v>2652.7174234799995</v>
      </c>
      <c r="Y132" s="128">
        <f>X132*(100+10.4)%</f>
        <v>2928.6000355219198</v>
      </c>
      <c r="Z132" s="128">
        <f>Y132*(100+5.6)%</f>
        <v>3092.6016375111476</v>
      </c>
      <c r="AA132" s="128">
        <f>Z132*(100+7.3)%</f>
        <v>3318.3615570494612</v>
      </c>
      <c r="AB132" s="128">
        <f>AA132/12</f>
        <v>276.53012975412179</v>
      </c>
      <c r="AC132" s="128">
        <f t="shared" ref="AC132:AC133" si="70">K132</f>
        <v>350.89251633333333</v>
      </c>
      <c r="AD132" s="128">
        <f>AB132</f>
        <v>276.53012975412179</v>
      </c>
      <c r="AE132" s="128">
        <f t="shared" ref="AE132:AE133" si="71">G132/12</f>
        <v>159.49659833333334</v>
      </c>
      <c r="AF132" s="130">
        <f t="shared" ref="AF132:AF133" si="72">AE132/AC132*100</f>
        <v>45.45454545454546</v>
      </c>
      <c r="AG132" s="131">
        <f>AD132*AF132%-0.02</f>
        <v>125.67551352460083</v>
      </c>
      <c r="AH132" s="4"/>
    </row>
    <row r="133" spans="1:34" ht="15" x14ac:dyDescent="0.25">
      <c r="A133" s="1" t="s">
        <v>208</v>
      </c>
      <c r="B133" s="7">
        <v>3</v>
      </c>
      <c r="C133" s="19" t="s">
        <v>110</v>
      </c>
      <c r="D133" s="11">
        <v>2</v>
      </c>
      <c r="E133" s="18">
        <v>97.85</v>
      </c>
      <c r="F133" s="128">
        <f>+E133*1157.17</f>
        <v>113229.0845</v>
      </c>
      <c r="G133" s="128">
        <f>+F133/60</f>
        <v>1887.1514083333334</v>
      </c>
      <c r="H133" s="128">
        <f>+F133*1.5%</f>
        <v>1698.4362675</v>
      </c>
      <c r="I133" s="128">
        <f>+F133*0.5%</f>
        <v>566.1454225</v>
      </c>
      <c r="J133" s="128">
        <f>G133+H133+I133+0.01</f>
        <v>4151.7430983333334</v>
      </c>
      <c r="K133" s="128">
        <f>+J133/12</f>
        <v>345.97859152777778</v>
      </c>
      <c r="L133" s="128"/>
      <c r="M133" s="128">
        <f>+J133*(100%+5.6%)</f>
        <v>4384.2407118400006</v>
      </c>
      <c r="N133" s="128">
        <f>K133*N129</f>
        <v>242.18501406944443</v>
      </c>
      <c r="O133" s="128">
        <f>+N133*O129</f>
        <v>193.74801125555555</v>
      </c>
      <c r="P133" s="128">
        <f>+N133*P129</f>
        <v>217.96651266250001</v>
      </c>
      <c r="Q133" s="128">
        <f>+N133*Q129</f>
        <v>242.18501406944443</v>
      </c>
      <c r="R133" s="139" t="s">
        <v>250</v>
      </c>
      <c r="S133" s="139">
        <v>0</v>
      </c>
      <c r="T133" s="139">
        <v>0</v>
      </c>
      <c r="U133" s="139">
        <v>0</v>
      </c>
      <c r="V133" s="139">
        <v>0</v>
      </c>
      <c r="W133" s="139">
        <f>N133</f>
        <v>242.18501406944443</v>
      </c>
      <c r="X133" s="139">
        <f>W133*12</f>
        <v>2906.2201688333334</v>
      </c>
      <c r="Y133" s="139">
        <f>X133*(100+10.4)%</f>
        <v>3208.4670663920006</v>
      </c>
      <c r="Z133" s="139">
        <f>Y133*(100+5.6)%</f>
        <v>3388.1412221099527</v>
      </c>
      <c r="AA133" s="139">
        <f>Z133*(100+7.3)%</f>
        <v>3635.4755313239789</v>
      </c>
      <c r="AB133" s="139">
        <f>AA133/12</f>
        <v>302.95629427699822</v>
      </c>
      <c r="AC133" s="139">
        <f t="shared" si="70"/>
        <v>345.97859152777778</v>
      </c>
      <c r="AD133" s="139">
        <f>AB133</f>
        <v>302.95629427699822</v>
      </c>
      <c r="AE133" s="139">
        <f t="shared" si="71"/>
        <v>157.26261736111113</v>
      </c>
      <c r="AF133" s="141">
        <f t="shared" si="72"/>
        <v>45.454435971505738</v>
      </c>
      <c r="AG133" s="142">
        <f>AD133*AF133%-0.01</f>
        <v>137.69707480378466</v>
      </c>
      <c r="AH133" s="4"/>
    </row>
    <row r="134" spans="1:34" x14ac:dyDescent="0.25">
      <c r="B134" s="7"/>
      <c r="C134" s="219" t="s">
        <v>77</v>
      </c>
      <c r="D134" s="219"/>
      <c r="E134" s="15">
        <f t="shared" ref="E134:K134" si="73">SUM(E131:E133)</f>
        <v>294.43999999999994</v>
      </c>
      <c r="F134" s="148">
        <f t="shared" si="73"/>
        <v>340717.1348</v>
      </c>
      <c r="G134" s="148">
        <f t="shared" si="73"/>
        <v>5678.6189133333337</v>
      </c>
      <c r="H134" s="148">
        <f t="shared" si="73"/>
        <v>5110.7570219999998</v>
      </c>
      <c r="I134" s="148">
        <f t="shared" si="73"/>
        <v>1703.5856740000002</v>
      </c>
      <c r="J134" s="148">
        <f t="shared" si="73"/>
        <v>12492.971609333334</v>
      </c>
      <c r="K134" s="148">
        <f t="shared" si="73"/>
        <v>1041.0809674444445</v>
      </c>
      <c r="L134" s="148"/>
      <c r="M134" s="148">
        <f>SUM(M131:M133)</f>
        <v>13192.578019456001</v>
      </c>
      <c r="N134" s="148">
        <f>SUM(N131:N133)</f>
        <v>728.75667721111108</v>
      </c>
      <c r="O134" s="148">
        <f>SUM(O131:O133)</f>
        <v>583.00534176888891</v>
      </c>
      <c r="P134" s="148">
        <f>SUM(P131:P133)</f>
        <v>655.88100949</v>
      </c>
      <c r="Q134" s="148">
        <f>SUM(Q131:Q133)</f>
        <v>728.75667721111108</v>
      </c>
      <c r="R134" s="148"/>
      <c r="S134" s="148">
        <f>SUM(S131:S133)</f>
        <v>220.14400000000001</v>
      </c>
      <c r="T134" s="148">
        <f t="shared" ref="T134:AE134" si="74">SUM(T131:T133)</f>
        <v>0</v>
      </c>
      <c r="U134" s="148">
        <f t="shared" si="74"/>
        <v>1355.913</v>
      </c>
      <c r="V134" s="148">
        <f t="shared" si="74"/>
        <v>0</v>
      </c>
      <c r="W134" s="148">
        <f>SUM(W131:W133)+0.01</f>
        <v>656.01482072611111</v>
      </c>
      <c r="X134" s="148">
        <f t="shared" si="74"/>
        <v>7872.0578487133334</v>
      </c>
      <c r="Y134" s="148">
        <f t="shared" si="74"/>
        <v>8690.7518649795202</v>
      </c>
      <c r="Z134" s="148">
        <f t="shared" si="74"/>
        <v>9177.4339694183745</v>
      </c>
      <c r="AA134" s="148">
        <f t="shared" si="74"/>
        <v>9847.3866491859153</v>
      </c>
      <c r="AB134" s="148">
        <f t="shared" si="74"/>
        <v>820.61555409882635</v>
      </c>
      <c r="AC134" s="148">
        <f t="shared" si="74"/>
        <v>1041.0809674444445</v>
      </c>
      <c r="AD134" s="148">
        <f t="shared" si="74"/>
        <v>799.63042403112001</v>
      </c>
      <c r="AE134" s="148">
        <f t="shared" si="74"/>
        <v>473.21824277777773</v>
      </c>
      <c r="AF134" s="148">
        <f>SUM(AF131:AF133)-0.01</f>
        <v>136.35352688059666</v>
      </c>
      <c r="AG134" s="148">
        <f>SUM(AG131:AG133)+0.01</f>
        <v>363.42804287384001</v>
      </c>
      <c r="AH134" s="4"/>
    </row>
    <row r="135" spans="1:34" x14ac:dyDescent="0.25">
      <c r="B135" s="127"/>
      <c r="C135" s="52"/>
      <c r="D135" s="52"/>
      <c r="E135" s="41"/>
      <c r="F135" s="41"/>
      <c r="G135" s="41"/>
      <c r="H135" s="41"/>
      <c r="I135" s="56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"/>
    </row>
    <row r="136" spans="1:34" x14ac:dyDescent="0.25">
      <c r="B136" s="127"/>
      <c r="C136" s="52"/>
      <c r="D136" s="52"/>
      <c r="E136" s="41"/>
      <c r="F136" s="41"/>
      <c r="G136" s="41"/>
      <c r="H136" s="41"/>
      <c r="I136" s="56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"/>
    </row>
    <row r="137" spans="1:34" x14ac:dyDescent="0.25">
      <c r="B137" s="127"/>
      <c r="C137" s="52"/>
      <c r="D137" s="52"/>
      <c r="E137" s="41"/>
      <c r="F137" s="41"/>
      <c r="G137" s="41"/>
      <c r="H137" s="41"/>
      <c r="I137" s="56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"/>
    </row>
    <row r="138" spans="1:34" x14ac:dyDescent="0.25">
      <c r="B138" s="127"/>
      <c r="C138" s="52"/>
      <c r="D138" s="52"/>
      <c r="E138" s="41"/>
      <c r="F138" s="41"/>
      <c r="G138" s="41"/>
      <c r="H138" s="41"/>
      <c r="I138" s="56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"/>
    </row>
    <row r="139" spans="1:34" x14ac:dyDescent="0.25">
      <c r="B139" s="4"/>
      <c r="C139" s="52"/>
      <c r="D139" s="5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"/>
    </row>
    <row r="140" spans="1:34" ht="20.25" x14ac:dyDescent="0.25">
      <c r="B140" s="4"/>
      <c r="C140" s="223" t="s">
        <v>111</v>
      </c>
      <c r="D140" s="223"/>
      <c r="E140" s="223"/>
      <c r="F140" s="223"/>
      <c r="G140" s="22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3"/>
      <c r="X140" s="4"/>
      <c r="Y140" s="4"/>
      <c r="Z140" s="4"/>
      <c r="AA140" s="4"/>
      <c r="AB140" s="4"/>
      <c r="AC140" s="4"/>
      <c r="AD140" s="4"/>
      <c r="AE140" s="4"/>
      <c r="AF140" s="4"/>
      <c r="AG140" s="3"/>
      <c r="AH140" s="4"/>
    </row>
    <row r="141" spans="1:34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25">
      <c r="B142" s="4"/>
      <c r="C142" s="231" t="s">
        <v>0</v>
      </c>
      <c r="D142" s="23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19.25" customHeight="1" x14ac:dyDescent="0.25">
      <c r="B144" s="215" t="s">
        <v>1</v>
      </c>
      <c r="C144" s="217" t="s">
        <v>56</v>
      </c>
      <c r="D144" s="209" t="s">
        <v>3</v>
      </c>
      <c r="E144" s="209" t="s">
        <v>4</v>
      </c>
      <c r="F144" s="209" t="s">
        <v>5</v>
      </c>
      <c r="G144" s="209" t="s">
        <v>6</v>
      </c>
      <c r="H144" s="209" t="s">
        <v>7</v>
      </c>
      <c r="I144" s="209" t="s">
        <v>8</v>
      </c>
      <c r="J144" s="209" t="s">
        <v>9</v>
      </c>
      <c r="K144" s="209" t="s">
        <v>57</v>
      </c>
      <c r="L144" s="22" t="s">
        <v>10</v>
      </c>
      <c r="M144" s="22" t="s">
        <v>10</v>
      </c>
      <c r="N144" s="22" t="s">
        <v>12</v>
      </c>
      <c r="O144" s="211" t="s">
        <v>13</v>
      </c>
      <c r="P144" s="212"/>
      <c r="Q144" s="213"/>
      <c r="R144" s="209" t="s">
        <v>14</v>
      </c>
      <c r="S144" s="225" t="s">
        <v>58</v>
      </c>
      <c r="T144" s="226"/>
      <c r="U144" s="226"/>
      <c r="V144" s="227"/>
      <c r="W144" s="207" t="s">
        <v>21</v>
      </c>
      <c r="X144" s="209" t="s">
        <v>9</v>
      </c>
      <c r="Y144" s="22" t="s">
        <v>242</v>
      </c>
      <c r="Z144" s="22" t="s">
        <v>243</v>
      </c>
      <c r="AA144" s="22" t="s">
        <v>156</v>
      </c>
      <c r="AB144" s="207" t="s">
        <v>59</v>
      </c>
      <c r="AC144" s="228" t="s">
        <v>18</v>
      </c>
      <c r="AD144" s="229"/>
      <c r="AE144" s="229"/>
      <c r="AF144" s="229"/>
      <c r="AG144" s="205" t="s">
        <v>19</v>
      </c>
      <c r="AH144" s="4"/>
    </row>
    <row r="145" spans="1:34" ht="51" x14ac:dyDescent="0.25">
      <c r="B145" s="216"/>
      <c r="C145" s="218"/>
      <c r="D145" s="210"/>
      <c r="E145" s="210"/>
      <c r="F145" s="210"/>
      <c r="G145" s="210"/>
      <c r="H145" s="210"/>
      <c r="I145" s="210"/>
      <c r="J145" s="210"/>
      <c r="K145" s="210"/>
      <c r="L145" s="22">
        <v>5.6</v>
      </c>
      <c r="M145" s="22">
        <v>5.6</v>
      </c>
      <c r="N145" s="22">
        <v>0.7</v>
      </c>
      <c r="O145" s="23">
        <v>0.8</v>
      </c>
      <c r="P145" s="24">
        <v>0.9</v>
      </c>
      <c r="Q145" s="28">
        <v>1</v>
      </c>
      <c r="R145" s="210"/>
      <c r="S145" s="29">
        <v>0.1</v>
      </c>
      <c r="T145" s="30">
        <v>0.2</v>
      </c>
      <c r="U145" s="30">
        <v>0.3</v>
      </c>
      <c r="V145" s="30">
        <v>0.1</v>
      </c>
      <c r="W145" s="208"/>
      <c r="X145" s="210"/>
      <c r="Y145" s="22">
        <v>10.4</v>
      </c>
      <c r="Z145" s="22">
        <v>5.6</v>
      </c>
      <c r="AA145" s="22">
        <v>7.3</v>
      </c>
      <c r="AB145" s="208"/>
      <c r="AC145" s="33" t="s">
        <v>20</v>
      </c>
      <c r="AD145" s="33" t="s">
        <v>21</v>
      </c>
      <c r="AE145" s="33" t="s">
        <v>22</v>
      </c>
      <c r="AF145" s="33" t="s">
        <v>23</v>
      </c>
      <c r="AG145" s="206"/>
      <c r="AH145" s="4"/>
    </row>
    <row r="146" spans="1:34" x14ac:dyDescent="0.25">
      <c r="B146" s="7"/>
      <c r="C146" s="8"/>
      <c r="D146" s="9">
        <v>0</v>
      </c>
      <c r="E146" s="9">
        <v>1</v>
      </c>
      <c r="F146" s="9">
        <v>2</v>
      </c>
      <c r="G146" s="9" t="s">
        <v>24</v>
      </c>
      <c r="H146" s="9" t="s">
        <v>25</v>
      </c>
      <c r="I146" s="9" t="s">
        <v>26</v>
      </c>
      <c r="J146" s="9" t="s">
        <v>27</v>
      </c>
      <c r="K146" s="25" t="s">
        <v>60</v>
      </c>
      <c r="L146" s="9" t="s">
        <v>61</v>
      </c>
      <c r="M146" s="9" t="s">
        <v>61</v>
      </c>
      <c r="N146" s="9" t="s">
        <v>62</v>
      </c>
      <c r="O146" s="9" t="s">
        <v>63</v>
      </c>
      <c r="P146" s="9" t="s">
        <v>63</v>
      </c>
      <c r="Q146" s="9" t="s">
        <v>63</v>
      </c>
      <c r="R146" s="9">
        <v>9</v>
      </c>
      <c r="S146" s="31" t="s">
        <v>161</v>
      </c>
      <c r="T146" s="31" t="s">
        <v>162</v>
      </c>
      <c r="U146" s="31" t="s">
        <v>163</v>
      </c>
      <c r="V146" s="31" t="s">
        <v>164</v>
      </c>
      <c r="W146" s="31" t="s">
        <v>64</v>
      </c>
      <c r="X146" s="9" t="s">
        <v>65</v>
      </c>
      <c r="Y146" s="9" t="s">
        <v>66</v>
      </c>
      <c r="Z146" s="9" t="s">
        <v>67</v>
      </c>
      <c r="AA146" s="9" t="s">
        <v>246</v>
      </c>
      <c r="AB146" s="9" t="s">
        <v>240</v>
      </c>
      <c r="AC146" s="9">
        <v>16</v>
      </c>
      <c r="AD146" s="31" t="s">
        <v>158</v>
      </c>
      <c r="AE146" s="31" t="s">
        <v>159</v>
      </c>
      <c r="AF146" s="31" t="s">
        <v>160</v>
      </c>
      <c r="AG146" s="9">
        <v>17</v>
      </c>
      <c r="AH146" s="51"/>
    </row>
    <row r="147" spans="1:34" x14ac:dyDescent="0.25">
      <c r="A147" s="1" t="s">
        <v>209</v>
      </c>
      <c r="B147" s="10">
        <v>1</v>
      </c>
      <c r="C147" s="19" t="s">
        <v>112</v>
      </c>
      <c r="D147" s="11">
        <v>2</v>
      </c>
      <c r="E147" s="19">
        <v>100.03</v>
      </c>
      <c r="F147" s="128">
        <f>+E147*1193.74</f>
        <v>119409.8122</v>
      </c>
      <c r="G147" s="128">
        <f>+F147/60</f>
        <v>1990.1635366666667</v>
      </c>
      <c r="H147" s="128">
        <f>+F147*1.5%</f>
        <v>1791.147183</v>
      </c>
      <c r="I147" s="128">
        <f>F147*0%</f>
        <v>0</v>
      </c>
      <c r="J147" s="128">
        <f>+G147+H147</f>
        <v>3781.310719666667</v>
      </c>
      <c r="K147" s="128">
        <f>+J147/12</f>
        <v>315.10922663888891</v>
      </c>
      <c r="L147" s="128"/>
      <c r="M147" s="128">
        <f>J147*(100%+5.6%)</f>
        <v>3993.0641199680003</v>
      </c>
      <c r="N147" s="128">
        <f>+K147*N145</f>
        <v>220.57645864722224</v>
      </c>
      <c r="O147" s="128">
        <f>+N147*O145</f>
        <v>176.4611669177778</v>
      </c>
      <c r="P147" s="128">
        <f>+N147*P145</f>
        <v>198.51881278250002</v>
      </c>
      <c r="Q147" s="128">
        <f>+N147*Q145</f>
        <v>220.57645864722224</v>
      </c>
      <c r="R147" s="128">
        <v>776.44</v>
      </c>
      <c r="S147" s="128">
        <f>R147*S145</f>
        <v>77.644000000000005</v>
      </c>
      <c r="T147" s="128">
        <v>0</v>
      </c>
      <c r="U147" s="128">
        <v>0</v>
      </c>
      <c r="V147" s="128">
        <v>0</v>
      </c>
      <c r="W147" s="128">
        <f>O147</f>
        <v>176.4611669177778</v>
      </c>
      <c r="X147" s="128">
        <f>W147*12-0.01</f>
        <v>2117.5240030133336</v>
      </c>
      <c r="Y147" s="128">
        <f>X147*(100%+10.4%)-0.01</f>
        <v>2337.7364993267201</v>
      </c>
      <c r="Z147" s="128">
        <f>Y147*(100%+5.6%)</f>
        <v>2468.6497432890164</v>
      </c>
      <c r="AA147" s="128">
        <f>Z147*107.3%</f>
        <v>2648.8611745491144</v>
      </c>
      <c r="AB147" s="128">
        <f>AA147/12</f>
        <v>220.73843121242621</v>
      </c>
      <c r="AC147" s="128">
        <f>K147</f>
        <v>315.10922663888891</v>
      </c>
      <c r="AD147" s="128">
        <v>73</v>
      </c>
      <c r="AE147" s="128">
        <f>G147/12</f>
        <v>165.8469613888889</v>
      </c>
      <c r="AF147" s="130">
        <f>AE147/AC147*100</f>
        <v>52.631578947368418</v>
      </c>
      <c r="AG147" s="131">
        <f>AD147*AF147%</f>
        <v>38.421052631578945</v>
      </c>
      <c r="AH147" s="51"/>
    </row>
    <row r="148" spans="1:34" x14ac:dyDescent="0.25">
      <c r="A148" s="1" t="s">
        <v>210</v>
      </c>
      <c r="B148" s="10">
        <v>2</v>
      </c>
      <c r="C148" s="19" t="s">
        <v>113</v>
      </c>
      <c r="D148" s="11">
        <v>2</v>
      </c>
      <c r="E148" s="19">
        <v>98.27</v>
      </c>
      <c r="F148" s="128">
        <f>+E148*1193.74</f>
        <v>117308.82979999999</v>
      </c>
      <c r="G148" s="128">
        <f>+F148/60</f>
        <v>1955.1471633333333</v>
      </c>
      <c r="H148" s="128">
        <f>+F148*1.5%</f>
        <v>1759.6324469999997</v>
      </c>
      <c r="I148" s="128">
        <v>0</v>
      </c>
      <c r="J148" s="128">
        <f>+G148+H148</f>
        <v>3714.779610333333</v>
      </c>
      <c r="K148" s="128">
        <f>+J148/12</f>
        <v>309.56496752777775</v>
      </c>
      <c r="L148" s="128"/>
      <c r="M148" s="128">
        <f>J148*(100%+5.6%)</f>
        <v>3922.8072685120001</v>
      </c>
      <c r="N148" s="128">
        <f>+K148*N145</f>
        <v>216.69547726944441</v>
      </c>
      <c r="O148" s="128">
        <f>+N148*O145</f>
        <v>173.35638181555555</v>
      </c>
      <c r="P148" s="128">
        <f>+N148*P145</f>
        <v>195.02592954249997</v>
      </c>
      <c r="Q148" s="128">
        <f>+N148*Q145</f>
        <v>216.69547726944441</v>
      </c>
      <c r="R148" s="128">
        <v>561.44000000000005</v>
      </c>
      <c r="S148" s="128">
        <f>R148*S145</f>
        <v>56.144000000000005</v>
      </c>
      <c r="T148" s="128">
        <v>0</v>
      </c>
      <c r="U148" s="128">
        <v>0</v>
      </c>
      <c r="V148" s="128">
        <v>0</v>
      </c>
      <c r="W148" s="128">
        <f>O148</f>
        <v>173.35638181555555</v>
      </c>
      <c r="X148" s="128">
        <f>W148*12+0.04</f>
        <v>2080.3165817866666</v>
      </c>
      <c r="Y148" s="128">
        <f>X148*(100%+10.4%)</f>
        <v>2296.66950629248</v>
      </c>
      <c r="Z148" s="128">
        <f>Y148*(100%+5.6%)</f>
        <v>2425.2829986448592</v>
      </c>
      <c r="AA148" s="128">
        <f>Z148*(100%+7.3%)</f>
        <v>2602.3286575459338</v>
      </c>
      <c r="AB148" s="128">
        <f>AA148/12</f>
        <v>216.86072146216114</v>
      </c>
      <c r="AC148" s="128">
        <f>K148</f>
        <v>309.56496752777775</v>
      </c>
      <c r="AD148" s="128">
        <v>73</v>
      </c>
      <c r="AE148" s="128">
        <f>G148/12</f>
        <v>162.92893027777777</v>
      </c>
      <c r="AF148" s="130">
        <f>AE148/AC148*100</f>
        <v>52.631578947368418</v>
      </c>
      <c r="AG148" s="131">
        <f>AD148*AF148%</f>
        <v>38.421052631578945</v>
      </c>
      <c r="AH148" s="51"/>
    </row>
    <row r="149" spans="1:34" x14ac:dyDescent="0.25">
      <c r="B149" s="7"/>
      <c r="C149" s="230" t="s">
        <v>77</v>
      </c>
      <c r="D149" s="230"/>
      <c r="E149" s="38">
        <f>+E148+E147</f>
        <v>198.3</v>
      </c>
      <c r="F149" s="148">
        <f>SUM(F147:F148)</f>
        <v>236718.64199999999</v>
      </c>
      <c r="G149" s="148">
        <f>SUM(G147:G148)</f>
        <v>3945.3107</v>
      </c>
      <c r="H149" s="148">
        <f>SUM(H147:H148)</f>
        <v>3550.77963</v>
      </c>
      <c r="I149" s="148">
        <f>+I147</f>
        <v>0</v>
      </c>
      <c r="J149" s="148">
        <f>SUM(J147:J148)</f>
        <v>7496.09033</v>
      </c>
      <c r="K149" s="148">
        <f>SUM(K147:K148)</f>
        <v>624.67419416666667</v>
      </c>
      <c r="L149" s="148"/>
      <c r="M149" s="148">
        <f>SUM(M147:M148)</f>
        <v>7915.87138848</v>
      </c>
      <c r="N149" s="148">
        <f>SUM(N147:N148)+0.01</f>
        <v>437.28193591666661</v>
      </c>
      <c r="O149" s="148">
        <f>SUM(O147:O148)</f>
        <v>349.81754873333335</v>
      </c>
      <c r="P149" s="148">
        <f>SUM(P147:P148)+0.01</f>
        <v>393.55474232500001</v>
      </c>
      <c r="Q149" s="148">
        <f>SUM(Q147:Q148)+0.01</f>
        <v>437.28193591666661</v>
      </c>
      <c r="R149" s="148"/>
      <c r="S149" s="148">
        <f>SUM(S147:S148)-0.01</f>
        <v>133.77800000000002</v>
      </c>
      <c r="T149" s="148">
        <f t="shared" ref="T149:AG149" si="75">SUM(T147:T148)</f>
        <v>0</v>
      </c>
      <c r="U149" s="148">
        <f t="shared" si="75"/>
        <v>0</v>
      </c>
      <c r="V149" s="148">
        <f t="shared" si="75"/>
        <v>0</v>
      </c>
      <c r="W149" s="148">
        <f t="shared" si="75"/>
        <v>349.81754873333335</v>
      </c>
      <c r="X149" s="148">
        <f t="shared" si="75"/>
        <v>4197.8405848000002</v>
      </c>
      <c r="Y149" s="148">
        <f t="shared" si="75"/>
        <v>4634.4060056192002</v>
      </c>
      <c r="Z149" s="148">
        <f>SUM(Z147:Z148)</f>
        <v>4893.9327419338751</v>
      </c>
      <c r="AA149" s="148">
        <f t="shared" si="75"/>
        <v>5251.1898320950477</v>
      </c>
      <c r="AB149" s="148">
        <f t="shared" si="75"/>
        <v>437.59915267458734</v>
      </c>
      <c r="AC149" s="148">
        <f t="shared" si="75"/>
        <v>624.67419416666667</v>
      </c>
      <c r="AD149" s="148">
        <f t="shared" si="75"/>
        <v>146</v>
      </c>
      <c r="AE149" s="148">
        <f t="shared" si="75"/>
        <v>328.77589166666667</v>
      </c>
      <c r="AF149" s="148">
        <f t="shared" si="75"/>
        <v>105.26315789473684</v>
      </c>
      <c r="AG149" s="148">
        <f t="shared" si="75"/>
        <v>76.84210526315789</v>
      </c>
      <c r="AH149" s="51"/>
    </row>
    <row r="150" spans="1:34" x14ac:dyDescent="0.25">
      <c r="B150" s="4"/>
      <c r="C150" s="54"/>
      <c r="D150" s="54"/>
      <c r="E150" s="55"/>
      <c r="F150" s="55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51"/>
    </row>
    <row r="151" spans="1:34" ht="20.25" x14ac:dyDescent="0.25">
      <c r="B151" s="4"/>
      <c r="C151" s="224" t="s">
        <v>101</v>
      </c>
      <c r="D151" s="224"/>
      <c r="E151" s="42"/>
      <c r="F151" s="42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"/>
    </row>
    <row r="152" spans="1:34" ht="15.95" customHeight="1" x14ac:dyDescent="0.25">
      <c r="B152" s="16"/>
      <c r="C152" s="50"/>
      <c r="D152" s="57"/>
      <c r="E152" s="57"/>
      <c r="F152" s="57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61"/>
      <c r="T152" s="61"/>
      <c r="U152" s="61"/>
      <c r="V152" s="61"/>
      <c r="W152" s="62"/>
      <c r="X152" s="48"/>
      <c r="Y152" s="48"/>
      <c r="Z152" s="48"/>
      <c r="AA152" s="48"/>
      <c r="AB152" s="48"/>
      <c r="AC152" s="48"/>
      <c r="AD152" s="48"/>
      <c r="AE152" s="48"/>
      <c r="AF152" s="48"/>
      <c r="AG152" s="49"/>
      <c r="AH152" s="4"/>
    </row>
    <row r="153" spans="1:34" ht="116.1" customHeight="1" x14ac:dyDescent="0.25">
      <c r="B153" s="215" t="s">
        <v>1</v>
      </c>
      <c r="C153" s="217" t="s">
        <v>56</v>
      </c>
      <c r="D153" s="209" t="s">
        <v>3</v>
      </c>
      <c r="E153" s="209" t="s">
        <v>4</v>
      </c>
      <c r="F153" s="209" t="s">
        <v>5</v>
      </c>
      <c r="G153" s="209" t="s">
        <v>6</v>
      </c>
      <c r="H153" s="209" t="s">
        <v>7</v>
      </c>
      <c r="I153" s="209" t="s">
        <v>8</v>
      </c>
      <c r="J153" s="209" t="s">
        <v>9</v>
      </c>
      <c r="K153" s="209" t="s">
        <v>57</v>
      </c>
      <c r="L153" s="22" t="s">
        <v>10</v>
      </c>
      <c r="M153" s="22" t="s">
        <v>10</v>
      </c>
      <c r="N153" s="22" t="s">
        <v>12</v>
      </c>
      <c r="O153" s="211" t="s">
        <v>13</v>
      </c>
      <c r="P153" s="212"/>
      <c r="Q153" s="213"/>
      <c r="R153" s="209" t="s">
        <v>14</v>
      </c>
      <c r="S153" s="225" t="s">
        <v>58</v>
      </c>
      <c r="T153" s="226"/>
      <c r="U153" s="226"/>
      <c r="V153" s="227"/>
      <c r="W153" s="207" t="s">
        <v>21</v>
      </c>
      <c r="X153" s="209" t="s">
        <v>9</v>
      </c>
      <c r="Y153" s="22" t="s">
        <v>242</v>
      </c>
      <c r="Z153" s="22" t="s">
        <v>243</v>
      </c>
      <c r="AA153" s="22" t="s">
        <v>156</v>
      </c>
      <c r="AB153" s="207" t="s">
        <v>59</v>
      </c>
      <c r="AC153" s="228" t="s">
        <v>18</v>
      </c>
      <c r="AD153" s="229"/>
      <c r="AE153" s="229"/>
      <c r="AF153" s="229"/>
      <c r="AG153" s="205" t="s">
        <v>19</v>
      </c>
      <c r="AH153" s="4"/>
    </row>
    <row r="154" spans="1:34" ht="51" x14ac:dyDescent="0.25">
      <c r="B154" s="216"/>
      <c r="C154" s="218"/>
      <c r="D154" s="210"/>
      <c r="E154" s="210"/>
      <c r="F154" s="210"/>
      <c r="G154" s="210"/>
      <c r="H154" s="210"/>
      <c r="I154" s="210"/>
      <c r="J154" s="210"/>
      <c r="K154" s="210"/>
      <c r="L154" s="22">
        <v>5.6</v>
      </c>
      <c r="M154" s="22">
        <v>5.6</v>
      </c>
      <c r="N154" s="22">
        <v>0.7</v>
      </c>
      <c r="O154" s="23">
        <v>0.8</v>
      </c>
      <c r="P154" s="24">
        <v>0.9</v>
      </c>
      <c r="Q154" s="28">
        <v>1</v>
      </c>
      <c r="R154" s="210"/>
      <c r="S154" s="29">
        <v>0.1</v>
      </c>
      <c r="T154" s="30">
        <v>0.2</v>
      </c>
      <c r="U154" s="30">
        <v>0.3</v>
      </c>
      <c r="V154" s="30">
        <v>0.1</v>
      </c>
      <c r="W154" s="208"/>
      <c r="X154" s="210"/>
      <c r="Y154" s="22">
        <v>10.4</v>
      </c>
      <c r="Z154" s="22">
        <v>5.6</v>
      </c>
      <c r="AA154" s="22">
        <v>7.3</v>
      </c>
      <c r="AB154" s="208"/>
      <c r="AC154" s="33" t="s">
        <v>20</v>
      </c>
      <c r="AD154" s="33" t="s">
        <v>21</v>
      </c>
      <c r="AE154" s="33" t="s">
        <v>22</v>
      </c>
      <c r="AF154" s="33" t="s">
        <v>23</v>
      </c>
      <c r="AG154" s="206"/>
      <c r="AH154" s="4"/>
    </row>
    <row r="155" spans="1:34" x14ac:dyDescent="0.25">
      <c r="B155" s="7"/>
      <c r="C155" s="8"/>
      <c r="D155" s="9">
        <v>0</v>
      </c>
      <c r="E155" s="9">
        <v>1</v>
      </c>
      <c r="F155" s="9">
        <v>2</v>
      </c>
      <c r="G155" s="9" t="s">
        <v>24</v>
      </c>
      <c r="H155" s="9" t="s">
        <v>25</v>
      </c>
      <c r="I155" s="9" t="s">
        <v>26</v>
      </c>
      <c r="J155" s="9" t="s">
        <v>27</v>
      </c>
      <c r="K155" s="25" t="s">
        <v>60</v>
      </c>
      <c r="L155" s="9" t="s">
        <v>61</v>
      </c>
      <c r="M155" s="9" t="s">
        <v>61</v>
      </c>
      <c r="N155" s="9" t="s">
        <v>62</v>
      </c>
      <c r="O155" s="9" t="s">
        <v>63</v>
      </c>
      <c r="P155" s="9" t="s">
        <v>63</v>
      </c>
      <c r="Q155" s="9" t="s">
        <v>63</v>
      </c>
      <c r="R155" s="9">
        <v>9</v>
      </c>
      <c r="S155" s="31" t="s">
        <v>161</v>
      </c>
      <c r="T155" s="31" t="s">
        <v>162</v>
      </c>
      <c r="U155" s="31" t="s">
        <v>163</v>
      </c>
      <c r="V155" s="31" t="s">
        <v>164</v>
      </c>
      <c r="W155" s="31" t="s">
        <v>64</v>
      </c>
      <c r="X155" s="9" t="s">
        <v>65</v>
      </c>
      <c r="Y155" s="9" t="s">
        <v>66</v>
      </c>
      <c r="Z155" s="9" t="s">
        <v>67</v>
      </c>
      <c r="AA155" s="9" t="s">
        <v>246</v>
      </c>
      <c r="AB155" s="9" t="s">
        <v>240</v>
      </c>
      <c r="AC155" s="9">
        <v>16</v>
      </c>
      <c r="AD155" s="31" t="s">
        <v>158</v>
      </c>
      <c r="AE155" s="31" t="s">
        <v>159</v>
      </c>
      <c r="AF155" s="31" t="s">
        <v>160</v>
      </c>
      <c r="AG155" s="9">
        <v>17</v>
      </c>
      <c r="AH155" s="51"/>
    </row>
    <row r="156" spans="1:34" x14ac:dyDescent="0.25">
      <c r="A156" s="1" t="s">
        <v>211</v>
      </c>
      <c r="B156" s="7">
        <v>1</v>
      </c>
      <c r="C156" s="19" t="s">
        <v>114</v>
      </c>
      <c r="D156" s="8">
        <v>2</v>
      </c>
      <c r="E156" s="19">
        <v>87.63</v>
      </c>
      <c r="F156" s="128">
        <f t="shared" ref="F156:F161" si="76">+E156*1193.74</f>
        <v>104607.4362</v>
      </c>
      <c r="G156" s="128">
        <f t="shared" ref="G156:G161" si="77">+F156/60</f>
        <v>1743.4572699999999</v>
      </c>
      <c r="H156" s="128">
        <f t="shared" ref="H156:H161" si="78">+F156*1.5%</f>
        <v>1569.111543</v>
      </c>
      <c r="I156" s="128">
        <f t="shared" ref="I156:I161" si="79">+F156*0.5%</f>
        <v>523.03718100000003</v>
      </c>
      <c r="J156" s="128">
        <f t="shared" ref="J156:J159" si="80">+G156+H156+I156</f>
        <v>3835.605994</v>
      </c>
      <c r="K156" s="128">
        <f t="shared" ref="K156:K161" si="81">+J156/12</f>
        <v>319.63383283333332</v>
      </c>
      <c r="L156" s="128">
        <f t="shared" ref="L156:L161" si="82">+I156*(100%+5.6%)</f>
        <v>552.32726313600006</v>
      </c>
      <c r="M156" s="128">
        <f t="shared" ref="M156:M161" si="83">+J156*(100%+5.6%)</f>
        <v>4050.3999296640004</v>
      </c>
      <c r="N156" s="128">
        <f>+K156*N154</f>
        <v>223.74368298333331</v>
      </c>
      <c r="O156" s="128">
        <f>+N156*O154</f>
        <v>178.99494638666667</v>
      </c>
      <c r="P156" s="128">
        <f>+N156*P154</f>
        <v>201.36931468499998</v>
      </c>
      <c r="Q156" s="128">
        <f>+N156*Q154</f>
        <v>223.74368298333331</v>
      </c>
      <c r="R156" s="139" t="s">
        <v>251</v>
      </c>
      <c r="S156" s="139">
        <v>0</v>
      </c>
      <c r="T156" s="139">
        <v>0</v>
      </c>
      <c r="U156" s="139">
        <v>0</v>
      </c>
      <c r="V156" s="139">
        <v>0</v>
      </c>
      <c r="W156" s="139">
        <f>N156</f>
        <v>223.74368298333331</v>
      </c>
      <c r="X156" s="139">
        <f>W156*12-0.04</f>
        <v>2684.8841957999998</v>
      </c>
      <c r="Y156" s="139">
        <f>X156*(100+10.4)%</f>
        <v>2964.1121521631999</v>
      </c>
      <c r="Z156" s="139">
        <f>Y156*(100+5.6)%</f>
        <v>3130.1024326843394</v>
      </c>
      <c r="AA156" s="139">
        <f>Z156*(100+7.3)%</f>
        <v>3358.5999102702963</v>
      </c>
      <c r="AB156" s="139">
        <f t="shared" ref="AB156:AB161" si="84">AA156/12</f>
        <v>279.883325855858</v>
      </c>
      <c r="AC156" s="139">
        <f>K156</f>
        <v>319.63383283333332</v>
      </c>
      <c r="AD156" s="139">
        <f>AB156</f>
        <v>279.883325855858</v>
      </c>
      <c r="AE156" s="139">
        <f>G156/12</f>
        <v>145.28810583333333</v>
      </c>
      <c r="AF156" s="141">
        <f>AE156/AC156*100</f>
        <v>45.45454545454546</v>
      </c>
      <c r="AG156" s="142">
        <f t="shared" ref="AG156:AG161" si="85">AD156*AF156%-0.01</f>
        <v>127.20969357084455</v>
      </c>
      <c r="AH156" s="51"/>
    </row>
    <row r="157" spans="1:34" x14ac:dyDescent="0.25">
      <c r="A157" s="1" t="s">
        <v>212</v>
      </c>
      <c r="B157" s="7">
        <v>2</v>
      </c>
      <c r="C157" s="19" t="s">
        <v>115</v>
      </c>
      <c r="D157" s="8">
        <v>2</v>
      </c>
      <c r="E157" s="19">
        <v>87.76</v>
      </c>
      <c r="F157" s="128">
        <f t="shared" si="76"/>
        <v>104762.62240000001</v>
      </c>
      <c r="G157" s="128">
        <f t="shared" si="77"/>
        <v>1746.0437066666668</v>
      </c>
      <c r="H157" s="128">
        <f t="shared" si="78"/>
        <v>1571.4393360000001</v>
      </c>
      <c r="I157" s="128">
        <f t="shared" si="79"/>
        <v>523.81311200000005</v>
      </c>
      <c r="J157" s="128">
        <v>3841.29</v>
      </c>
      <c r="K157" s="128">
        <f t="shared" si="81"/>
        <v>320.10750000000002</v>
      </c>
      <c r="L157" s="128">
        <f t="shared" si="82"/>
        <v>553.14664627200011</v>
      </c>
      <c r="M157" s="128">
        <f t="shared" si="83"/>
        <v>4056.4022400000003</v>
      </c>
      <c r="N157" s="128">
        <f>+K157*N154</f>
        <v>224.07524999999998</v>
      </c>
      <c r="O157" s="128">
        <f>+N157*O154</f>
        <v>179.2602</v>
      </c>
      <c r="P157" s="128">
        <f>+N157*P154</f>
        <v>201.66772499999999</v>
      </c>
      <c r="Q157" s="128">
        <f>+N157*Q154</f>
        <v>224.07524999999998</v>
      </c>
      <c r="R157" s="139" t="s">
        <v>251</v>
      </c>
      <c r="S157" s="139">
        <v>0</v>
      </c>
      <c r="T157" s="139">
        <v>0</v>
      </c>
      <c r="U157" s="139">
        <v>0</v>
      </c>
      <c r="V157" s="139">
        <v>0</v>
      </c>
      <c r="W157" s="139">
        <f>N157</f>
        <v>224.07524999999998</v>
      </c>
      <c r="X157" s="139">
        <f>W157*12+0.06</f>
        <v>2688.9629999999997</v>
      </c>
      <c r="Y157" s="139">
        <f>X157*(100+10.4)%-0.01</f>
        <v>2968.6051519999996</v>
      </c>
      <c r="Z157" s="139">
        <f>Y157*(100+5.6)%</f>
        <v>3134.8470405119997</v>
      </c>
      <c r="AA157" s="139">
        <f>Z157*(100+7.3)%</f>
        <v>3363.6908744693756</v>
      </c>
      <c r="AB157" s="139">
        <f t="shared" si="84"/>
        <v>280.30757287244796</v>
      </c>
      <c r="AC157" s="139">
        <f t="shared" ref="AC157:AC161" si="86">K157</f>
        <v>320.10750000000002</v>
      </c>
      <c r="AD157" s="139">
        <f>AB157</f>
        <v>280.30757287244796</v>
      </c>
      <c r="AE157" s="139">
        <f t="shared" ref="AE157:AE161" si="87">G157/12</f>
        <v>145.50364222222223</v>
      </c>
      <c r="AF157" s="141">
        <f t="shared" ref="AF157:AF161" si="88">AE157/AC157*100</f>
        <v>45.454618283614792</v>
      </c>
      <c r="AG157" s="142">
        <f t="shared" si="85"/>
        <v>127.40273726923658</v>
      </c>
      <c r="AH157" s="51"/>
    </row>
    <row r="158" spans="1:34" x14ac:dyDescent="0.25">
      <c r="A158" s="1" t="s">
        <v>213</v>
      </c>
      <c r="B158" s="7">
        <v>3</v>
      </c>
      <c r="C158" s="19" t="s">
        <v>116</v>
      </c>
      <c r="D158" s="8">
        <v>2</v>
      </c>
      <c r="E158" s="19">
        <v>93.34</v>
      </c>
      <c r="F158" s="128">
        <f t="shared" si="76"/>
        <v>111423.69160000001</v>
      </c>
      <c r="G158" s="128">
        <f t="shared" si="77"/>
        <v>1857.0615266666669</v>
      </c>
      <c r="H158" s="128">
        <f t="shared" si="78"/>
        <v>1671.355374</v>
      </c>
      <c r="I158" s="128">
        <f t="shared" si="79"/>
        <v>557.11845800000003</v>
      </c>
      <c r="J158" s="128">
        <f t="shared" si="80"/>
        <v>4085.535358666667</v>
      </c>
      <c r="K158" s="128">
        <f t="shared" si="81"/>
        <v>340.4612798888889</v>
      </c>
      <c r="L158" s="128">
        <f t="shared" si="82"/>
        <v>588.31709164800009</v>
      </c>
      <c r="M158" s="128">
        <f t="shared" si="83"/>
        <v>4314.3253387520008</v>
      </c>
      <c r="N158" s="128">
        <f>+K158*N154</f>
        <v>238.32289592222222</v>
      </c>
      <c r="O158" s="128">
        <f>+N158*O154</f>
        <v>190.6583167377778</v>
      </c>
      <c r="P158" s="128">
        <f>+N158*P154</f>
        <v>214.49060632999999</v>
      </c>
      <c r="Q158" s="128">
        <f>+N158*Q154</f>
        <v>238.32289592222222</v>
      </c>
      <c r="R158" s="145" t="s">
        <v>245</v>
      </c>
      <c r="S158" s="145">
        <v>0</v>
      </c>
      <c r="T158" s="145">
        <v>0</v>
      </c>
      <c r="U158" s="145">
        <v>0</v>
      </c>
      <c r="V158" s="145">
        <v>257.39999999999998</v>
      </c>
      <c r="W158" s="145">
        <v>257.39999999999998</v>
      </c>
      <c r="X158" s="145">
        <f>W158*12</f>
        <v>3088.7999999999997</v>
      </c>
      <c r="Y158" s="145">
        <f>X158*(100+10.4)%</f>
        <v>3410.0351999999998</v>
      </c>
      <c r="Z158" s="145">
        <f>Y158*(100+5.6)%</f>
        <v>3600.9971712000001</v>
      </c>
      <c r="AA158" s="145">
        <f>Z158*(100+7.3)%</f>
        <v>3863.8699646976002</v>
      </c>
      <c r="AB158" s="145">
        <f t="shared" si="84"/>
        <v>321.98916372479999</v>
      </c>
      <c r="AC158" s="145">
        <f t="shared" si="86"/>
        <v>340.4612798888889</v>
      </c>
      <c r="AD158" s="145">
        <f>V158</f>
        <v>257.39999999999998</v>
      </c>
      <c r="AE158" s="145">
        <f t="shared" si="87"/>
        <v>154.75512722222223</v>
      </c>
      <c r="AF158" s="146">
        <f t="shared" si="88"/>
        <v>45.454545454545453</v>
      </c>
      <c r="AG158" s="147">
        <f t="shared" si="85"/>
        <v>116.98999999999998</v>
      </c>
      <c r="AH158" s="51"/>
    </row>
    <row r="159" spans="1:34" x14ac:dyDescent="0.25">
      <c r="A159" s="1" t="s">
        <v>214</v>
      </c>
      <c r="B159" s="7">
        <v>4</v>
      </c>
      <c r="C159" s="19" t="s">
        <v>117</v>
      </c>
      <c r="D159" s="8">
        <v>2</v>
      </c>
      <c r="E159" s="19">
        <v>99.46</v>
      </c>
      <c r="F159" s="128">
        <f t="shared" si="76"/>
        <v>118729.38039999999</v>
      </c>
      <c r="G159" s="128">
        <f t="shared" si="77"/>
        <v>1978.8230066666665</v>
      </c>
      <c r="H159" s="128">
        <f t="shared" si="78"/>
        <v>1780.9407059999999</v>
      </c>
      <c r="I159" s="128">
        <f t="shared" si="79"/>
        <v>593.64690199999995</v>
      </c>
      <c r="J159" s="128">
        <f t="shared" si="80"/>
        <v>4353.4106146666663</v>
      </c>
      <c r="K159" s="128">
        <f t="shared" si="81"/>
        <v>362.78421788888886</v>
      </c>
      <c r="L159" s="128">
        <f t="shared" si="82"/>
        <v>626.89112851200002</v>
      </c>
      <c r="M159" s="128">
        <f t="shared" si="83"/>
        <v>4597.2016090879997</v>
      </c>
      <c r="N159" s="128">
        <f>+K159*N154</f>
        <v>253.94895252222219</v>
      </c>
      <c r="O159" s="128">
        <f>+N159*O154</f>
        <v>203.15916201777776</v>
      </c>
      <c r="P159" s="128">
        <f>+N159*P154</f>
        <v>228.55405726999996</v>
      </c>
      <c r="Q159" s="128">
        <f>+N159*Q154</f>
        <v>253.94895252222219</v>
      </c>
      <c r="R159" s="128">
        <v>2776.5</v>
      </c>
      <c r="S159" s="128">
        <v>0</v>
      </c>
      <c r="T159" s="128">
        <f>R159*T154</f>
        <v>555.30000000000007</v>
      </c>
      <c r="U159" s="128">
        <v>0</v>
      </c>
      <c r="V159" s="128">
        <v>0</v>
      </c>
      <c r="W159" s="128">
        <f>P159</f>
        <v>228.55405726999996</v>
      </c>
      <c r="X159" s="128">
        <f>W159*12-0.05</f>
        <v>2742.5986872399994</v>
      </c>
      <c r="Y159" s="128">
        <f>X159*(100+10.4)%</f>
        <v>3027.8289507129598</v>
      </c>
      <c r="Z159" s="128">
        <f>Y159*(100+5.6)%</f>
        <v>3197.3873719528856</v>
      </c>
      <c r="AA159" s="128">
        <f>Z159*(100+7.3)%</f>
        <v>3430.7966501054461</v>
      </c>
      <c r="AB159" s="128">
        <f t="shared" si="84"/>
        <v>285.89972084212053</v>
      </c>
      <c r="AC159" s="128">
        <f t="shared" si="86"/>
        <v>362.78421788888886</v>
      </c>
      <c r="AD159" s="128">
        <f>AB159</f>
        <v>285.89972084212053</v>
      </c>
      <c r="AE159" s="128">
        <f t="shared" si="87"/>
        <v>164.90191722222221</v>
      </c>
      <c r="AF159" s="130">
        <f t="shared" si="88"/>
        <v>45.454545454545453</v>
      </c>
      <c r="AG159" s="131">
        <f t="shared" si="85"/>
        <v>129.94441856460026</v>
      </c>
      <c r="AH159" s="51"/>
    </row>
    <row r="160" spans="1:34" x14ac:dyDescent="0.25">
      <c r="A160" s="1" t="s">
        <v>215</v>
      </c>
      <c r="B160" s="8">
        <v>5</v>
      </c>
      <c r="C160" s="19" t="s">
        <v>118</v>
      </c>
      <c r="D160" s="8">
        <v>2</v>
      </c>
      <c r="E160" s="19">
        <v>99.55</v>
      </c>
      <c r="F160" s="128">
        <f t="shared" si="76"/>
        <v>118836.817</v>
      </c>
      <c r="G160" s="128">
        <f t="shared" si="77"/>
        <v>1980.6136166666665</v>
      </c>
      <c r="H160" s="128">
        <f t="shared" si="78"/>
        <v>1782.5522549999998</v>
      </c>
      <c r="I160" s="128">
        <f t="shared" si="79"/>
        <v>594.18408499999998</v>
      </c>
      <c r="J160" s="128">
        <v>4357.34</v>
      </c>
      <c r="K160" s="128">
        <f t="shared" si="81"/>
        <v>363.11166666666668</v>
      </c>
      <c r="L160" s="128">
        <f t="shared" si="82"/>
        <v>627.45839376000004</v>
      </c>
      <c r="M160" s="128">
        <f t="shared" si="83"/>
        <v>4601.3510400000005</v>
      </c>
      <c r="N160" s="128">
        <f>+K160*N154</f>
        <v>254.17816666666667</v>
      </c>
      <c r="O160" s="128">
        <f>+N160*O154</f>
        <v>203.34253333333334</v>
      </c>
      <c r="P160" s="128">
        <f>+N160*P154</f>
        <v>228.76035000000002</v>
      </c>
      <c r="Q160" s="128">
        <f>+N160*Q154</f>
        <v>254.17816666666667</v>
      </c>
      <c r="R160" s="128">
        <v>1389.47</v>
      </c>
      <c r="S160" s="128">
        <f>R160*S154</f>
        <v>138.947</v>
      </c>
      <c r="T160" s="128">
        <v>0</v>
      </c>
      <c r="U160" s="128">
        <v>0</v>
      </c>
      <c r="V160" s="128">
        <v>0</v>
      </c>
      <c r="W160" s="128">
        <f>O160</f>
        <v>203.34253333333334</v>
      </c>
      <c r="X160" s="128">
        <f>W160*12-0.03</f>
        <v>2440.0803999999998</v>
      </c>
      <c r="Y160" s="128">
        <f>X160*(100+10.4)%</f>
        <v>2693.8487616000002</v>
      </c>
      <c r="Z160" s="128">
        <f>Y160*(100+5.6)%+0.01</f>
        <v>2844.7142922496005</v>
      </c>
      <c r="AA160" s="128">
        <f>Z160*(100+7.3)%-0.01</f>
        <v>3052.3684355838209</v>
      </c>
      <c r="AB160" s="128">
        <f t="shared" si="84"/>
        <v>254.36403629865174</v>
      </c>
      <c r="AC160" s="128">
        <f t="shared" si="86"/>
        <v>363.11166666666668</v>
      </c>
      <c r="AD160" s="128">
        <f>S160</f>
        <v>138.947</v>
      </c>
      <c r="AE160" s="128">
        <f t="shared" si="87"/>
        <v>165.0511347222222</v>
      </c>
      <c r="AF160" s="130">
        <f t="shared" si="88"/>
        <v>45.454649319691974</v>
      </c>
      <c r="AG160" s="131">
        <f t="shared" si="85"/>
        <v>63.147871590232413</v>
      </c>
      <c r="AH160" s="51"/>
    </row>
    <row r="161" spans="1:34" x14ac:dyDescent="0.25">
      <c r="A161" s="1" t="s">
        <v>216</v>
      </c>
      <c r="B161" s="7">
        <v>6</v>
      </c>
      <c r="C161" s="19" t="s">
        <v>119</v>
      </c>
      <c r="D161" s="8">
        <v>2</v>
      </c>
      <c r="E161" s="19">
        <v>101.33</v>
      </c>
      <c r="F161" s="128">
        <f t="shared" si="76"/>
        <v>120961.67419999999</v>
      </c>
      <c r="G161" s="128">
        <f t="shared" si="77"/>
        <v>2016.0279033333331</v>
      </c>
      <c r="H161" s="128">
        <f t="shared" si="78"/>
        <v>1814.4251129999998</v>
      </c>
      <c r="I161" s="128">
        <f t="shared" si="79"/>
        <v>604.80837099999997</v>
      </c>
      <c r="J161" s="128">
        <v>4435.2700000000004</v>
      </c>
      <c r="K161" s="128">
        <f t="shared" si="81"/>
        <v>369.60583333333335</v>
      </c>
      <c r="L161" s="128">
        <f t="shared" si="82"/>
        <v>638.67763977599998</v>
      </c>
      <c r="M161" s="128">
        <f t="shared" si="83"/>
        <v>4683.645120000001</v>
      </c>
      <c r="N161" s="128">
        <f>+K161*N154</f>
        <v>258.72408333333334</v>
      </c>
      <c r="O161" s="128">
        <f>+N161*O154</f>
        <v>206.97926666666669</v>
      </c>
      <c r="P161" s="128">
        <f>+N161*P154</f>
        <v>232.851675</v>
      </c>
      <c r="Q161" s="128">
        <f>+N161*Q154</f>
        <v>258.72408333333334</v>
      </c>
      <c r="R161" s="128">
        <v>1017.03</v>
      </c>
      <c r="S161" s="128">
        <f>R161*S154</f>
        <v>101.703</v>
      </c>
      <c r="T161" s="128">
        <v>0</v>
      </c>
      <c r="U161" s="128">
        <v>0</v>
      </c>
      <c r="V161" s="128">
        <v>0</v>
      </c>
      <c r="W161" s="128">
        <f>O161</f>
        <v>206.97926666666669</v>
      </c>
      <c r="X161" s="128">
        <f>W161*12+0.01</f>
        <v>2483.7612000000004</v>
      </c>
      <c r="Y161" s="128">
        <f>X161*(100+10.4)%</f>
        <v>2742.0723648000007</v>
      </c>
      <c r="Z161" s="128">
        <f>Y161*(100+5.6)%</f>
        <v>2895.628417228801</v>
      </c>
      <c r="AA161" s="128">
        <f>Z161*(100+7.3)%</f>
        <v>3107.0092916865033</v>
      </c>
      <c r="AB161" s="128">
        <f t="shared" si="84"/>
        <v>258.91744097387527</v>
      </c>
      <c r="AC161" s="128">
        <f t="shared" si="86"/>
        <v>369.60583333333335</v>
      </c>
      <c r="AD161" s="128">
        <f>S161</f>
        <v>101.703</v>
      </c>
      <c r="AE161" s="128">
        <f t="shared" si="87"/>
        <v>168.00232527777777</v>
      </c>
      <c r="AF161" s="130">
        <f t="shared" si="88"/>
        <v>45.454457188250842</v>
      </c>
      <c r="AG161" s="131">
        <f t="shared" si="85"/>
        <v>46.218546594166753</v>
      </c>
      <c r="AH161" s="51"/>
    </row>
    <row r="162" spans="1:34" x14ac:dyDescent="0.25">
      <c r="B162" s="7"/>
      <c r="C162" s="230" t="s">
        <v>77</v>
      </c>
      <c r="D162" s="230"/>
      <c r="E162" s="38">
        <f>SUM(E156:E161)</f>
        <v>569.07000000000005</v>
      </c>
      <c r="F162" s="148">
        <f>SUM(F156:F161)</f>
        <v>679321.62180000008</v>
      </c>
      <c r="G162" s="148">
        <f>SUM(G156:G161)-0.01</f>
        <v>11322.017029999999</v>
      </c>
      <c r="H162" s="148">
        <f>SUM(H156:H161)+0.01</f>
        <v>10189.834327</v>
      </c>
      <c r="I162" s="148">
        <f>SUM(I156:I161)</f>
        <v>3396.6081089999998</v>
      </c>
      <c r="J162" s="148">
        <f>SUM(J156:J161)+0.01</f>
        <v>24908.461967333333</v>
      </c>
      <c r="K162" s="148">
        <f>SUM(K156:K161)</f>
        <v>2075.7043306111113</v>
      </c>
      <c r="L162" s="148">
        <f t="shared" ref="L162:Q162" si="89">SUM(L156:L161)</f>
        <v>3586.8181631040002</v>
      </c>
      <c r="M162" s="148">
        <f t="shared" si="89"/>
        <v>26303.325277504002</v>
      </c>
      <c r="N162" s="148">
        <f t="shared" si="89"/>
        <v>1452.9930314277776</v>
      </c>
      <c r="O162" s="148">
        <f t="shared" si="89"/>
        <v>1162.3944251422222</v>
      </c>
      <c r="P162" s="148">
        <f t="shared" si="89"/>
        <v>1307.6937282849999</v>
      </c>
      <c r="Q162" s="148">
        <f t="shared" si="89"/>
        <v>1452.9930314277776</v>
      </c>
      <c r="R162" s="148"/>
      <c r="S162" s="148">
        <f>SUM(S156:S161)</f>
        <v>240.65</v>
      </c>
      <c r="T162" s="148">
        <f t="shared" ref="T162:AG162" si="90">SUM(T156:T161)</f>
        <v>555.30000000000007</v>
      </c>
      <c r="U162" s="148">
        <f t="shared" si="90"/>
        <v>0</v>
      </c>
      <c r="V162" s="148">
        <f t="shared" si="90"/>
        <v>257.39999999999998</v>
      </c>
      <c r="W162" s="148">
        <f t="shared" si="90"/>
        <v>1344.0947902533333</v>
      </c>
      <c r="X162" s="148">
        <f>SUM(X156:X161)-0.01</f>
        <v>16129.077483039999</v>
      </c>
      <c r="Y162" s="148">
        <f>SUM(Y156:Y161)+0.01</f>
        <v>17806.512581276158</v>
      </c>
      <c r="Z162" s="148">
        <f t="shared" si="90"/>
        <v>18803.676725827627</v>
      </c>
      <c r="AA162" s="148">
        <f t="shared" si="90"/>
        <v>20176.335126813043</v>
      </c>
      <c r="AB162" s="148">
        <f t="shared" si="90"/>
        <v>1681.3612605677536</v>
      </c>
      <c r="AC162" s="148">
        <f t="shared" si="90"/>
        <v>2075.7043306111113</v>
      </c>
      <c r="AD162" s="148">
        <f t="shared" si="90"/>
        <v>1344.1406195704262</v>
      </c>
      <c r="AE162" s="148">
        <f t="shared" si="90"/>
        <v>943.50225249999994</v>
      </c>
      <c r="AF162" s="148">
        <f>SUM(AF156:AF161)-0.03</f>
        <v>272.69736115519402</v>
      </c>
      <c r="AG162" s="148">
        <f t="shared" si="90"/>
        <v>610.91326758908053</v>
      </c>
      <c r="AH162" s="51"/>
    </row>
    <row r="163" spans="1:34" x14ac:dyDescent="0.25">
      <c r="B163" s="4"/>
      <c r="C163" s="52"/>
      <c r="D163" s="52"/>
      <c r="E163" s="41"/>
      <c r="F163" s="41"/>
      <c r="G163" s="41"/>
      <c r="H163" s="41"/>
      <c r="I163" s="41"/>
      <c r="J163" s="41"/>
      <c r="K163" s="40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"/>
    </row>
    <row r="164" spans="1:34" ht="15.95" customHeight="1" x14ac:dyDescent="0.25">
      <c r="C164" s="223" t="s">
        <v>120</v>
      </c>
      <c r="D164" s="223"/>
      <c r="E164" s="223"/>
      <c r="F164" s="223"/>
      <c r="G164" s="223"/>
      <c r="H164" s="223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60"/>
      <c r="X164" s="2"/>
      <c r="Y164" s="2"/>
      <c r="Z164" s="2"/>
      <c r="AA164" s="2"/>
      <c r="AB164" s="2"/>
      <c r="AC164" s="2"/>
      <c r="AD164" s="48"/>
      <c r="AE164" s="48"/>
      <c r="AF164" s="48"/>
      <c r="AG164" s="65"/>
      <c r="AH164" s="4"/>
    </row>
    <row r="165" spans="1:34" ht="24" customHeight="1" x14ac:dyDescent="0.25">
      <c r="B165" s="4"/>
      <c r="C165" s="52"/>
      <c r="D165" s="52"/>
      <c r="E165" s="41"/>
      <c r="F165" s="41"/>
      <c r="G165" s="41"/>
      <c r="H165" s="41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50"/>
      <c r="Y165" s="50"/>
      <c r="Z165" s="50"/>
      <c r="AA165" s="50"/>
      <c r="AB165" s="50"/>
      <c r="AC165" s="50"/>
      <c r="AD165" s="48"/>
      <c r="AE165" s="48"/>
      <c r="AF165" s="48"/>
      <c r="AG165" s="49"/>
      <c r="AH165" s="4"/>
    </row>
    <row r="166" spans="1:34" ht="24" customHeight="1" x14ac:dyDescent="0.25">
      <c r="B166" s="4"/>
      <c r="C166" s="224" t="s">
        <v>101</v>
      </c>
      <c r="D166" s="224"/>
      <c r="E166" s="42"/>
      <c r="F166" s="42"/>
      <c r="G166" s="41"/>
      <c r="H166" s="41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50"/>
      <c r="Y166" s="50"/>
      <c r="Z166" s="50"/>
      <c r="AA166" s="50"/>
      <c r="AB166" s="50"/>
      <c r="AC166" s="50"/>
      <c r="AD166" s="48"/>
      <c r="AE166" s="48"/>
      <c r="AF166" s="48"/>
      <c r="AG166" s="49"/>
      <c r="AH166" s="4"/>
    </row>
    <row r="167" spans="1:34" ht="116.1" customHeight="1" x14ac:dyDescent="0.25">
      <c r="B167" s="215" t="s">
        <v>1</v>
      </c>
      <c r="C167" s="217" t="s">
        <v>56</v>
      </c>
      <c r="D167" s="209" t="s">
        <v>3</v>
      </c>
      <c r="E167" s="209" t="s">
        <v>4</v>
      </c>
      <c r="F167" s="209" t="s">
        <v>5</v>
      </c>
      <c r="G167" s="209" t="s">
        <v>6</v>
      </c>
      <c r="H167" s="209" t="s">
        <v>7</v>
      </c>
      <c r="I167" s="209" t="s">
        <v>8</v>
      </c>
      <c r="J167" s="209" t="s">
        <v>9</v>
      </c>
      <c r="K167" s="209" t="s">
        <v>57</v>
      </c>
      <c r="L167" s="22" t="s">
        <v>10</v>
      </c>
      <c r="M167" s="22" t="s">
        <v>10</v>
      </c>
      <c r="N167" s="22" t="s">
        <v>12</v>
      </c>
      <c r="O167" s="211" t="s">
        <v>13</v>
      </c>
      <c r="P167" s="212"/>
      <c r="Q167" s="213"/>
      <c r="R167" s="209" t="s">
        <v>14</v>
      </c>
      <c r="S167" s="225" t="s">
        <v>58</v>
      </c>
      <c r="T167" s="226"/>
      <c r="U167" s="226"/>
      <c r="V167" s="227"/>
      <c r="W167" s="207" t="s">
        <v>21</v>
      </c>
      <c r="X167" s="209" t="s">
        <v>9</v>
      </c>
      <c r="Y167" s="22" t="s">
        <v>242</v>
      </c>
      <c r="Z167" s="22" t="s">
        <v>243</v>
      </c>
      <c r="AA167" s="22" t="s">
        <v>156</v>
      </c>
      <c r="AB167" s="207" t="s">
        <v>59</v>
      </c>
      <c r="AC167" s="228" t="s">
        <v>18</v>
      </c>
      <c r="AD167" s="229"/>
      <c r="AE167" s="229"/>
      <c r="AF167" s="229"/>
      <c r="AG167" s="205" t="s">
        <v>19</v>
      </c>
      <c r="AH167" s="4"/>
    </row>
    <row r="168" spans="1:34" ht="51" x14ac:dyDescent="0.25">
      <c r="B168" s="216"/>
      <c r="C168" s="218"/>
      <c r="D168" s="210"/>
      <c r="E168" s="210"/>
      <c r="F168" s="210"/>
      <c r="G168" s="210"/>
      <c r="H168" s="210"/>
      <c r="I168" s="210"/>
      <c r="J168" s="210"/>
      <c r="K168" s="210"/>
      <c r="L168" s="22">
        <v>5.6</v>
      </c>
      <c r="M168" s="22">
        <v>5.6</v>
      </c>
      <c r="N168" s="22">
        <v>0.7</v>
      </c>
      <c r="O168" s="23">
        <v>0.8</v>
      </c>
      <c r="P168" s="24">
        <v>0.9</v>
      </c>
      <c r="Q168" s="28">
        <v>1</v>
      </c>
      <c r="R168" s="210"/>
      <c r="S168" s="29">
        <v>0.1</v>
      </c>
      <c r="T168" s="30">
        <v>0.2</v>
      </c>
      <c r="U168" s="30">
        <v>0.3</v>
      </c>
      <c r="V168" s="30">
        <v>0.1</v>
      </c>
      <c r="W168" s="208"/>
      <c r="X168" s="210"/>
      <c r="Y168" s="22">
        <v>10.4</v>
      </c>
      <c r="Z168" s="22">
        <v>5.6</v>
      </c>
      <c r="AA168" s="22">
        <v>7.3</v>
      </c>
      <c r="AB168" s="208"/>
      <c r="AC168" s="33" t="s">
        <v>20</v>
      </c>
      <c r="AD168" s="33" t="s">
        <v>21</v>
      </c>
      <c r="AE168" s="33" t="s">
        <v>22</v>
      </c>
      <c r="AF168" s="33" t="s">
        <v>23</v>
      </c>
      <c r="AG168" s="206"/>
      <c r="AH168" s="4"/>
    </row>
    <row r="169" spans="1:34" x14ac:dyDescent="0.25">
      <c r="B169" s="7"/>
      <c r="C169" s="8"/>
      <c r="D169" s="9">
        <v>0</v>
      </c>
      <c r="E169" s="9">
        <v>1</v>
      </c>
      <c r="F169" s="9">
        <v>2</v>
      </c>
      <c r="G169" s="9" t="s">
        <v>24</v>
      </c>
      <c r="H169" s="9" t="s">
        <v>25</v>
      </c>
      <c r="I169" s="9" t="s">
        <v>26</v>
      </c>
      <c r="J169" s="9" t="s">
        <v>27</v>
      </c>
      <c r="K169" s="25" t="s">
        <v>60</v>
      </c>
      <c r="L169" s="9" t="s">
        <v>61</v>
      </c>
      <c r="M169" s="9" t="s">
        <v>61</v>
      </c>
      <c r="N169" s="9" t="s">
        <v>62</v>
      </c>
      <c r="O169" s="9" t="s">
        <v>63</v>
      </c>
      <c r="P169" s="9" t="s">
        <v>63</v>
      </c>
      <c r="Q169" s="9" t="s">
        <v>63</v>
      </c>
      <c r="R169" s="9">
        <v>9</v>
      </c>
      <c r="S169" s="31" t="s">
        <v>161</v>
      </c>
      <c r="T169" s="31" t="s">
        <v>162</v>
      </c>
      <c r="U169" s="31" t="s">
        <v>163</v>
      </c>
      <c r="V169" s="31" t="s">
        <v>164</v>
      </c>
      <c r="W169" s="31" t="s">
        <v>64</v>
      </c>
      <c r="X169" s="9" t="s">
        <v>65</v>
      </c>
      <c r="Y169" s="9" t="s">
        <v>66</v>
      </c>
      <c r="Z169" s="9" t="s">
        <v>67</v>
      </c>
      <c r="AA169" s="9" t="s">
        <v>246</v>
      </c>
      <c r="AB169" s="9" t="s">
        <v>240</v>
      </c>
      <c r="AC169" s="9">
        <v>16</v>
      </c>
      <c r="AD169" s="31" t="s">
        <v>158</v>
      </c>
      <c r="AE169" s="31" t="s">
        <v>159</v>
      </c>
      <c r="AF169" s="31" t="s">
        <v>160</v>
      </c>
      <c r="AG169" s="9">
        <v>17</v>
      </c>
      <c r="AH169" s="4"/>
    </row>
    <row r="170" spans="1:34" x14ac:dyDescent="0.25">
      <c r="A170" s="1" t="s">
        <v>217</v>
      </c>
      <c r="B170" s="19">
        <v>1</v>
      </c>
      <c r="C170" s="19" t="s">
        <v>121</v>
      </c>
      <c r="D170" s="11">
        <v>2</v>
      </c>
      <c r="E170" s="14">
        <v>87.25</v>
      </c>
      <c r="F170" s="128">
        <f>+E170*1193.93</f>
        <v>104170.3925</v>
      </c>
      <c r="G170" s="128">
        <f>+F170/60</f>
        <v>1736.1732083333334</v>
      </c>
      <c r="H170" s="128">
        <f>+F170*1.5%</f>
        <v>1562.5558874999999</v>
      </c>
      <c r="I170" s="128">
        <f>+F170*0.5%</f>
        <v>520.85196250000001</v>
      </c>
      <c r="J170" s="128">
        <f>+G170+H170+I170</f>
        <v>3819.5810583333332</v>
      </c>
      <c r="K170" s="128">
        <f>J170/12</f>
        <v>318.29842152777775</v>
      </c>
      <c r="L170" s="128"/>
      <c r="M170" s="128">
        <f>J170*(100%+5.6%)</f>
        <v>4033.4775976000001</v>
      </c>
      <c r="N170" s="128">
        <f>K170*N168</f>
        <v>222.80889506944442</v>
      </c>
      <c r="O170" s="128">
        <f>+N170*O168</f>
        <v>178.24711605555555</v>
      </c>
      <c r="P170" s="128">
        <f>+N170*P168</f>
        <v>200.52800556249997</v>
      </c>
      <c r="Q170" s="128">
        <f>+N170*Q168</f>
        <v>222.80889506944442</v>
      </c>
      <c r="R170" s="139" t="s">
        <v>251</v>
      </c>
      <c r="S170" s="139">
        <v>0</v>
      </c>
      <c r="T170" s="139">
        <v>0</v>
      </c>
      <c r="U170" s="139">
        <v>0</v>
      </c>
      <c r="V170" s="139">
        <v>0</v>
      </c>
      <c r="W170" s="139">
        <f>N170</f>
        <v>222.80889506944442</v>
      </c>
      <c r="X170" s="139">
        <f>W170*12+0.01</f>
        <v>2673.7167408333335</v>
      </c>
      <c r="Y170" s="139">
        <f>X170*(100+10.4)%+0.01</f>
        <v>2951.7932818800004</v>
      </c>
      <c r="Z170" s="139">
        <f t="shared" ref="Z170:Z179" si="91">Y170*(100+5.6)%</f>
        <v>3117.0937056652806</v>
      </c>
      <c r="AA170" s="139">
        <f>Z170*(100+7.3)%</f>
        <v>3344.6415461788461</v>
      </c>
      <c r="AB170" s="139">
        <f t="shared" ref="AB170:AB179" si="92">AA170/12</f>
        <v>278.72012884823715</v>
      </c>
      <c r="AC170" s="139">
        <f>K170</f>
        <v>318.29842152777775</v>
      </c>
      <c r="AD170" s="139">
        <f>AB170</f>
        <v>278.72012884823715</v>
      </c>
      <c r="AE170" s="139">
        <f>G170/12</f>
        <v>144.68110069444444</v>
      </c>
      <c r="AF170" s="141">
        <f>AE170/AC170*100</f>
        <v>45.45454545454546</v>
      </c>
      <c r="AG170" s="142">
        <f>AD170*AF170%-0.01</f>
        <v>126.68096765828962</v>
      </c>
      <c r="AH170" s="51"/>
    </row>
    <row r="171" spans="1:34" x14ac:dyDescent="0.25">
      <c r="A171" s="1" t="s">
        <v>218</v>
      </c>
      <c r="B171" s="19">
        <v>2</v>
      </c>
      <c r="C171" s="19" t="s">
        <v>122</v>
      </c>
      <c r="D171" s="11">
        <v>2</v>
      </c>
      <c r="E171" s="14">
        <v>86.95</v>
      </c>
      <c r="F171" s="128">
        <f t="shared" ref="F171:F179" si="93">+E171*1193.93</f>
        <v>103812.21350000001</v>
      </c>
      <c r="G171" s="128">
        <f t="shared" ref="G171:G179" si="94">+F171/60</f>
        <v>1730.2035583333336</v>
      </c>
      <c r="H171" s="128">
        <f t="shared" ref="H171:H179" si="95">+F171*1.5%</f>
        <v>1557.1832025000001</v>
      </c>
      <c r="I171" s="128">
        <f t="shared" ref="I171:I179" si="96">+F171*0.5%</f>
        <v>519.06106750000004</v>
      </c>
      <c r="J171" s="128">
        <f t="shared" ref="J171:J179" si="97">+G171+H171+I171</f>
        <v>3806.4478283333337</v>
      </c>
      <c r="K171" s="128">
        <f>J171/12</f>
        <v>317.2039856944445</v>
      </c>
      <c r="L171" s="128"/>
      <c r="M171" s="128">
        <f t="shared" ref="M171:M179" si="98">J171*(100%+5.6%)</f>
        <v>4019.6089067200005</v>
      </c>
      <c r="N171" s="128">
        <f>K171*N168</f>
        <v>222.04278998611113</v>
      </c>
      <c r="O171" s="128">
        <f>+N171*O168</f>
        <v>177.63423198888893</v>
      </c>
      <c r="P171" s="128">
        <f>+N171*P168</f>
        <v>199.83851098750003</v>
      </c>
      <c r="Q171" s="128">
        <f>+N171*Q168</f>
        <v>222.04278998611113</v>
      </c>
      <c r="R171" s="128">
        <v>1662.13</v>
      </c>
      <c r="S171" s="128">
        <f>R171*S168</f>
        <v>166.21300000000002</v>
      </c>
      <c r="T171" s="128">
        <v>0</v>
      </c>
      <c r="U171" s="128">
        <v>0</v>
      </c>
      <c r="V171" s="128">
        <v>0</v>
      </c>
      <c r="W171" s="128">
        <f>O171</f>
        <v>177.63423198888893</v>
      </c>
      <c r="X171" s="128">
        <f>W171*12-0.05</f>
        <v>2131.560783866667</v>
      </c>
      <c r="Y171" s="128">
        <f>X171*(100+10.4)%</f>
        <v>2353.2431053888004</v>
      </c>
      <c r="Z171" s="128">
        <f t="shared" si="91"/>
        <v>2485.0247192905731</v>
      </c>
      <c r="AA171" s="128">
        <f>Z171*(100+7.3)%</f>
        <v>2666.4315237987848</v>
      </c>
      <c r="AB171" s="128">
        <f t="shared" si="92"/>
        <v>222.20262698323208</v>
      </c>
      <c r="AC171" s="128">
        <f t="shared" ref="AC171:AC179" si="99">K171</f>
        <v>317.2039856944445</v>
      </c>
      <c r="AD171" s="128">
        <f>S171</f>
        <v>166.21300000000002</v>
      </c>
      <c r="AE171" s="128">
        <f t="shared" ref="AE171:AE179" si="100">G171/12</f>
        <v>144.18362986111114</v>
      </c>
      <c r="AF171" s="130">
        <f t="shared" ref="AF171:AF179" si="101">AE171/AC171*100</f>
        <v>45.45454545454546</v>
      </c>
      <c r="AG171" s="131">
        <f>AD171*AF171%-0.01</f>
        <v>75.541363636363641</v>
      </c>
      <c r="AH171" s="51"/>
    </row>
    <row r="172" spans="1:34" x14ac:dyDescent="0.25">
      <c r="A172" s="1" t="s">
        <v>219</v>
      </c>
      <c r="B172" s="19">
        <v>3</v>
      </c>
      <c r="C172" s="19" t="s">
        <v>123</v>
      </c>
      <c r="D172" s="11">
        <v>2</v>
      </c>
      <c r="E172" s="14">
        <v>87.84</v>
      </c>
      <c r="F172" s="128">
        <f t="shared" si="93"/>
        <v>104874.81120000001</v>
      </c>
      <c r="G172" s="128">
        <f t="shared" si="94"/>
        <v>1747.9135200000003</v>
      </c>
      <c r="H172" s="128">
        <f t="shared" si="95"/>
        <v>1573.1221680000001</v>
      </c>
      <c r="I172" s="128">
        <f t="shared" si="96"/>
        <v>524.37405600000011</v>
      </c>
      <c r="J172" s="128">
        <f t="shared" si="97"/>
        <v>3845.4097440000005</v>
      </c>
      <c r="K172" s="128">
        <f>J172/12</f>
        <v>320.45081200000004</v>
      </c>
      <c r="L172" s="128"/>
      <c r="M172" s="128">
        <f t="shared" si="98"/>
        <v>4060.7526896640006</v>
      </c>
      <c r="N172" s="128">
        <f>K172*N168</f>
        <v>224.31556840000002</v>
      </c>
      <c r="O172" s="128">
        <f>N172*O168</f>
        <v>179.45245472000002</v>
      </c>
      <c r="P172" s="128">
        <f>N172*P168</f>
        <v>201.88401156000003</v>
      </c>
      <c r="Q172" s="128">
        <f>+N172*Q168</f>
        <v>224.31556840000002</v>
      </c>
      <c r="R172" s="128">
        <v>2271.7800000000002</v>
      </c>
      <c r="S172" s="128">
        <f>R172*S168</f>
        <v>227.17800000000003</v>
      </c>
      <c r="T172" s="128">
        <v>0</v>
      </c>
      <c r="U172" s="128">
        <v>0</v>
      </c>
      <c r="V172" s="128">
        <v>0</v>
      </c>
      <c r="W172" s="128">
        <f>O172</f>
        <v>179.45245472000002</v>
      </c>
      <c r="X172" s="128">
        <f>W172*12</f>
        <v>2153.4294566400004</v>
      </c>
      <c r="Y172" s="128">
        <f>X172*(100+10.4)%</f>
        <v>2377.3861201305608</v>
      </c>
      <c r="Z172" s="128">
        <f t="shared" si="91"/>
        <v>2510.5197428578722</v>
      </c>
      <c r="AA172" s="128">
        <f>Z172*(100+7.3)%+0.01</f>
        <v>2693.7976840864972</v>
      </c>
      <c r="AB172" s="128">
        <f t="shared" si="92"/>
        <v>224.48314034054144</v>
      </c>
      <c r="AC172" s="128">
        <f t="shared" si="99"/>
        <v>320.45081200000004</v>
      </c>
      <c r="AD172" s="128">
        <f>AB172</f>
        <v>224.48314034054144</v>
      </c>
      <c r="AE172" s="128">
        <f t="shared" si="100"/>
        <v>145.65946000000002</v>
      </c>
      <c r="AF172" s="130">
        <f t="shared" si="101"/>
        <v>45.45454545454546</v>
      </c>
      <c r="AG172" s="131">
        <f>AD172*AF172%-0.01</f>
        <v>102.02779106388247</v>
      </c>
      <c r="AH172" s="51"/>
    </row>
    <row r="173" spans="1:34" x14ac:dyDescent="0.25">
      <c r="A173" s="1" t="s">
        <v>220</v>
      </c>
      <c r="B173" s="19">
        <v>4</v>
      </c>
      <c r="C173" s="19" t="s">
        <v>124</v>
      </c>
      <c r="D173" s="11">
        <v>2</v>
      </c>
      <c r="E173" s="14">
        <v>93.15</v>
      </c>
      <c r="F173" s="128">
        <f t="shared" si="93"/>
        <v>111214.57950000001</v>
      </c>
      <c r="G173" s="128">
        <f t="shared" si="94"/>
        <v>1853.5763250000002</v>
      </c>
      <c r="H173" s="128">
        <f t="shared" si="95"/>
        <v>1668.2186925000001</v>
      </c>
      <c r="I173" s="128">
        <f t="shared" si="96"/>
        <v>556.07289750000007</v>
      </c>
      <c r="J173" s="128">
        <f t="shared" si="97"/>
        <v>4077.8679150000007</v>
      </c>
      <c r="K173" s="128">
        <f>J173/12</f>
        <v>339.82232625000006</v>
      </c>
      <c r="L173" s="128"/>
      <c r="M173" s="128">
        <f t="shared" si="98"/>
        <v>4306.228518240001</v>
      </c>
      <c r="N173" s="128">
        <f>K173*N168</f>
        <v>237.87562837500002</v>
      </c>
      <c r="O173" s="128">
        <f>+N173*O168</f>
        <v>190.30050270000004</v>
      </c>
      <c r="P173" s="128">
        <f>+N173*P168</f>
        <v>214.08806553750003</v>
      </c>
      <c r="Q173" s="128">
        <f>+N173*Q168</f>
        <v>237.87562837500002</v>
      </c>
      <c r="R173" s="128">
        <v>2026.23</v>
      </c>
      <c r="S173" s="128">
        <f>R173*S168</f>
        <v>202.62300000000002</v>
      </c>
      <c r="T173" s="128">
        <v>0</v>
      </c>
      <c r="U173" s="128">
        <v>0</v>
      </c>
      <c r="V173" s="128">
        <v>0</v>
      </c>
      <c r="W173" s="128">
        <f>O173</f>
        <v>190.30050270000004</v>
      </c>
      <c r="X173" s="128">
        <f>W173*12+0.05</f>
        <v>2283.6560324000006</v>
      </c>
      <c r="Y173" s="128">
        <f>X173*(100+10.4)%-0.01</f>
        <v>2521.1462597696009</v>
      </c>
      <c r="Z173" s="128">
        <f t="shared" si="91"/>
        <v>2662.3304503166987</v>
      </c>
      <c r="AA173" s="128">
        <f>Z173*(100+7.3)%+0.01</f>
        <v>2856.6905731898178</v>
      </c>
      <c r="AB173" s="128">
        <f t="shared" si="92"/>
        <v>238.05754776581816</v>
      </c>
      <c r="AC173" s="128">
        <f t="shared" si="99"/>
        <v>339.82232625000006</v>
      </c>
      <c r="AD173" s="128">
        <f>S173</f>
        <v>202.62300000000002</v>
      </c>
      <c r="AE173" s="128">
        <f t="shared" si="100"/>
        <v>154.46469375000001</v>
      </c>
      <c r="AF173" s="130">
        <f t="shared" si="101"/>
        <v>45.454545454545446</v>
      </c>
      <c r="AG173" s="131">
        <f>AD173*AF173%-0.01</f>
        <v>92.091363636363624</v>
      </c>
      <c r="AH173" s="51"/>
    </row>
    <row r="174" spans="1:34" x14ac:dyDescent="0.25">
      <c r="A174" s="1" t="s">
        <v>221</v>
      </c>
      <c r="B174" s="19">
        <v>5</v>
      </c>
      <c r="C174" s="19" t="s">
        <v>125</v>
      </c>
      <c r="D174" s="11">
        <v>2</v>
      </c>
      <c r="E174" s="14">
        <v>98.79</v>
      </c>
      <c r="F174" s="128">
        <f t="shared" si="93"/>
        <v>117948.34470000002</v>
      </c>
      <c r="G174" s="128">
        <f t="shared" si="94"/>
        <v>1965.8057450000003</v>
      </c>
      <c r="H174" s="128">
        <f t="shared" si="95"/>
        <v>1769.2251705000001</v>
      </c>
      <c r="I174" s="128">
        <f t="shared" si="96"/>
        <v>589.74172350000015</v>
      </c>
      <c r="J174" s="128">
        <f t="shared" si="97"/>
        <v>4324.7726390000007</v>
      </c>
      <c r="K174" s="128">
        <f>J174/12</f>
        <v>360.39771991666674</v>
      </c>
      <c r="L174" s="128"/>
      <c r="M174" s="128">
        <f t="shared" si="98"/>
        <v>4566.9599067840009</v>
      </c>
      <c r="N174" s="128">
        <f>+K174*N168</f>
        <v>252.27840394166671</v>
      </c>
      <c r="O174" s="128">
        <f>+N174*O168</f>
        <v>201.82272315333338</v>
      </c>
      <c r="P174" s="128">
        <f>+N174*P168</f>
        <v>227.05056354750005</v>
      </c>
      <c r="Q174" s="128">
        <f>+N174*Q168</f>
        <v>252.27840394166671</v>
      </c>
      <c r="R174" s="128">
        <v>2347.56</v>
      </c>
      <c r="S174" s="128">
        <f>R174*S168</f>
        <v>234.756</v>
      </c>
      <c r="T174" s="128">
        <v>0</v>
      </c>
      <c r="U174" s="128">
        <v>0</v>
      </c>
      <c r="V174" s="128">
        <v>0</v>
      </c>
      <c r="W174" s="128">
        <f>O174</f>
        <v>201.82272315333338</v>
      </c>
      <c r="X174" s="128">
        <f>W174*12-0.03</f>
        <v>2421.8426778400003</v>
      </c>
      <c r="Y174" s="128">
        <f t="shared" ref="Y174:Y179" si="102">X174*(100+10.4)%</f>
        <v>2673.7143163353608</v>
      </c>
      <c r="Z174" s="128">
        <f t="shared" si="91"/>
        <v>2823.4423180501412</v>
      </c>
      <c r="AA174" s="128">
        <f t="shared" ref="AA174:AA179" si="103">Z174*(100+7.3)%</f>
        <v>3029.5536072678015</v>
      </c>
      <c r="AB174" s="128">
        <f t="shared" si="92"/>
        <v>252.46280060565013</v>
      </c>
      <c r="AC174" s="128">
        <f t="shared" si="99"/>
        <v>360.39771991666674</v>
      </c>
      <c r="AD174" s="128">
        <f>S174</f>
        <v>234.756</v>
      </c>
      <c r="AE174" s="128">
        <f t="shared" si="100"/>
        <v>163.8171454166667</v>
      </c>
      <c r="AF174" s="130">
        <f t="shared" si="101"/>
        <v>45.454545454545453</v>
      </c>
      <c r="AG174" s="131">
        <f>AD174*AF174%-0.01</f>
        <v>106.69727272727272</v>
      </c>
      <c r="AH174" s="51"/>
    </row>
    <row r="175" spans="1:34" x14ac:dyDescent="0.25">
      <c r="A175" s="1" t="s">
        <v>222</v>
      </c>
      <c r="B175" s="19">
        <v>6</v>
      </c>
      <c r="C175" s="19" t="s">
        <v>126</v>
      </c>
      <c r="D175" s="11">
        <v>2</v>
      </c>
      <c r="E175" s="14">
        <v>99.28</v>
      </c>
      <c r="F175" s="128">
        <f t="shared" si="93"/>
        <v>118533.37040000001</v>
      </c>
      <c r="G175" s="128">
        <f t="shared" si="94"/>
        <v>1975.5561733333336</v>
      </c>
      <c r="H175" s="128">
        <f t="shared" si="95"/>
        <v>1778.0005560000002</v>
      </c>
      <c r="I175" s="128">
        <f t="shared" si="96"/>
        <v>592.66685200000006</v>
      </c>
      <c r="J175" s="128">
        <f t="shared" si="97"/>
        <v>4346.2235813333336</v>
      </c>
      <c r="K175" s="128">
        <f t="shared" ref="K175:K179" si="104">J175/12</f>
        <v>362.18529844444447</v>
      </c>
      <c r="L175" s="128"/>
      <c r="M175" s="128">
        <f t="shared" si="98"/>
        <v>4589.6121018880003</v>
      </c>
      <c r="N175" s="128">
        <f>+K175*N168</f>
        <v>253.5297089111111</v>
      </c>
      <c r="O175" s="128">
        <f>N175*O168</f>
        <v>202.8237671288889</v>
      </c>
      <c r="P175" s="128">
        <f>+N175*P168</f>
        <v>228.17673801999999</v>
      </c>
      <c r="Q175" s="128">
        <f>N175*Q168</f>
        <v>253.5297089111111</v>
      </c>
      <c r="R175" s="139" t="s">
        <v>251</v>
      </c>
      <c r="S175" s="139">
        <v>0</v>
      </c>
      <c r="T175" s="139">
        <v>0</v>
      </c>
      <c r="U175" s="139">
        <v>0</v>
      </c>
      <c r="V175" s="139">
        <v>0</v>
      </c>
      <c r="W175" s="139">
        <f>N175</f>
        <v>253.5297089111111</v>
      </c>
      <c r="X175" s="139">
        <f>W175*12-0.04</f>
        <v>3042.3165069333331</v>
      </c>
      <c r="Y175" s="139">
        <f>X175*(100+10.4)%+0.01</f>
        <v>3358.7274236544004</v>
      </c>
      <c r="Z175" s="139">
        <f t="shared" si="91"/>
        <v>3546.8161593790469</v>
      </c>
      <c r="AA175" s="139">
        <f t="shared" si="103"/>
        <v>3805.7337390137172</v>
      </c>
      <c r="AB175" s="139">
        <f t="shared" si="92"/>
        <v>317.14447825114308</v>
      </c>
      <c r="AC175" s="139">
        <f t="shared" si="99"/>
        <v>362.18529844444447</v>
      </c>
      <c r="AD175" s="139">
        <f>AB175</f>
        <v>317.14447825114308</v>
      </c>
      <c r="AE175" s="139">
        <f t="shared" si="100"/>
        <v>164.62968111111113</v>
      </c>
      <c r="AF175" s="141">
        <f t="shared" si="101"/>
        <v>45.454545454545453</v>
      </c>
      <c r="AG175" s="142">
        <f>AD175*AF175%-0.02</f>
        <v>144.13658102324683</v>
      </c>
      <c r="AH175" s="51"/>
    </row>
    <row r="176" spans="1:34" x14ac:dyDescent="0.25">
      <c r="A176" s="1" t="s">
        <v>223</v>
      </c>
      <c r="B176" s="19">
        <v>7</v>
      </c>
      <c r="C176" s="19" t="s">
        <v>127</v>
      </c>
      <c r="D176" s="11">
        <v>2</v>
      </c>
      <c r="E176" s="14">
        <v>100.11</v>
      </c>
      <c r="F176" s="128">
        <f t="shared" si="93"/>
        <v>119524.33230000001</v>
      </c>
      <c r="G176" s="128">
        <f t="shared" si="94"/>
        <v>1992.0722050000002</v>
      </c>
      <c r="H176" s="128">
        <f t="shared" si="95"/>
        <v>1792.8649845</v>
      </c>
      <c r="I176" s="128">
        <f t="shared" si="96"/>
        <v>597.62166150000007</v>
      </c>
      <c r="J176" s="128">
        <f t="shared" si="97"/>
        <v>4382.5588510000007</v>
      </c>
      <c r="K176" s="128">
        <f t="shared" si="104"/>
        <v>365.21323758333341</v>
      </c>
      <c r="L176" s="128"/>
      <c r="M176" s="128">
        <f t="shared" si="98"/>
        <v>4627.9821466560006</v>
      </c>
      <c r="N176" s="128">
        <f>+K176*N168</f>
        <v>255.64926630833338</v>
      </c>
      <c r="O176" s="128">
        <f>+N176*O168</f>
        <v>204.51941304666673</v>
      </c>
      <c r="P176" s="128">
        <f>+N176*P168</f>
        <v>230.08433967750005</v>
      </c>
      <c r="Q176" s="128">
        <f>+N176*Q168</f>
        <v>255.64926630833338</v>
      </c>
      <c r="R176" s="128">
        <v>2159.0700000000002</v>
      </c>
      <c r="S176" s="128">
        <f>R176*S168</f>
        <v>215.90700000000004</v>
      </c>
      <c r="T176" s="128">
        <v>0</v>
      </c>
      <c r="U176" s="128">
        <v>0</v>
      </c>
      <c r="V176" s="128">
        <v>0</v>
      </c>
      <c r="W176" s="128">
        <f>O176</f>
        <v>204.51941304666673</v>
      </c>
      <c r="X176" s="128">
        <f>W176*12+0.01</f>
        <v>2454.2429565600009</v>
      </c>
      <c r="Y176" s="128">
        <f t="shared" si="102"/>
        <v>2709.4842240422413</v>
      </c>
      <c r="Z176" s="128">
        <f t="shared" si="91"/>
        <v>2861.215340588607</v>
      </c>
      <c r="AA176" s="128">
        <f t="shared" si="103"/>
        <v>3070.0840604515752</v>
      </c>
      <c r="AB176" s="128">
        <f t="shared" si="92"/>
        <v>255.84033837096459</v>
      </c>
      <c r="AC176" s="128">
        <f t="shared" si="99"/>
        <v>365.21323758333341</v>
      </c>
      <c r="AD176" s="128">
        <f>S176</f>
        <v>215.90700000000004</v>
      </c>
      <c r="AE176" s="128">
        <f t="shared" si="100"/>
        <v>166.00601708333335</v>
      </c>
      <c r="AF176" s="130">
        <f t="shared" si="101"/>
        <v>45.454545454545446</v>
      </c>
      <c r="AG176" s="131">
        <f>AD176*AF176%-0.01</f>
        <v>98.12954545454545</v>
      </c>
      <c r="AH176" s="51"/>
    </row>
    <row r="177" spans="1:34" x14ac:dyDescent="0.25">
      <c r="A177" s="1" t="s">
        <v>224</v>
      </c>
      <c r="B177" s="19">
        <v>8</v>
      </c>
      <c r="C177" s="19" t="s">
        <v>128</v>
      </c>
      <c r="D177" s="11">
        <v>2</v>
      </c>
      <c r="E177" s="14">
        <v>99.5</v>
      </c>
      <c r="F177" s="128">
        <f t="shared" si="93"/>
        <v>118796.035</v>
      </c>
      <c r="G177" s="128">
        <f t="shared" si="94"/>
        <v>1979.9339166666666</v>
      </c>
      <c r="H177" s="128">
        <f t="shared" si="95"/>
        <v>1781.940525</v>
      </c>
      <c r="I177" s="128">
        <f t="shared" si="96"/>
        <v>593.98017500000003</v>
      </c>
      <c r="J177" s="128">
        <f t="shared" si="97"/>
        <v>4355.8546166666665</v>
      </c>
      <c r="K177" s="128">
        <f t="shared" si="104"/>
        <v>362.98788472222219</v>
      </c>
      <c r="L177" s="128"/>
      <c r="M177" s="128">
        <f t="shared" si="98"/>
        <v>4599.7824751999997</v>
      </c>
      <c r="N177" s="128">
        <f>+K177*N168</f>
        <v>254.09151930555552</v>
      </c>
      <c r="O177" s="128">
        <f>+N177*O168</f>
        <v>203.27321544444442</v>
      </c>
      <c r="P177" s="128">
        <f>+N177*P168</f>
        <v>228.68236737499998</v>
      </c>
      <c r="Q177" s="128">
        <f>+N177*Q168</f>
        <v>254.09151930555552</v>
      </c>
      <c r="R177" s="128">
        <v>3124.11</v>
      </c>
      <c r="S177" s="128">
        <v>0</v>
      </c>
      <c r="T177" s="128">
        <f>R177*T168</f>
        <v>624.82200000000012</v>
      </c>
      <c r="U177" s="128">
        <v>0</v>
      </c>
      <c r="V177" s="128">
        <v>0</v>
      </c>
      <c r="W177" s="128">
        <f>P177</f>
        <v>228.68236737499998</v>
      </c>
      <c r="X177" s="128">
        <f>W177*12-0.03</f>
        <v>2744.1584084999995</v>
      </c>
      <c r="Y177" s="128">
        <f t="shared" si="102"/>
        <v>3029.5508829839996</v>
      </c>
      <c r="Z177" s="128">
        <f>Y177*(100+5.6)%-0.01</f>
        <v>3199.1957324311034</v>
      </c>
      <c r="AA177" s="128">
        <f t="shared" si="103"/>
        <v>3432.737020898574</v>
      </c>
      <c r="AB177" s="128">
        <f t="shared" si="92"/>
        <v>286.06141840821448</v>
      </c>
      <c r="AC177" s="128">
        <f t="shared" si="99"/>
        <v>362.98788472222219</v>
      </c>
      <c r="AD177" s="128">
        <f>AB177</f>
        <v>286.06141840821448</v>
      </c>
      <c r="AE177" s="128">
        <f t="shared" si="100"/>
        <v>164.99449305555555</v>
      </c>
      <c r="AF177" s="130">
        <f t="shared" si="101"/>
        <v>45.45454545454546</v>
      </c>
      <c r="AG177" s="131">
        <f>AD177*AF177%-0.02</f>
        <v>130.00791745827931</v>
      </c>
      <c r="AH177" s="51"/>
    </row>
    <row r="178" spans="1:34" x14ac:dyDescent="0.25">
      <c r="A178" s="1" t="s">
        <v>174</v>
      </c>
      <c r="B178" s="19">
        <v>9</v>
      </c>
      <c r="C178" s="19" t="s">
        <v>129</v>
      </c>
      <c r="D178" s="11">
        <v>2</v>
      </c>
      <c r="E178" s="14">
        <v>99.9</v>
      </c>
      <c r="F178" s="128">
        <f t="shared" si="93"/>
        <v>119273.60700000002</v>
      </c>
      <c r="G178" s="128">
        <f t="shared" si="94"/>
        <v>1987.8934500000003</v>
      </c>
      <c r="H178" s="128">
        <f t="shared" si="95"/>
        <v>1789.1041050000001</v>
      </c>
      <c r="I178" s="128">
        <f t="shared" si="96"/>
        <v>596.36803500000008</v>
      </c>
      <c r="J178" s="128">
        <f t="shared" si="97"/>
        <v>4373.3655900000003</v>
      </c>
      <c r="K178" s="128">
        <f t="shared" si="104"/>
        <v>364.44713250000001</v>
      </c>
      <c r="L178" s="128"/>
      <c r="M178" s="128">
        <f t="shared" si="98"/>
        <v>4618.2740630400003</v>
      </c>
      <c r="N178" s="128">
        <f>K178*N168</f>
        <v>255.11299274999999</v>
      </c>
      <c r="O178" s="128">
        <f>+N178*O168</f>
        <v>204.09039419999999</v>
      </c>
      <c r="P178" s="128">
        <f>+N178*P168</f>
        <v>229.60169347499999</v>
      </c>
      <c r="Q178" s="128">
        <f>+N178*Q168</f>
        <v>255.11299274999999</v>
      </c>
      <c r="R178" s="128">
        <v>2437.0300000000002</v>
      </c>
      <c r="S178" s="128">
        <f>R178*S168</f>
        <v>243.70300000000003</v>
      </c>
      <c r="T178" s="128">
        <v>0</v>
      </c>
      <c r="U178" s="128">
        <v>0</v>
      </c>
      <c r="V178" s="128">
        <v>0</v>
      </c>
      <c r="W178" s="128">
        <f>O178</f>
        <v>204.09039419999999</v>
      </c>
      <c r="X178" s="128">
        <f>W178*12+0.05</f>
        <v>2449.1347304000001</v>
      </c>
      <c r="Y178" s="128">
        <f t="shared" si="102"/>
        <v>2703.8447423616003</v>
      </c>
      <c r="Z178" s="128">
        <f t="shared" si="91"/>
        <v>2855.2600479338503</v>
      </c>
      <c r="AA178" s="128">
        <f t="shared" si="103"/>
        <v>3063.6940314330213</v>
      </c>
      <c r="AB178" s="128">
        <f>AA178/12+0.01</f>
        <v>255.31783595275178</v>
      </c>
      <c r="AC178" s="128">
        <f t="shared" si="99"/>
        <v>364.44713250000001</v>
      </c>
      <c r="AD178" s="128">
        <f>S178</f>
        <v>243.70300000000003</v>
      </c>
      <c r="AE178" s="128">
        <f t="shared" si="100"/>
        <v>165.65778750000001</v>
      </c>
      <c r="AF178" s="130">
        <f t="shared" si="101"/>
        <v>45.45454545454546</v>
      </c>
      <c r="AG178" s="131">
        <f>AD178*AF178%-0.01</f>
        <v>110.76409090909092</v>
      </c>
      <c r="AH178" s="51"/>
    </row>
    <row r="179" spans="1:34" x14ac:dyDescent="0.25">
      <c r="A179" s="1" t="s">
        <v>225</v>
      </c>
      <c r="B179" s="19">
        <v>10</v>
      </c>
      <c r="C179" s="19" t="s">
        <v>130</v>
      </c>
      <c r="D179" s="11">
        <v>2</v>
      </c>
      <c r="E179" s="14">
        <v>100.22</v>
      </c>
      <c r="F179" s="128">
        <f t="shared" si="93"/>
        <v>119655.6646</v>
      </c>
      <c r="G179" s="128">
        <f t="shared" si="94"/>
        <v>1994.2610766666667</v>
      </c>
      <c r="H179" s="128">
        <f t="shared" si="95"/>
        <v>1794.834969</v>
      </c>
      <c r="I179" s="128">
        <f t="shared" si="96"/>
        <v>598.278323</v>
      </c>
      <c r="J179" s="128">
        <f t="shared" si="97"/>
        <v>4387.3743686666667</v>
      </c>
      <c r="K179" s="128">
        <f t="shared" si="104"/>
        <v>365.61453072222224</v>
      </c>
      <c r="L179" s="128"/>
      <c r="M179" s="128">
        <f t="shared" si="98"/>
        <v>4633.0673333120003</v>
      </c>
      <c r="N179" s="128">
        <f>+K179*N168</f>
        <v>255.93017150555556</v>
      </c>
      <c r="O179" s="128">
        <f>+N179*O168</f>
        <v>204.74413720444446</v>
      </c>
      <c r="P179" s="128">
        <f>+N179*P168</f>
        <v>230.33715435500002</v>
      </c>
      <c r="Q179" s="128">
        <f>+N179*Q168</f>
        <v>255.93017150555556</v>
      </c>
      <c r="R179" s="128">
        <v>2054.42</v>
      </c>
      <c r="S179" s="128">
        <f>R179*S168</f>
        <v>205.44200000000001</v>
      </c>
      <c r="T179" s="128">
        <v>0</v>
      </c>
      <c r="U179" s="128">
        <v>0</v>
      </c>
      <c r="V179" s="128">
        <v>0</v>
      </c>
      <c r="W179" s="128">
        <v>204.74</v>
      </c>
      <c r="X179" s="128">
        <f>W179*12</f>
        <v>2456.88</v>
      </c>
      <c r="Y179" s="128">
        <f t="shared" si="102"/>
        <v>2712.3955200000005</v>
      </c>
      <c r="Z179" s="128">
        <f t="shared" si="91"/>
        <v>2864.2896691200008</v>
      </c>
      <c r="AA179" s="128">
        <f t="shared" si="103"/>
        <v>3073.3828149657606</v>
      </c>
      <c r="AB179" s="128">
        <f t="shared" si="92"/>
        <v>256.11523458048003</v>
      </c>
      <c r="AC179" s="128">
        <f t="shared" si="99"/>
        <v>365.61453072222224</v>
      </c>
      <c r="AD179" s="128">
        <f>S179</f>
        <v>205.44200000000001</v>
      </c>
      <c r="AE179" s="128">
        <f t="shared" si="100"/>
        <v>166.18842305555555</v>
      </c>
      <c r="AF179" s="130">
        <f t="shared" si="101"/>
        <v>45.454545454545446</v>
      </c>
      <c r="AG179" s="131">
        <f>AD179*AF179%-0.01</f>
        <v>93.372727272727261</v>
      </c>
      <c r="AH179" s="51"/>
    </row>
    <row r="180" spans="1:34" x14ac:dyDescent="0.25">
      <c r="B180" s="8"/>
      <c r="C180" s="230" t="s">
        <v>77</v>
      </c>
      <c r="D180" s="230"/>
      <c r="E180" s="38">
        <f>SUM(E170:E179)</f>
        <v>952.99</v>
      </c>
      <c r="F180" s="148">
        <f>SUM(F170:F179)-0.01</f>
        <v>1137803.3407000001</v>
      </c>
      <c r="G180" s="148">
        <f>SUM(G170:G179)-0.01</f>
        <v>18963.379178333336</v>
      </c>
      <c r="H180" s="148">
        <f>SUM(H170:H179)-0.01</f>
        <v>17067.040260500002</v>
      </c>
      <c r="I180" s="148">
        <f>SUM(I170:I179)-0.01</f>
        <v>5689.0067535000017</v>
      </c>
      <c r="J180" s="148">
        <f>SUM(J170:J179)-0.01</f>
        <v>41719.446192333329</v>
      </c>
      <c r="K180" s="148">
        <f>SUM(K170:K179)</f>
        <v>3476.6213493611112</v>
      </c>
      <c r="L180" s="148"/>
      <c r="M180" s="148">
        <f>SUM(M170:M179)</f>
        <v>44055.745739104008</v>
      </c>
      <c r="N180" s="148">
        <f>SUM(N170:N179)+0.01</f>
        <v>2433.6449445527778</v>
      </c>
      <c r="O180" s="148">
        <f>SUM(O170:O179)-0.02</f>
        <v>1946.8879556422226</v>
      </c>
      <c r="P180" s="148">
        <f>SUM(P170:P179)</f>
        <v>2190.2714500975003</v>
      </c>
      <c r="Q180" s="148">
        <f>SUM(Q170:Q179)+0.01</f>
        <v>2433.6449445527778</v>
      </c>
      <c r="R180" s="148"/>
      <c r="S180" s="148">
        <f>SUM(S170:S179)</f>
        <v>1495.8220000000001</v>
      </c>
      <c r="T180" s="148">
        <f t="shared" ref="T180:AG180" si="105">SUM(T170:T179)</f>
        <v>624.82200000000012</v>
      </c>
      <c r="U180" s="148">
        <f t="shared" si="105"/>
        <v>0</v>
      </c>
      <c r="V180" s="148">
        <f t="shared" si="105"/>
        <v>0</v>
      </c>
      <c r="W180" s="148">
        <f>SUM(W170:W179)-0.01</f>
        <v>2067.5706911644447</v>
      </c>
      <c r="X180" s="148">
        <f t="shared" si="105"/>
        <v>24810.938293973337</v>
      </c>
      <c r="Y180" s="148">
        <f>SUM(Y170:Y179)-0.01</f>
        <v>27391.27587654657</v>
      </c>
      <c r="Z180" s="148">
        <f t="shared" si="105"/>
        <v>28925.187885633175</v>
      </c>
      <c r="AA180" s="148">
        <f>SUM(AA170:AA179)-0.02</f>
        <v>31036.726601284394</v>
      </c>
      <c r="AB180" s="148">
        <f>SUM(AB170:AB179)-0.01</f>
        <v>2586.3955501070327</v>
      </c>
      <c r="AC180" s="148">
        <f t="shared" si="105"/>
        <v>3476.6213493611112</v>
      </c>
      <c r="AD180" s="148">
        <f>SUM(AD170:AD179)-0.01</f>
        <v>2375.0431658481361</v>
      </c>
      <c r="AE180" s="148">
        <f>SUM(AE170:AE179)</f>
        <v>1580.282431527778</v>
      </c>
      <c r="AF180" s="148">
        <f>SUM(AF170:AF179)-0.05</f>
        <v>454.49545454545444</v>
      </c>
      <c r="AG180" s="148">
        <f t="shared" si="105"/>
        <v>1079.4496208400617</v>
      </c>
      <c r="AH180" s="51"/>
    </row>
    <row r="181" spans="1:34" x14ac:dyDescent="0.25">
      <c r="B181" s="4"/>
      <c r="C181" s="20"/>
      <c r="D181" s="20"/>
      <c r="E181" s="17"/>
      <c r="F181" s="17"/>
      <c r="G181" s="17"/>
      <c r="H181" s="17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"/>
    </row>
    <row r="182" spans="1:34" ht="20.25" x14ac:dyDescent="0.25">
      <c r="C182" s="223" t="s">
        <v>131</v>
      </c>
      <c r="D182" s="223"/>
      <c r="E182" s="223"/>
      <c r="F182" s="223"/>
      <c r="G182" s="223"/>
      <c r="H182" s="223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"/>
    </row>
    <row r="183" spans="1:34" x14ac:dyDescent="0.25">
      <c r="B183" s="4"/>
      <c r="C183" s="52"/>
      <c r="D183" s="52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"/>
    </row>
    <row r="184" spans="1:34" ht="20.25" x14ac:dyDescent="0.25">
      <c r="B184" s="4"/>
      <c r="C184" s="224" t="s">
        <v>0</v>
      </c>
      <c r="D184" s="224"/>
      <c r="E184" s="42"/>
      <c r="F184" s="4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22.1" customHeight="1" x14ac:dyDescent="0.25">
      <c r="B186" s="215" t="s">
        <v>1</v>
      </c>
      <c r="C186" s="217" t="s">
        <v>56</v>
      </c>
      <c r="D186" s="209" t="s">
        <v>3</v>
      </c>
      <c r="E186" s="209" t="s">
        <v>4</v>
      </c>
      <c r="F186" s="209" t="s">
        <v>5</v>
      </c>
      <c r="G186" s="209" t="s">
        <v>6</v>
      </c>
      <c r="H186" s="209" t="s">
        <v>7</v>
      </c>
      <c r="I186" s="209" t="s">
        <v>8</v>
      </c>
      <c r="J186" s="209" t="s">
        <v>9</v>
      </c>
      <c r="K186" s="209" t="s">
        <v>57</v>
      </c>
      <c r="L186" s="22" t="s">
        <v>10</v>
      </c>
      <c r="M186" s="22" t="s">
        <v>10</v>
      </c>
      <c r="N186" s="22" t="s">
        <v>12</v>
      </c>
      <c r="O186" s="211" t="s">
        <v>13</v>
      </c>
      <c r="P186" s="212"/>
      <c r="Q186" s="213"/>
      <c r="R186" s="209" t="s">
        <v>14</v>
      </c>
      <c r="S186" s="225" t="s">
        <v>58</v>
      </c>
      <c r="T186" s="226"/>
      <c r="U186" s="226"/>
      <c r="V186" s="227"/>
      <c r="W186" s="207" t="s">
        <v>21</v>
      </c>
      <c r="X186" s="209" t="s">
        <v>9</v>
      </c>
      <c r="Y186" s="22" t="s">
        <v>242</v>
      </c>
      <c r="Z186" s="22" t="s">
        <v>243</v>
      </c>
      <c r="AA186" s="22" t="s">
        <v>156</v>
      </c>
      <c r="AB186" s="207" t="s">
        <v>59</v>
      </c>
      <c r="AC186" s="228" t="s">
        <v>18</v>
      </c>
      <c r="AD186" s="229"/>
      <c r="AE186" s="229"/>
      <c r="AF186" s="229"/>
      <c r="AG186" s="205" t="s">
        <v>19</v>
      </c>
      <c r="AH186" s="4"/>
    </row>
    <row r="187" spans="1:34" ht="51" x14ac:dyDescent="0.25">
      <c r="B187" s="216"/>
      <c r="C187" s="218"/>
      <c r="D187" s="210"/>
      <c r="E187" s="210"/>
      <c r="F187" s="210"/>
      <c r="G187" s="210"/>
      <c r="H187" s="210"/>
      <c r="I187" s="210"/>
      <c r="J187" s="210"/>
      <c r="K187" s="210"/>
      <c r="L187" s="22">
        <v>5.6</v>
      </c>
      <c r="M187" s="22">
        <v>5.6</v>
      </c>
      <c r="N187" s="22">
        <v>0.7</v>
      </c>
      <c r="O187" s="23">
        <v>0.8</v>
      </c>
      <c r="P187" s="24">
        <v>0.9</v>
      </c>
      <c r="Q187" s="28">
        <v>1</v>
      </c>
      <c r="R187" s="210"/>
      <c r="S187" s="29">
        <v>0.1</v>
      </c>
      <c r="T187" s="30">
        <v>0.2</v>
      </c>
      <c r="U187" s="30">
        <v>0.3</v>
      </c>
      <c r="V187" s="30">
        <v>0.1</v>
      </c>
      <c r="W187" s="208"/>
      <c r="X187" s="210"/>
      <c r="Y187" s="22">
        <v>10.4</v>
      </c>
      <c r="Z187" s="22">
        <v>5.6</v>
      </c>
      <c r="AA187" s="22">
        <v>7.3</v>
      </c>
      <c r="AB187" s="208"/>
      <c r="AC187" s="33" t="s">
        <v>20</v>
      </c>
      <c r="AD187" s="33" t="s">
        <v>21</v>
      </c>
      <c r="AE187" s="33" t="s">
        <v>22</v>
      </c>
      <c r="AF187" s="33" t="s">
        <v>23</v>
      </c>
      <c r="AG187" s="206"/>
      <c r="AH187" s="4"/>
    </row>
    <row r="188" spans="1:34" x14ac:dyDescent="0.25">
      <c r="B188" s="7"/>
      <c r="C188" s="8"/>
      <c r="D188" s="9">
        <v>0</v>
      </c>
      <c r="E188" s="9">
        <v>1</v>
      </c>
      <c r="F188" s="9">
        <v>2</v>
      </c>
      <c r="G188" s="9" t="s">
        <v>24</v>
      </c>
      <c r="H188" s="9" t="s">
        <v>25</v>
      </c>
      <c r="I188" s="9" t="s">
        <v>26</v>
      </c>
      <c r="J188" s="9" t="s">
        <v>27</v>
      </c>
      <c r="K188" s="25" t="s">
        <v>60</v>
      </c>
      <c r="L188" s="9" t="s">
        <v>61</v>
      </c>
      <c r="M188" s="9" t="s">
        <v>61</v>
      </c>
      <c r="N188" s="9" t="s">
        <v>62</v>
      </c>
      <c r="O188" s="9" t="s">
        <v>63</v>
      </c>
      <c r="P188" s="9" t="s">
        <v>63</v>
      </c>
      <c r="Q188" s="9" t="s">
        <v>63</v>
      </c>
      <c r="R188" s="9">
        <v>9</v>
      </c>
      <c r="S188" s="31" t="s">
        <v>161</v>
      </c>
      <c r="T188" s="31" t="s">
        <v>162</v>
      </c>
      <c r="U188" s="31" t="s">
        <v>163</v>
      </c>
      <c r="V188" s="31" t="s">
        <v>164</v>
      </c>
      <c r="W188" s="31" t="s">
        <v>64</v>
      </c>
      <c r="X188" s="9" t="s">
        <v>65</v>
      </c>
      <c r="Y188" s="9" t="s">
        <v>66</v>
      </c>
      <c r="Z188" s="9" t="s">
        <v>67</v>
      </c>
      <c r="AA188" s="9" t="s">
        <v>246</v>
      </c>
      <c r="AB188" s="9" t="s">
        <v>240</v>
      </c>
      <c r="AC188" s="9">
        <v>16</v>
      </c>
      <c r="AD188" s="31" t="s">
        <v>158</v>
      </c>
      <c r="AE188" s="31" t="s">
        <v>159</v>
      </c>
      <c r="AF188" s="31" t="s">
        <v>160</v>
      </c>
      <c r="AG188" s="9">
        <v>17</v>
      </c>
      <c r="AH188" s="4"/>
    </row>
    <row r="189" spans="1:34" ht="15" x14ac:dyDescent="0.25">
      <c r="A189" s="1" t="s">
        <v>226</v>
      </c>
      <c r="B189" s="124">
        <v>1</v>
      </c>
      <c r="C189" s="116" t="s">
        <v>132</v>
      </c>
      <c r="D189" s="125">
        <v>2</v>
      </c>
      <c r="E189" s="153">
        <v>87.96</v>
      </c>
      <c r="F189" s="153">
        <f>+E189*1193.52</f>
        <v>104982.0192</v>
      </c>
      <c r="G189" s="153">
        <f>+F189/60</f>
        <v>1749.7003199999999</v>
      </c>
      <c r="H189" s="153">
        <f>+F189*1.5%</f>
        <v>1574.730288</v>
      </c>
      <c r="I189" s="153">
        <v>0</v>
      </c>
      <c r="J189" s="153">
        <f>+G189+H189+I189</f>
        <v>3324.4306079999997</v>
      </c>
      <c r="K189" s="153">
        <f>+J189/12</f>
        <v>277.03588399999995</v>
      </c>
      <c r="L189" s="153"/>
      <c r="M189" s="153">
        <f>+J189*(100%+5.6%)</f>
        <v>3510.5987220479997</v>
      </c>
      <c r="N189" s="153">
        <f>+K189*N187</f>
        <v>193.92511879999995</v>
      </c>
      <c r="O189" s="153">
        <f>+N189*O187</f>
        <v>155.14009503999998</v>
      </c>
      <c r="P189" s="153">
        <f>+N189*P187</f>
        <v>174.53260691999995</v>
      </c>
      <c r="Q189" s="153">
        <f>+N189*Q187</f>
        <v>193.92511879999995</v>
      </c>
      <c r="R189" s="139" t="s">
        <v>251</v>
      </c>
      <c r="S189" s="153">
        <v>0</v>
      </c>
      <c r="T189" s="153">
        <v>0</v>
      </c>
      <c r="U189" s="153">
        <v>0</v>
      </c>
      <c r="V189" s="153">
        <v>0</v>
      </c>
      <c r="W189" s="153">
        <f>N189</f>
        <v>193.92511879999995</v>
      </c>
      <c r="X189" s="153">
        <f>W189*12+0.06</f>
        <v>2327.1614255999993</v>
      </c>
      <c r="Y189" s="153">
        <v>0</v>
      </c>
      <c r="Z189" s="153">
        <v>0</v>
      </c>
      <c r="AA189" s="153">
        <f>X189*(100+7.3)%</f>
        <v>2497.0442096687993</v>
      </c>
      <c r="AB189" s="153">
        <f>AA189/12</f>
        <v>208.08701747239994</v>
      </c>
      <c r="AC189" s="153">
        <f>K189</f>
        <v>277.03588399999995</v>
      </c>
      <c r="AD189" s="153">
        <f>AB189</f>
        <v>208.08701747239994</v>
      </c>
      <c r="AE189" s="153">
        <f>G189/12</f>
        <v>145.80835999999999</v>
      </c>
      <c r="AF189" s="162">
        <f>AE189/AC189*100</f>
        <v>52.631578947368432</v>
      </c>
      <c r="AG189" s="163">
        <f>AD189*AF189%</f>
        <v>109.5194828802105</v>
      </c>
      <c r="AH189" s="51"/>
    </row>
    <row r="190" spans="1:34" x14ac:dyDescent="0.25">
      <c r="B190" s="7"/>
      <c r="C190" s="219" t="s">
        <v>77</v>
      </c>
      <c r="D190" s="219"/>
      <c r="E190" s="132">
        <f>+E189</f>
        <v>87.96</v>
      </c>
      <c r="F190" s="132">
        <f t="shared" ref="F190:H190" si="106">SUM(F189:F189)</f>
        <v>104982.0192</v>
      </c>
      <c r="G190" s="132">
        <f t="shared" si="106"/>
        <v>1749.7003199999999</v>
      </c>
      <c r="H190" s="132">
        <f t="shared" si="106"/>
        <v>1574.730288</v>
      </c>
      <c r="I190" s="132">
        <f>+I189</f>
        <v>0</v>
      </c>
      <c r="J190" s="132">
        <f>SUM(J189:J189)</f>
        <v>3324.4306079999997</v>
      </c>
      <c r="K190" s="132">
        <f>+K189</f>
        <v>277.03588399999995</v>
      </c>
      <c r="L190" s="132"/>
      <c r="M190" s="132">
        <f>SUM(M189:M189)</f>
        <v>3510.5987220479997</v>
      </c>
      <c r="N190" s="132">
        <f>+N189</f>
        <v>193.92511879999995</v>
      </c>
      <c r="O190" s="132">
        <f>+O189</f>
        <v>155.14009503999998</v>
      </c>
      <c r="P190" s="132">
        <f>+P189</f>
        <v>174.53260691999995</v>
      </c>
      <c r="Q190" s="132">
        <f>+Q189</f>
        <v>193.92511879999995</v>
      </c>
      <c r="R190" s="132"/>
      <c r="S190" s="132">
        <f>SUM(S189)</f>
        <v>0</v>
      </c>
      <c r="T190" s="132">
        <f t="shared" ref="T190:AG190" si="107">SUM(T189)</f>
        <v>0</v>
      </c>
      <c r="U190" s="132">
        <f t="shared" si="107"/>
        <v>0</v>
      </c>
      <c r="V190" s="132">
        <f t="shared" si="107"/>
        <v>0</v>
      </c>
      <c r="W190" s="132">
        <f t="shared" si="107"/>
        <v>193.92511879999995</v>
      </c>
      <c r="X190" s="132">
        <f t="shared" si="107"/>
        <v>2327.1614255999993</v>
      </c>
      <c r="Y190" s="132">
        <f t="shared" si="107"/>
        <v>0</v>
      </c>
      <c r="Z190" s="132">
        <f t="shared" si="107"/>
        <v>0</v>
      </c>
      <c r="AA190" s="132">
        <f t="shared" si="107"/>
        <v>2497.0442096687993</v>
      </c>
      <c r="AB190" s="132">
        <f t="shared" si="107"/>
        <v>208.08701747239994</v>
      </c>
      <c r="AC190" s="132">
        <f t="shared" si="107"/>
        <v>277.03588399999995</v>
      </c>
      <c r="AD190" s="132">
        <f t="shared" si="107"/>
        <v>208.08701747239994</v>
      </c>
      <c r="AE190" s="132">
        <f t="shared" si="107"/>
        <v>145.80835999999999</v>
      </c>
      <c r="AF190" s="132">
        <f t="shared" si="107"/>
        <v>52.631578947368432</v>
      </c>
      <c r="AG190" s="132">
        <f t="shared" si="107"/>
        <v>109.5194828802105</v>
      </c>
      <c r="AH190" s="4"/>
    </row>
    <row r="191" spans="1:34" ht="20.25" x14ac:dyDescent="0.25">
      <c r="B191" s="4"/>
      <c r="C191" s="224" t="s">
        <v>101</v>
      </c>
      <c r="D191" s="224"/>
      <c r="E191" s="42"/>
      <c r="F191" s="42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"/>
    </row>
    <row r="192" spans="1:34" x14ac:dyDescent="0.25">
      <c r="B192" s="4"/>
      <c r="C192" s="4"/>
      <c r="D192" s="4"/>
      <c r="E192" s="4"/>
      <c r="F192" s="4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"/>
    </row>
    <row r="193" spans="1:34" ht="121.5" customHeight="1" x14ac:dyDescent="0.25">
      <c r="B193" s="215" t="s">
        <v>1</v>
      </c>
      <c r="C193" s="217" t="s">
        <v>56</v>
      </c>
      <c r="D193" s="209" t="s">
        <v>3</v>
      </c>
      <c r="E193" s="209" t="s">
        <v>4</v>
      </c>
      <c r="F193" s="209" t="s">
        <v>5</v>
      </c>
      <c r="G193" s="209" t="s">
        <v>6</v>
      </c>
      <c r="H193" s="209" t="s">
        <v>7</v>
      </c>
      <c r="I193" s="209" t="s">
        <v>8</v>
      </c>
      <c r="J193" s="209" t="s">
        <v>9</v>
      </c>
      <c r="K193" s="209" t="s">
        <v>57</v>
      </c>
      <c r="L193" s="22" t="s">
        <v>10</v>
      </c>
      <c r="M193" s="22" t="s">
        <v>10</v>
      </c>
      <c r="N193" s="22" t="s">
        <v>12</v>
      </c>
      <c r="O193" s="211" t="s">
        <v>13</v>
      </c>
      <c r="P193" s="212"/>
      <c r="Q193" s="213"/>
      <c r="R193" s="209" t="s">
        <v>14</v>
      </c>
      <c r="S193" s="225" t="s">
        <v>58</v>
      </c>
      <c r="T193" s="226"/>
      <c r="U193" s="226"/>
      <c r="V193" s="227"/>
      <c r="W193" s="207" t="s">
        <v>21</v>
      </c>
      <c r="X193" s="209" t="s">
        <v>9</v>
      </c>
      <c r="Y193" s="22" t="s">
        <v>242</v>
      </c>
      <c r="Z193" s="22" t="s">
        <v>243</v>
      </c>
      <c r="AA193" s="22" t="s">
        <v>156</v>
      </c>
      <c r="AB193" s="207" t="s">
        <v>59</v>
      </c>
      <c r="AC193" s="228" t="s">
        <v>18</v>
      </c>
      <c r="AD193" s="229"/>
      <c r="AE193" s="229"/>
      <c r="AF193" s="229"/>
      <c r="AG193" s="205" t="s">
        <v>19</v>
      </c>
      <c r="AH193" s="4"/>
    </row>
    <row r="194" spans="1:34" ht="51" x14ac:dyDescent="0.25">
      <c r="B194" s="216"/>
      <c r="C194" s="218"/>
      <c r="D194" s="210"/>
      <c r="E194" s="210"/>
      <c r="F194" s="210"/>
      <c r="G194" s="210"/>
      <c r="H194" s="210"/>
      <c r="I194" s="210"/>
      <c r="J194" s="210"/>
      <c r="K194" s="210"/>
      <c r="L194" s="22">
        <v>5.6</v>
      </c>
      <c r="M194" s="22">
        <v>5.6</v>
      </c>
      <c r="N194" s="22">
        <v>0.7</v>
      </c>
      <c r="O194" s="23">
        <v>0.8</v>
      </c>
      <c r="P194" s="24">
        <v>0.9</v>
      </c>
      <c r="Q194" s="28">
        <v>1</v>
      </c>
      <c r="R194" s="210"/>
      <c r="S194" s="29">
        <v>0.1</v>
      </c>
      <c r="T194" s="30">
        <v>0.2</v>
      </c>
      <c r="U194" s="30">
        <v>0.3</v>
      </c>
      <c r="V194" s="30">
        <v>0.1</v>
      </c>
      <c r="W194" s="208"/>
      <c r="X194" s="210"/>
      <c r="Y194" s="22">
        <v>10.4</v>
      </c>
      <c r="Z194" s="22">
        <v>5.6</v>
      </c>
      <c r="AA194" s="22">
        <v>7.3</v>
      </c>
      <c r="AB194" s="208"/>
      <c r="AC194" s="33" t="s">
        <v>20</v>
      </c>
      <c r="AD194" s="33" t="s">
        <v>21</v>
      </c>
      <c r="AE194" s="33" t="s">
        <v>22</v>
      </c>
      <c r="AF194" s="33" t="s">
        <v>23</v>
      </c>
      <c r="AG194" s="206"/>
      <c r="AH194" s="4"/>
    </row>
    <row r="195" spans="1:34" x14ac:dyDescent="0.25">
      <c r="B195" s="7"/>
      <c r="C195" s="8"/>
      <c r="D195" s="9">
        <v>0</v>
      </c>
      <c r="E195" s="9">
        <v>1</v>
      </c>
      <c r="F195" s="9">
        <v>2</v>
      </c>
      <c r="G195" s="9" t="s">
        <v>24</v>
      </c>
      <c r="H195" s="9" t="s">
        <v>25</v>
      </c>
      <c r="I195" s="9" t="s">
        <v>26</v>
      </c>
      <c r="J195" s="9" t="s">
        <v>27</v>
      </c>
      <c r="K195" s="25" t="s">
        <v>60</v>
      </c>
      <c r="L195" s="9" t="s">
        <v>61</v>
      </c>
      <c r="M195" s="9" t="s">
        <v>61</v>
      </c>
      <c r="N195" s="9" t="s">
        <v>62</v>
      </c>
      <c r="O195" s="9" t="s">
        <v>63</v>
      </c>
      <c r="P195" s="9" t="s">
        <v>63</v>
      </c>
      <c r="Q195" s="9" t="s">
        <v>63</v>
      </c>
      <c r="R195" s="9">
        <v>9</v>
      </c>
      <c r="S195" s="31" t="s">
        <v>161</v>
      </c>
      <c r="T195" s="31" t="s">
        <v>162</v>
      </c>
      <c r="U195" s="31" t="s">
        <v>163</v>
      </c>
      <c r="V195" s="31" t="s">
        <v>164</v>
      </c>
      <c r="W195" s="31" t="s">
        <v>64</v>
      </c>
      <c r="X195" s="9" t="s">
        <v>65</v>
      </c>
      <c r="Y195" s="9" t="s">
        <v>66</v>
      </c>
      <c r="Z195" s="9" t="s">
        <v>67</v>
      </c>
      <c r="AA195" s="9" t="s">
        <v>246</v>
      </c>
      <c r="AB195" s="9" t="s">
        <v>240</v>
      </c>
      <c r="AC195" s="9">
        <v>16</v>
      </c>
      <c r="AD195" s="31" t="s">
        <v>158</v>
      </c>
      <c r="AE195" s="31" t="s">
        <v>159</v>
      </c>
      <c r="AF195" s="31" t="s">
        <v>160</v>
      </c>
      <c r="AG195" s="9">
        <v>17</v>
      </c>
      <c r="AH195" s="4"/>
    </row>
    <row r="196" spans="1:34" x14ac:dyDescent="0.25">
      <c r="A196" s="1" t="s">
        <v>227</v>
      </c>
      <c r="B196" s="19">
        <v>1</v>
      </c>
      <c r="C196" s="19" t="s">
        <v>133</v>
      </c>
      <c r="D196" s="11">
        <v>2</v>
      </c>
      <c r="E196" s="19">
        <v>87.95</v>
      </c>
      <c r="F196" s="14">
        <f>+E196*1193.52</f>
        <v>104970.084</v>
      </c>
      <c r="G196" s="14">
        <f>+F196/60</f>
        <v>1749.5014000000001</v>
      </c>
      <c r="H196" s="14">
        <f>+F196*1.5%</f>
        <v>1574.55126</v>
      </c>
      <c r="I196" s="14">
        <f>+F196*0.5%</f>
        <v>524.85041999999999</v>
      </c>
      <c r="J196" s="14">
        <f>+G196+H196+I196</f>
        <v>3848.90308</v>
      </c>
      <c r="K196" s="14">
        <f>+J196/12</f>
        <v>320.74192333333332</v>
      </c>
      <c r="L196" s="14"/>
      <c r="M196" s="14">
        <f>J196*(100%+5.6%)</f>
        <v>4064.4416524800004</v>
      </c>
      <c r="N196" s="14">
        <f>+K196*N194</f>
        <v>224.51934633333332</v>
      </c>
      <c r="O196" s="14">
        <f>+N196*O194</f>
        <v>179.61547706666667</v>
      </c>
      <c r="P196" s="14">
        <f>+N196*P194</f>
        <v>202.06741169999998</v>
      </c>
      <c r="Q196" s="14">
        <f>+N196*Q194</f>
        <v>224.51934633333332</v>
      </c>
      <c r="R196" s="14">
        <v>1585.02</v>
      </c>
      <c r="S196" s="14">
        <f>R196*S194</f>
        <v>158.50200000000001</v>
      </c>
      <c r="T196" s="14">
        <v>0</v>
      </c>
      <c r="U196" s="14">
        <v>0</v>
      </c>
      <c r="V196" s="14">
        <v>0</v>
      </c>
      <c r="W196" s="14">
        <f>O196</f>
        <v>179.61547706666667</v>
      </c>
      <c r="X196" s="14">
        <v>2155.44</v>
      </c>
      <c r="Y196" s="14">
        <v>2379.61</v>
      </c>
      <c r="Z196" s="14">
        <v>2512.87</v>
      </c>
      <c r="AA196" s="37">
        <f>Z196*(100+7.3)%</f>
        <v>2696.3095099999996</v>
      </c>
      <c r="AB196" s="14">
        <f>AA196/12</f>
        <v>224.69245916666662</v>
      </c>
      <c r="AC196" s="14">
        <f>K196</f>
        <v>320.74192333333332</v>
      </c>
      <c r="AD196" s="14">
        <f>S196</f>
        <v>158.50200000000001</v>
      </c>
      <c r="AE196" s="14">
        <f>G196/12</f>
        <v>145.79178333333334</v>
      </c>
      <c r="AF196" s="34">
        <f>AE196/AC196*100</f>
        <v>45.45454545454546</v>
      </c>
      <c r="AG196" s="144">
        <f>AD196*AF196%</f>
        <v>72.046363636363651</v>
      </c>
      <c r="AH196" s="4"/>
    </row>
    <row r="197" spans="1:34" x14ac:dyDescent="0.25">
      <c r="A197" s="1" t="s">
        <v>228</v>
      </c>
      <c r="B197" s="19">
        <v>2</v>
      </c>
      <c r="C197" s="19" t="s">
        <v>134</v>
      </c>
      <c r="D197" s="11">
        <v>2</v>
      </c>
      <c r="E197" s="19">
        <v>86.82</v>
      </c>
      <c r="F197" s="14">
        <f>+E197*1193.52</f>
        <v>103621.40639999999</v>
      </c>
      <c r="G197" s="14">
        <v>1727.03</v>
      </c>
      <c r="H197" s="14">
        <f>+F197*1.5%</f>
        <v>1554.3210959999999</v>
      </c>
      <c r="I197" s="14">
        <f>+F197*0.5%</f>
        <v>518.107032</v>
      </c>
      <c r="J197" s="14">
        <f>+G197+H197+I197</f>
        <v>3799.4581279999998</v>
      </c>
      <c r="K197" s="14">
        <f>+J197/12</f>
        <v>316.62151066666667</v>
      </c>
      <c r="L197" s="14"/>
      <c r="M197" s="14">
        <f>J197*(100%+5.6%)</f>
        <v>4012.2277831679999</v>
      </c>
      <c r="N197" s="14">
        <v>221.63</v>
      </c>
      <c r="O197" s="14">
        <f>+N197*O194</f>
        <v>177.304</v>
      </c>
      <c r="P197" s="14">
        <f>+N197*P194</f>
        <v>199.46700000000001</v>
      </c>
      <c r="Q197" s="14">
        <f>+N197*Q194</f>
        <v>221.63</v>
      </c>
      <c r="R197" s="143" t="s">
        <v>251</v>
      </c>
      <c r="S197" s="143">
        <v>0</v>
      </c>
      <c r="T197" s="143">
        <v>0</v>
      </c>
      <c r="U197" s="143">
        <v>0</v>
      </c>
      <c r="V197" s="143">
        <v>0</v>
      </c>
      <c r="W197" s="143">
        <f>N197</f>
        <v>221.63</v>
      </c>
      <c r="X197" s="143">
        <f>W197*12</f>
        <v>2659.56</v>
      </c>
      <c r="Y197" s="143">
        <f>X197*(100+10.4)%</f>
        <v>2936.1542400000003</v>
      </c>
      <c r="Z197" s="143">
        <f>Y197*(100+5.6)%-0.01</f>
        <v>3100.5688774400001</v>
      </c>
      <c r="AA197" s="143">
        <f>Z197*(100+7.3)%</f>
        <v>3326.9104054931199</v>
      </c>
      <c r="AB197" s="143">
        <f>AA197/12</f>
        <v>277.24253379109331</v>
      </c>
      <c r="AC197" s="143">
        <f t="shared" ref="AC197:AC200" si="108">K197</f>
        <v>316.62151066666667</v>
      </c>
      <c r="AD197" s="143">
        <f>AB197</f>
        <v>277.24253379109331</v>
      </c>
      <c r="AE197" s="143">
        <f t="shared" ref="AE197:AE200" si="109">G197/12</f>
        <v>143.91916666666665</v>
      </c>
      <c r="AF197" s="137">
        <f t="shared" ref="AF197:AF200" si="110">AE197/AC197*100</f>
        <v>45.454639630654192</v>
      </c>
      <c r="AG197" s="144">
        <f>AD197*AF197%-0.01</f>
        <v>126.00959463763614</v>
      </c>
      <c r="AH197" s="4"/>
    </row>
    <row r="198" spans="1:34" x14ac:dyDescent="0.25">
      <c r="A198" s="1" t="s">
        <v>249</v>
      </c>
      <c r="B198" s="19">
        <v>3</v>
      </c>
      <c r="C198" s="19" t="s">
        <v>135</v>
      </c>
      <c r="D198" s="11">
        <v>2</v>
      </c>
      <c r="E198" s="19">
        <v>87.51</v>
      </c>
      <c r="F198" s="14">
        <f>+E198*1193.52</f>
        <v>104444.93520000001</v>
      </c>
      <c r="G198" s="14">
        <f>+F198/60</f>
        <v>1740.7489200000002</v>
      </c>
      <c r="H198" s="14">
        <v>1566.68</v>
      </c>
      <c r="I198" s="14">
        <v>522.23</v>
      </c>
      <c r="J198" s="14">
        <f>+G198+H198+I198</f>
        <v>3829.6589200000003</v>
      </c>
      <c r="K198" s="14">
        <f>+J198/12</f>
        <v>319.13824333333338</v>
      </c>
      <c r="L198" s="14"/>
      <c r="M198" s="14">
        <f>J198*(100%+5.6%)</f>
        <v>4044.1198195200004</v>
      </c>
      <c r="N198" s="14">
        <f>+K198*N194</f>
        <v>223.39677033333336</v>
      </c>
      <c r="O198" s="14">
        <f>+N198*O194</f>
        <v>178.7174162666667</v>
      </c>
      <c r="P198" s="14">
        <f>+N198*P194</f>
        <v>201.05709330000002</v>
      </c>
      <c r="Q198" s="14">
        <f>+N198*Q194</f>
        <v>223.39677033333336</v>
      </c>
      <c r="R198" s="37">
        <v>1392.61</v>
      </c>
      <c r="S198" s="14">
        <f>R198*S194</f>
        <v>139.261</v>
      </c>
      <c r="T198" s="14">
        <v>0</v>
      </c>
      <c r="U198" s="14">
        <v>0</v>
      </c>
      <c r="V198" s="14">
        <v>0</v>
      </c>
      <c r="W198" s="14">
        <f>O198</f>
        <v>178.7174162666667</v>
      </c>
      <c r="X198" s="37">
        <f>W198*12+0.03</f>
        <v>2144.6389952000004</v>
      </c>
      <c r="Y198" s="37">
        <f>X198*(100+10.4)%</f>
        <v>2367.6814507008007</v>
      </c>
      <c r="Z198" s="37">
        <f>Y198*(100+5.6)%</f>
        <v>2500.2716119400457</v>
      </c>
      <c r="AA198" s="37">
        <f>Z198*(100+7.3)%</f>
        <v>2682.7914396116689</v>
      </c>
      <c r="AB198" s="37">
        <f>AA198/12</f>
        <v>223.56595330097241</v>
      </c>
      <c r="AC198" s="37">
        <f t="shared" si="108"/>
        <v>319.13824333333338</v>
      </c>
      <c r="AD198" s="14">
        <f>S198</f>
        <v>139.261</v>
      </c>
      <c r="AE198" s="37">
        <f t="shared" si="109"/>
        <v>145.06241000000003</v>
      </c>
      <c r="AF198" s="47">
        <f t="shared" si="110"/>
        <v>45.454411381366569</v>
      </c>
      <c r="AG198" s="144">
        <f>AD198*AF198%-0.01</f>
        <v>63.290267833804897</v>
      </c>
      <c r="AH198" s="4"/>
    </row>
    <row r="199" spans="1:34" x14ac:dyDescent="0.25">
      <c r="A199" s="1" t="s">
        <v>229</v>
      </c>
      <c r="B199" s="19">
        <v>4</v>
      </c>
      <c r="C199" s="19" t="s">
        <v>136</v>
      </c>
      <c r="D199" s="11">
        <v>2</v>
      </c>
      <c r="E199" s="19">
        <v>92.99</v>
      </c>
      <c r="F199" s="14">
        <f>+E199*1193.52</f>
        <v>110985.42479999999</v>
      </c>
      <c r="G199" s="14">
        <f>+F199/60</f>
        <v>1849.7570799999999</v>
      </c>
      <c r="H199" s="14">
        <f>+F199*1.5%</f>
        <v>1664.7813719999999</v>
      </c>
      <c r="I199" s="14">
        <f>+F199*0.5%</f>
        <v>554.92712399999994</v>
      </c>
      <c r="J199" s="14">
        <f>+G199+H199+I199</f>
        <v>4069.4655759999996</v>
      </c>
      <c r="K199" s="14">
        <f>+J199/12</f>
        <v>339.1221313333333</v>
      </c>
      <c r="L199" s="14"/>
      <c r="M199" s="14">
        <f>J199*(100%+5.6%)</f>
        <v>4297.3556482559998</v>
      </c>
      <c r="N199" s="14">
        <v>237.38</v>
      </c>
      <c r="O199" s="14">
        <f>+N199*O194</f>
        <v>189.904</v>
      </c>
      <c r="P199" s="14">
        <f>+N199*P194</f>
        <v>213.642</v>
      </c>
      <c r="Q199" s="14">
        <f>+N199*Q194</f>
        <v>237.38</v>
      </c>
      <c r="R199" s="143" t="s">
        <v>251</v>
      </c>
      <c r="S199" s="143">
        <v>0</v>
      </c>
      <c r="T199" s="143">
        <v>0</v>
      </c>
      <c r="U199" s="143">
        <v>0</v>
      </c>
      <c r="V199" s="143">
        <v>0</v>
      </c>
      <c r="W199" s="143">
        <f>N199</f>
        <v>237.38</v>
      </c>
      <c r="X199" s="143">
        <f>W199*12</f>
        <v>2848.56</v>
      </c>
      <c r="Y199" s="143">
        <f>X199*(100+10.4)%</f>
        <v>3144.8102400000002</v>
      </c>
      <c r="Z199" s="143">
        <f>Y199*(100+5.6)%</f>
        <v>3320.9196134400004</v>
      </c>
      <c r="AA199" s="143">
        <f>Z199*(100+7.3)%</f>
        <v>3563.3467452211203</v>
      </c>
      <c r="AB199" s="143">
        <f>AA199/12</f>
        <v>296.94556210176</v>
      </c>
      <c r="AC199" s="143">
        <f t="shared" si="108"/>
        <v>339.1221313333333</v>
      </c>
      <c r="AD199" s="143">
        <f>AB199</f>
        <v>296.94556210176</v>
      </c>
      <c r="AE199" s="143">
        <f t="shared" si="109"/>
        <v>154.14642333333333</v>
      </c>
      <c r="AF199" s="137">
        <f t="shared" si="110"/>
        <v>45.45454545454546</v>
      </c>
      <c r="AG199" s="144">
        <f>AD199*AF199%-0.02</f>
        <v>134.95525550080001</v>
      </c>
      <c r="AH199" s="4"/>
    </row>
    <row r="200" spans="1:34" x14ac:dyDescent="0.25">
      <c r="A200" s="1" t="s">
        <v>230</v>
      </c>
      <c r="B200" s="19">
        <v>5</v>
      </c>
      <c r="C200" s="19" t="s">
        <v>137</v>
      </c>
      <c r="D200" s="11">
        <v>2</v>
      </c>
      <c r="E200" s="19">
        <v>101.07</v>
      </c>
      <c r="F200" s="14">
        <f>+E200*1193.52</f>
        <v>120629.0664</v>
      </c>
      <c r="G200" s="14">
        <v>2010.49</v>
      </c>
      <c r="H200" s="14">
        <f>+F200*1.5%</f>
        <v>1809.4359959999999</v>
      </c>
      <c r="I200" s="14">
        <f>+F200*0.5%</f>
        <v>603.14533199999994</v>
      </c>
      <c r="J200" s="14">
        <v>4423.08</v>
      </c>
      <c r="K200" s="14">
        <f>+J200/12</f>
        <v>368.59</v>
      </c>
      <c r="L200" s="14"/>
      <c r="M200" s="14">
        <f>J200*(100%+5.6%)</f>
        <v>4670.7724800000005</v>
      </c>
      <c r="N200" s="14">
        <f>+K200*N194</f>
        <v>258.01299999999998</v>
      </c>
      <c r="O200" s="14">
        <f>+N200*O194</f>
        <v>206.41039999999998</v>
      </c>
      <c r="P200" s="14">
        <f>+N200*P194</f>
        <v>232.21169999999998</v>
      </c>
      <c r="Q200" s="14">
        <f>+N200*Q194</f>
        <v>258.01299999999998</v>
      </c>
      <c r="R200" s="143" t="s">
        <v>251</v>
      </c>
      <c r="S200" s="143">
        <v>0</v>
      </c>
      <c r="T200" s="143">
        <v>0</v>
      </c>
      <c r="U200" s="143">
        <v>0</v>
      </c>
      <c r="V200" s="143">
        <v>0</v>
      </c>
      <c r="W200" s="143">
        <f>N200</f>
        <v>258.01299999999998</v>
      </c>
      <c r="X200" s="143">
        <f>W200*12-0.04</f>
        <v>3096.116</v>
      </c>
      <c r="Y200" s="143">
        <f>X200*(100+10.4)%+0.01</f>
        <v>3418.1220640000006</v>
      </c>
      <c r="Z200" s="143">
        <f>Y200*(100+5.6)%-0.01</f>
        <v>3609.5268995840006</v>
      </c>
      <c r="AA200" s="143">
        <f>Z200*(100+7.3)%+0.01</f>
        <v>3873.0323632536329</v>
      </c>
      <c r="AB200" s="143">
        <f>AA200/12</f>
        <v>322.75269693780274</v>
      </c>
      <c r="AC200" s="143">
        <f t="shared" si="108"/>
        <v>368.59</v>
      </c>
      <c r="AD200" s="143">
        <f>AB200</f>
        <v>322.75269693780274</v>
      </c>
      <c r="AE200" s="143">
        <f t="shared" si="109"/>
        <v>167.54083333333332</v>
      </c>
      <c r="AF200" s="137">
        <f t="shared" si="110"/>
        <v>45.454524901200074</v>
      </c>
      <c r="AG200" s="144">
        <f>AD200*AF200%-0.02</f>
        <v>146.68570499888833</v>
      </c>
      <c r="AH200" s="4"/>
    </row>
    <row r="201" spans="1:34" x14ac:dyDescent="0.25">
      <c r="B201" s="7"/>
      <c r="C201" s="219" t="s">
        <v>77</v>
      </c>
      <c r="D201" s="219"/>
      <c r="E201" s="15">
        <f>SUM(E196:E200)</f>
        <v>456.34</v>
      </c>
      <c r="F201" s="15">
        <f>SUM(F196:F200)</f>
        <v>544650.91680000001</v>
      </c>
      <c r="G201" s="15">
        <f>SUM(G196:G200)</f>
        <v>9077.527399999999</v>
      </c>
      <c r="H201" s="15">
        <f>SUM(H196:H200)</f>
        <v>8169.7697239999998</v>
      </c>
      <c r="I201" s="59">
        <f>SUM(I196:I200)+0.01</f>
        <v>2723.2699080000002</v>
      </c>
      <c r="J201" s="15">
        <f>SUM(J196:J200)</f>
        <v>19970.565704000001</v>
      </c>
      <c r="K201" s="15">
        <f>SUM(K196:K200)</f>
        <v>1664.2138086666666</v>
      </c>
      <c r="L201" s="15"/>
      <c r="M201" s="15">
        <f>SUM(M196:M200)</f>
        <v>21088.917383423999</v>
      </c>
      <c r="N201" s="15">
        <f>SUM(N196:N200)</f>
        <v>1164.9391166666667</v>
      </c>
      <c r="O201" s="15">
        <f>SUM(O196:O200)</f>
        <v>931.9512933333333</v>
      </c>
      <c r="P201" s="15">
        <f>SUM(P196:P200)</f>
        <v>1048.445205</v>
      </c>
      <c r="Q201" s="15">
        <f>SUM(Q196:Q200)</f>
        <v>1164.9391166666667</v>
      </c>
      <c r="R201" s="15"/>
      <c r="S201" s="15">
        <f>SUM(S196:S200)</f>
        <v>297.76300000000003</v>
      </c>
      <c r="T201" s="15">
        <f t="shared" ref="T201:AG201" si="111">SUM(T196:T200)</f>
        <v>0</v>
      </c>
      <c r="U201" s="15">
        <f t="shared" si="111"/>
        <v>0</v>
      </c>
      <c r="V201" s="15">
        <f t="shared" si="111"/>
        <v>0</v>
      </c>
      <c r="W201" s="15">
        <f t="shared" si="111"/>
        <v>1075.3558933333334</v>
      </c>
      <c r="X201" s="15">
        <f t="shared" si="111"/>
        <v>12904.3149952</v>
      </c>
      <c r="Y201" s="15">
        <f t="shared" si="111"/>
        <v>14246.377994700802</v>
      </c>
      <c r="Z201" s="15">
        <f t="shared" si="111"/>
        <v>15044.157002404045</v>
      </c>
      <c r="AA201" s="15">
        <f t="shared" si="111"/>
        <v>16142.390463579542</v>
      </c>
      <c r="AB201" s="15">
        <f t="shared" si="111"/>
        <v>1345.1992052982951</v>
      </c>
      <c r="AC201" s="15">
        <f t="shared" si="111"/>
        <v>1664.2138086666666</v>
      </c>
      <c r="AD201" s="15">
        <f t="shared" si="111"/>
        <v>1194.7037928306561</v>
      </c>
      <c r="AE201" s="15">
        <f t="shared" si="111"/>
        <v>756.46061666666674</v>
      </c>
      <c r="AF201" s="15">
        <f>SUM(AF196:AF200)-0.02</f>
        <v>227.25266682231174</v>
      </c>
      <c r="AG201" s="15">
        <f t="shared" si="111"/>
        <v>542.98718660749307</v>
      </c>
      <c r="AH201" s="4"/>
    </row>
    <row r="202" spans="1:34" x14ac:dyDescent="0.25">
      <c r="B202" s="4"/>
      <c r="C202" s="52"/>
      <c r="D202" s="52"/>
      <c r="E202" s="41"/>
      <c r="F202" s="41"/>
      <c r="G202" s="41"/>
      <c r="H202" s="41"/>
      <c r="I202" s="56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"/>
    </row>
    <row r="203" spans="1:34" x14ac:dyDescent="0.25">
      <c r="B203" s="4"/>
      <c r="C203" s="52"/>
      <c r="D203" s="52"/>
      <c r="E203" s="41"/>
      <c r="F203" s="41"/>
      <c r="G203" s="41"/>
      <c r="H203" s="41"/>
      <c r="I203" s="56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"/>
    </row>
    <row r="204" spans="1:34" x14ac:dyDescent="0.25">
      <c r="B204" s="4"/>
      <c r="C204" s="52"/>
      <c r="D204" s="52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"/>
    </row>
    <row r="205" spans="1:34" ht="20.25" x14ac:dyDescent="0.25">
      <c r="C205" s="223" t="s">
        <v>138</v>
      </c>
      <c r="D205" s="223"/>
      <c r="E205" s="223"/>
      <c r="F205" s="223"/>
      <c r="G205" s="223"/>
      <c r="H205" s="223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"/>
    </row>
    <row r="206" spans="1:34" x14ac:dyDescent="0.25">
      <c r="B206" s="4"/>
      <c r="C206" s="52"/>
      <c r="D206" s="52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"/>
    </row>
    <row r="207" spans="1:34" ht="20.25" x14ac:dyDescent="0.25">
      <c r="B207" s="4"/>
      <c r="C207" s="224" t="s">
        <v>0</v>
      </c>
      <c r="D207" s="224"/>
      <c r="E207" s="42"/>
      <c r="F207" s="42"/>
      <c r="G207" s="4"/>
      <c r="H207" s="4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"/>
    </row>
    <row r="208" spans="1:34" x14ac:dyDescent="0.25">
      <c r="B208" s="4"/>
      <c r="C208" s="52"/>
      <c r="D208" s="52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"/>
    </row>
    <row r="209" spans="1:34" ht="113.1" customHeight="1" x14ac:dyDescent="0.25">
      <c r="B209" s="215" t="s">
        <v>1</v>
      </c>
      <c r="C209" s="217" t="s">
        <v>56</v>
      </c>
      <c r="D209" s="209" t="s">
        <v>3</v>
      </c>
      <c r="E209" s="209" t="s">
        <v>4</v>
      </c>
      <c r="F209" s="209" t="s">
        <v>5</v>
      </c>
      <c r="G209" s="209" t="s">
        <v>6</v>
      </c>
      <c r="H209" s="209" t="s">
        <v>7</v>
      </c>
      <c r="I209" s="209" t="s">
        <v>8</v>
      </c>
      <c r="J209" s="209" t="s">
        <v>9</v>
      </c>
      <c r="K209" s="209" t="s">
        <v>57</v>
      </c>
      <c r="L209" s="22" t="s">
        <v>10</v>
      </c>
      <c r="M209" s="22" t="s">
        <v>10</v>
      </c>
      <c r="N209" s="22" t="s">
        <v>12</v>
      </c>
      <c r="O209" s="211" t="s">
        <v>13</v>
      </c>
      <c r="P209" s="212"/>
      <c r="Q209" s="213"/>
      <c r="R209" s="209" t="s">
        <v>14</v>
      </c>
      <c r="S209" s="225" t="s">
        <v>58</v>
      </c>
      <c r="T209" s="226"/>
      <c r="U209" s="226"/>
      <c r="V209" s="227"/>
      <c r="W209" s="207" t="s">
        <v>21</v>
      </c>
      <c r="X209" s="209" t="s">
        <v>9</v>
      </c>
      <c r="Y209" s="22" t="s">
        <v>242</v>
      </c>
      <c r="Z209" s="22" t="s">
        <v>243</v>
      </c>
      <c r="AA209" s="22" t="s">
        <v>156</v>
      </c>
      <c r="AB209" s="207" t="s">
        <v>59</v>
      </c>
      <c r="AC209" s="228" t="s">
        <v>18</v>
      </c>
      <c r="AD209" s="229"/>
      <c r="AE209" s="229"/>
      <c r="AF209" s="229"/>
      <c r="AG209" s="205" t="s">
        <v>19</v>
      </c>
      <c r="AH209" s="4"/>
    </row>
    <row r="210" spans="1:34" ht="51" x14ac:dyDescent="0.25">
      <c r="B210" s="216"/>
      <c r="C210" s="218"/>
      <c r="D210" s="210"/>
      <c r="E210" s="210"/>
      <c r="F210" s="210"/>
      <c r="G210" s="210"/>
      <c r="H210" s="210"/>
      <c r="I210" s="210"/>
      <c r="J210" s="210"/>
      <c r="K210" s="210"/>
      <c r="L210" s="22">
        <v>5.6</v>
      </c>
      <c r="M210" s="22">
        <v>5.6</v>
      </c>
      <c r="N210" s="22">
        <v>0.7</v>
      </c>
      <c r="O210" s="23">
        <v>0.8</v>
      </c>
      <c r="P210" s="24">
        <v>0.9</v>
      </c>
      <c r="Q210" s="28">
        <v>1</v>
      </c>
      <c r="R210" s="210"/>
      <c r="S210" s="29">
        <v>0.1</v>
      </c>
      <c r="T210" s="30">
        <v>0.2</v>
      </c>
      <c r="U210" s="30">
        <v>0.3</v>
      </c>
      <c r="V210" s="30">
        <v>0.1</v>
      </c>
      <c r="W210" s="208"/>
      <c r="X210" s="210"/>
      <c r="Y210" s="22">
        <v>10.4</v>
      </c>
      <c r="Z210" s="22">
        <v>5.6</v>
      </c>
      <c r="AA210" s="22">
        <v>7.3</v>
      </c>
      <c r="AB210" s="208"/>
      <c r="AC210" s="33" t="s">
        <v>20</v>
      </c>
      <c r="AD210" s="33" t="s">
        <v>21</v>
      </c>
      <c r="AE210" s="33" t="s">
        <v>22</v>
      </c>
      <c r="AF210" s="33" t="s">
        <v>23</v>
      </c>
      <c r="AG210" s="206"/>
      <c r="AH210" s="4"/>
    </row>
    <row r="211" spans="1:34" x14ac:dyDescent="0.25">
      <c r="B211" s="7"/>
      <c r="C211" s="8"/>
      <c r="D211" s="9">
        <v>0</v>
      </c>
      <c r="E211" s="9">
        <v>1</v>
      </c>
      <c r="F211" s="9">
        <v>2</v>
      </c>
      <c r="G211" s="9" t="s">
        <v>24</v>
      </c>
      <c r="H211" s="9" t="s">
        <v>25</v>
      </c>
      <c r="I211" s="9" t="s">
        <v>26</v>
      </c>
      <c r="J211" s="9" t="s">
        <v>27</v>
      </c>
      <c r="K211" s="25" t="s">
        <v>60</v>
      </c>
      <c r="L211" s="9" t="s">
        <v>61</v>
      </c>
      <c r="M211" s="9" t="s">
        <v>61</v>
      </c>
      <c r="N211" s="9" t="s">
        <v>62</v>
      </c>
      <c r="O211" s="9" t="s">
        <v>63</v>
      </c>
      <c r="P211" s="9" t="s">
        <v>63</v>
      </c>
      <c r="Q211" s="9" t="s">
        <v>63</v>
      </c>
      <c r="R211" s="9">
        <v>9</v>
      </c>
      <c r="S211" s="31" t="s">
        <v>161</v>
      </c>
      <c r="T211" s="31" t="s">
        <v>162</v>
      </c>
      <c r="U211" s="31" t="s">
        <v>163</v>
      </c>
      <c r="V211" s="31" t="s">
        <v>164</v>
      </c>
      <c r="W211" s="31" t="s">
        <v>64</v>
      </c>
      <c r="X211" s="9" t="s">
        <v>65</v>
      </c>
      <c r="Y211" s="9" t="s">
        <v>66</v>
      </c>
      <c r="Z211" s="9" t="s">
        <v>67</v>
      </c>
      <c r="AA211" s="9" t="s">
        <v>246</v>
      </c>
      <c r="AB211" s="9" t="s">
        <v>240</v>
      </c>
      <c r="AC211" s="9">
        <v>16</v>
      </c>
      <c r="AD211" s="31" t="s">
        <v>158</v>
      </c>
      <c r="AE211" s="31" t="s">
        <v>159</v>
      </c>
      <c r="AF211" s="31" t="s">
        <v>160</v>
      </c>
      <c r="AG211" s="9">
        <v>17</v>
      </c>
      <c r="AH211" s="4"/>
    </row>
    <row r="212" spans="1:34" x14ac:dyDescent="0.25">
      <c r="A212" s="1" t="s">
        <v>239</v>
      </c>
      <c r="B212" s="116">
        <v>1</v>
      </c>
      <c r="C212" s="116" t="s">
        <v>139</v>
      </c>
      <c r="D212" s="117">
        <v>1</v>
      </c>
      <c r="E212" s="118">
        <v>64.61</v>
      </c>
      <c r="F212" s="153">
        <f t="shared" ref="F212:F220" si="112">E212*1192.91</f>
        <v>77073.915099999998</v>
      </c>
      <c r="G212" s="153">
        <f t="shared" ref="G212:G220" si="113">+F212/60</f>
        <v>1284.5652516666667</v>
      </c>
      <c r="H212" s="153">
        <f t="shared" ref="H212:H220" si="114">+F212*1.5%</f>
        <v>1156.1087264999999</v>
      </c>
      <c r="I212" s="153">
        <v>0</v>
      </c>
      <c r="J212" s="153">
        <f t="shared" ref="J212:J220" si="115">+G212+H212+I212</f>
        <v>2440.6739781666665</v>
      </c>
      <c r="K212" s="153">
        <f>J212/12</f>
        <v>203.38949818055553</v>
      </c>
      <c r="L212" s="153"/>
      <c r="M212" s="153">
        <f t="shared" ref="M212:M220" si="116">J212*(100%+5.6%)</f>
        <v>2577.3517209440001</v>
      </c>
      <c r="N212" s="153">
        <f>+K212*N210</f>
        <v>142.37264872638886</v>
      </c>
      <c r="O212" s="153">
        <f>N212*O210</f>
        <v>113.8981189811111</v>
      </c>
      <c r="P212" s="153">
        <f>+N212*P210</f>
        <v>128.13538385374997</v>
      </c>
      <c r="Q212" s="153">
        <f>+N212*Q210</f>
        <v>142.37264872638886</v>
      </c>
      <c r="R212" s="153">
        <v>1069.5</v>
      </c>
      <c r="S212" s="153">
        <f>R212*S210</f>
        <v>106.95</v>
      </c>
      <c r="T212" s="153">
        <v>0</v>
      </c>
      <c r="U212" s="153">
        <v>0</v>
      </c>
      <c r="V212" s="153">
        <v>0</v>
      </c>
      <c r="W212" s="153">
        <v>106.95</v>
      </c>
      <c r="X212" s="153">
        <f>W212*12</f>
        <v>1283.4000000000001</v>
      </c>
      <c r="Y212" s="153">
        <v>0</v>
      </c>
      <c r="Z212" s="153">
        <v>0</v>
      </c>
      <c r="AA212" s="153">
        <v>0</v>
      </c>
      <c r="AB212" s="153">
        <f>X212/12</f>
        <v>106.95</v>
      </c>
      <c r="AC212" s="153">
        <f>K212</f>
        <v>203.38949818055553</v>
      </c>
      <c r="AD212" s="153">
        <f>AB212</f>
        <v>106.95</v>
      </c>
      <c r="AE212" s="153">
        <f>G212/12</f>
        <v>107.04710430555555</v>
      </c>
      <c r="AF212" s="162">
        <f>AE212/AC212*100</f>
        <v>52.631578947368418</v>
      </c>
      <c r="AG212" s="163">
        <f>AD212*AF212%</f>
        <v>56.289473684210527</v>
      </c>
      <c r="AH212" s="51"/>
    </row>
    <row r="213" spans="1:34" x14ac:dyDescent="0.25">
      <c r="A213" s="1" t="s">
        <v>231</v>
      </c>
      <c r="B213" s="19">
        <v>2</v>
      </c>
      <c r="C213" s="19" t="s">
        <v>140</v>
      </c>
      <c r="D213" s="11">
        <v>1</v>
      </c>
      <c r="E213" s="32">
        <v>63.27</v>
      </c>
      <c r="F213" s="128">
        <f t="shared" si="112"/>
        <v>75475.415700000012</v>
      </c>
      <c r="G213" s="128">
        <f t="shared" si="113"/>
        <v>1257.9235950000002</v>
      </c>
      <c r="H213" s="128">
        <f t="shared" si="114"/>
        <v>1132.1312355000002</v>
      </c>
      <c r="I213" s="128">
        <v>0</v>
      </c>
      <c r="J213" s="128">
        <f t="shared" si="115"/>
        <v>2390.0548305000002</v>
      </c>
      <c r="K213" s="128">
        <f t="shared" ref="K213:K220" si="117">+J213/12</f>
        <v>199.17123587500001</v>
      </c>
      <c r="L213" s="128"/>
      <c r="M213" s="128">
        <f t="shared" si="116"/>
        <v>2523.8979010080002</v>
      </c>
      <c r="N213" s="128">
        <f>+K213*N210</f>
        <v>139.41986511249999</v>
      </c>
      <c r="O213" s="128">
        <f>N213*O210</f>
        <v>111.53589209</v>
      </c>
      <c r="P213" s="128">
        <f>+N213*P210</f>
        <v>125.47787860125</v>
      </c>
      <c r="Q213" s="128">
        <f>+N213*Q210</f>
        <v>139.41986511249999</v>
      </c>
      <c r="R213" s="139" t="s">
        <v>251</v>
      </c>
      <c r="S213" s="139">
        <v>0</v>
      </c>
      <c r="T213" s="139">
        <v>0</v>
      </c>
      <c r="U213" s="139">
        <v>0</v>
      </c>
      <c r="V213" s="139">
        <v>0</v>
      </c>
      <c r="W213" s="139">
        <f>N213</f>
        <v>139.41986511249999</v>
      </c>
      <c r="X213" s="139">
        <f>W213*12-0.02</f>
        <v>1673.0183813499998</v>
      </c>
      <c r="Y213" s="139">
        <v>0</v>
      </c>
      <c r="Z213" s="139">
        <f>X213*(100+5.6)%</f>
        <v>1766.7074107055998</v>
      </c>
      <c r="AA213" s="139">
        <f>Z213*(100+7.3)%-0.01</f>
        <v>1895.6670516871086</v>
      </c>
      <c r="AB213" s="139">
        <f t="shared" ref="AB213:AB219" si="118">AA213/12</f>
        <v>157.97225430725905</v>
      </c>
      <c r="AC213" s="139">
        <f t="shared" ref="AC213:AC220" si="119">K213</f>
        <v>199.17123587500001</v>
      </c>
      <c r="AD213" s="139">
        <f>AB213</f>
        <v>157.97225430725905</v>
      </c>
      <c r="AE213" s="139">
        <f>G213/12</f>
        <v>104.82696625000001</v>
      </c>
      <c r="AF213" s="141">
        <f>AE213/AC213*100</f>
        <v>52.631578947368432</v>
      </c>
      <c r="AG213" s="142">
        <f>AD213*AF213%+0.01</f>
        <v>83.153291740662681</v>
      </c>
      <c r="AH213" s="51"/>
    </row>
    <row r="214" spans="1:34" x14ac:dyDescent="0.25">
      <c r="A214" s="1" t="s">
        <v>232</v>
      </c>
      <c r="B214" s="19">
        <v>3</v>
      </c>
      <c r="C214" s="19" t="s">
        <v>141</v>
      </c>
      <c r="D214" s="11">
        <v>1</v>
      </c>
      <c r="E214" s="14">
        <v>69.61</v>
      </c>
      <c r="F214" s="128">
        <f t="shared" si="112"/>
        <v>83038.465100000001</v>
      </c>
      <c r="G214" s="128">
        <f t="shared" si="113"/>
        <v>1383.9744183333335</v>
      </c>
      <c r="H214" s="128">
        <f t="shared" si="114"/>
        <v>1245.5769765</v>
      </c>
      <c r="I214" s="128">
        <v>0</v>
      </c>
      <c r="J214" s="128">
        <f t="shared" si="115"/>
        <v>2629.5513948333337</v>
      </c>
      <c r="K214" s="128">
        <f t="shared" si="117"/>
        <v>219.12928290277782</v>
      </c>
      <c r="L214" s="128"/>
      <c r="M214" s="128">
        <f t="shared" si="116"/>
        <v>2776.8062729440003</v>
      </c>
      <c r="N214" s="128">
        <f>+K214*N210</f>
        <v>153.39049803194447</v>
      </c>
      <c r="O214" s="128">
        <f>+N214*O210</f>
        <v>122.71239842555559</v>
      </c>
      <c r="P214" s="128">
        <f>+N214*P210</f>
        <v>138.05144822875002</v>
      </c>
      <c r="Q214" s="128">
        <f>+N214*Q210</f>
        <v>153.39049803194447</v>
      </c>
      <c r="R214" s="139" t="s">
        <v>251</v>
      </c>
      <c r="S214" s="139">
        <v>0</v>
      </c>
      <c r="T214" s="139">
        <v>0</v>
      </c>
      <c r="U214" s="139">
        <v>0</v>
      </c>
      <c r="V214" s="139">
        <v>0</v>
      </c>
      <c r="W214" s="139">
        <f>N214</f>
        <v>153.39049803194447</v>
      </c>
      <c r="X214" s="139">
        <f>W214*12-0.01</f>
        <v>1840.6759763833336</v>
      </c>
      <c r="Y214" s="139">
        <v>0</v>
      </c>
      <c r="Z214" s="139">
        <f>X214*(100+5.6)%+0.01</f>
        <v>1943.7638310608004</v>
      </c>
      <c r="AA214" s="139">
        <f>Z214*(100+7.3)%-0.01</f>
        <v>2085.6485907282386</v>
      </c>
      <c r="AB214" s="139">
        <f t="shared" si="118"/>
        <v>173.8040492273532</v>
      </c>
      <c r="AC214" s="139">
        <f t="shared" si="119"/>
        <v>219.12928290277782</v>
      </c>
      <c r="AD214" s="139">
        <f>AB214</f>
        <v>173.8040492273532</v>
      </c>
      <c r="AE214" s="139">
        <f>G214/12</f>
        <v>115.33120152777779</v>
      </c>
      <c r="AF214" s="141">
        <f t="shared" ref="AF214:AF220" si="120">AE214/AC214*100</f>
        <v>52.631578947368418</v>
      </c>
      <c r="AG214" s="142">
        <f>AD214*AF214%-0.01</f>
        <v>91.465815382817468</v>
      </c>
      <c r="AH214" s="51"/>
    </row>
    <row r="215" spans="1:34" x14ac:dyDescent="0.25">
      <c r="A215" s="66" t="s">
        <v>233</v>
      </c>
      <c r="B215" s="116">
        <v>4</v>
      </c>
      <c r="C215" s="116" t="s">
        <v>142</v>
      </c>
      <c r="D215" s="117">
        <v>1</v>
      </c>
      <c r="E215" s="118">
        <v>70.33</v>
      </c>
      <c r="F215" s="153">
        <f t="shared" si="112"/>
        <v>83897.3603</v>
      </c>
      <c r="G215" s="153">
        <f t="shared" si="113"/>
        <v>1398.2893383333333</v>
      </c>
      <c r="H215" s="153">
        <f t="shared" si="114"/>
        <v>1258.4604044999999</v>
      </c>
      <c r="I215" s="153">
        <v>0</v>
      </c>
      <c r="J215" s="153">
        <f t="shared" si="115"/>
        <v>2656.7497428333331</v>
      </c>
      <c r="K215" s="153">
        <f t="shared" si="117"/>
        <v>221.39581190277775</v>
      </c>
      <c r="L215" s="153"/>
      <c r="M215" s="153">
        <f t="shared" si="116"/>
        <v>2805.527728432</v>
      </c>
      <c r="N215" s="153">
        <f>+K215*N210</f>
        <v>154.97706833194442</v>
      </c>
      <c r="O215" s="153">
        <f>N215*O210</f>
        <v>123.98165466555554</v>
      </c>
      <c r="P215" s="153">
        <f>+N215*P210</f>
        <v>139.47936149875</v>
      </c>
      <c r="Q215" s="153">
        <f>+N215*Q210</f>
        <v>154.97706833194442</v>
      </c>
      <c r="R215" s="153">
        <v>2576.54</v>
      </c>
      <c r="S215" s="153">
        <v>0</v>
      </c>
      <c r="T215" s="153">
        <f>R215*T210</f>
        <v>515.30799999999999</v>
      </c>
      <c r="U215" s="153">
        <v>0</v>
      </c>
      <c r="V215" s="153">
        <v>0</v>
      </c>
      <c r="W215" s="153">
        <f>P215</f>
        <v>139.47936149875</v>
      </c>
      <c r="X215" s="153">
        <f>W215*12+0.01</f>
        <v>1673.7623379849999</v>
      </c>
      <c r="Y215" s="153">
        <v>0</v>
      </c>
      <c r="Z215" s="153">
        <v>0</v>
      </c>
      <c r="AA215" s="153">
        <f>X215*(100+7.3)%</f>
        <v>1795.9469886579047</v>
      </c>
      <c r="AB215" s="153">
        <f t="shared" si="118"/>
        <v>149.66224905482539</v>
      </c>
      <c r="AC215" s="153">
        <f t="shared" si="119"/>
        <v>221.39581190277775</v>
      </c>
      <c r="AD215" s="153">
        <f>AB215</f>
        <v>149.66224905482539</v>
      </c>
      <c r="AE215" s="153">
        <f t="shared" ref="AE215:AE220" si="121">G215/12</f>
        <v>116.52411152777778</v>
      </c>
      <c r="AF215" s="162">
        <f t="shared" si="120"/>
        <v>52.631578947368432</v>
      </c>
      <c r="AG215" s="163">
        <f t="shared" ref="AG215:AG220" si="122">AD215*AF215%</f>
        <v>78.769604765697594</v>
      </c>
      <c r="AH215" s="51"/>
    </row>
    <row r="216" spans="1:34" x14ac:dyDescent="0.25">
      <c r="A216" s="1" t="s">
        <v>234</v>
      </c>
      <c r="B216" s="19">
        <v>5</v>
      </c>
      <c r="C216" s="19" t="s">
        <v>143</v>
      </c>
      <c r="D216" s="11">
        <v>1</v>
      </c>
      <c r="E216" s="14">
        <v>69.12</v>
      </c>
      <c r="F216" s="128">
        <f t="shared" si="112"/>
        <v>82453.939200000008</v>
      </c>
      <c r="G216" s="128">
        <f t="shared" si="113"/>
        <v>1374.2323200000001</v>
      </c>
      <c r="H216" s="128">
        <f t="shared" si="114"/>
        <v>1236.809088</v>
      </c>
      <c r="I216" s="128">
        <v>0</v>
      </c>
      <c r="J216" s="128">
        <f t="shared" si="115"/>
        <v>2611.041408</v>
      </c>
      <c r="K216" s="128">
        <f t="shared" si="117"/>
        <v>217.58678399999999</v>
      </c>
      <c r="L216" s="128"/>
      <c r="M216" s="128">
        <f t="shared" si="116"/>
        <v>2757.2597268480004</v>
      </c>
      <c r="N216" s="128">
        <f>+K216*N210</f>
        <v>152.3107488</v>
      </c>
      <c r="O216" s="128">
        <f>+N216*O210</f>
        <v>121.84859904000001</v>
      </c>
      <c r="P216" s="128">
        <f>+N216*P210</f>
        <v>137.07967392</v>
      </c>
      <c r="Q216" s="128">
        <f>+N216*Q210</f>
        <v>152.3107488</v>
      </c>
      <c r="R216" s="139" t="s">
        <v>251</v>
      </c>
      <c r="S216" s="139">
        <v>0</v>
      </c>
      <c r="T216" s="139">
        <v>0</v>
      </c>
      <c r="U216" s="139">
        <v>0</v>
      </c>
      <c r="V216" s="139">
        <v>0</v>
      </c>
      <c r="W216" s="139">
        <f>N216</f>
        <v>152.3107488</v>
      </c>
      <c r="X216" s="139">
        <f>W216*12-0.01</f>
        <v>1827.7189856</v>
      </c>
      <c r="Y216" s="139">
        <v>0</v>
      </c>
      <c r="Z216" s="139">
        <f>X216*(100+5.6)%</f>
        <v>1930.0712487936</v>
      </c>
      <c r="AA216" s="139">
        <f>Z216*(100+7.3)%</f>
        <v>2070.9664499555329</v>
      </c>
      <c r="AB216" s="139">
        <f t="shared" si="118"/>
        <v>172.5805374962944</v>
      </c>
      <c r="AC216" s="139">
        <f t="shared" si="119"/>
        <v>217.58678399999999</v>
      </c>
      <c r="AD216" s="139">
        <f>AB216</f>
        <v>172.5805374962944</v>
      </c>
      <c r="AE216" s="139">
        <f t="shared" si="121"/>
        <v>114.51936000000001</v>
      </c>
      <c r="AF216" s="141">
        <f t="shared" si="120"/>
        <v>52.631578947368432</v>
      </c>
      <c r="AG216" s="142">
        <f t="shared" si="122"/>
        <v>90.831861840154957</v>
      </c>
      <c r="AH216" s="51"/>
    </row>
    <row r="217" spans="1:34" x14ac:dyDescent="0.25">
      <c r="A217" s="1" t="s">
        <v>235</v>
      </c>
      <c r="B217" s="35">
        <v>6</v>
      </c>
      <c r="C217" s="35" t="s">
        <v>144</v>
      </c>
      <c r="D217" s="36">
        <v>1</v>
      </c>
      <c r="E217" s="37">
        <v>69.099999999999994</v>
      </c>
      <c r="F217" s="128">
        <f t="shared" si="112"/>
        <v>82430.081000000006</v>
      </c>
      <c r="G217" s="128">
        <f t="shared" si="113"/>
        <v>1373.8346833333335</v>
      </c>
      <c r="H217" s="128">
        <f t="shared" si="114"/>
        <v>1236.451215</v>
      </c>
      <c r="I217" s="128">
        <v>0</v>
      </c>
      <c r="J217" s="128">
        <f t="shared" si="115"/>
        <v>2610.2858983333335</v>
      </c>
      <c r="K217" s="128">
        <f t="shared" si="117"/>
        <v>217.52382486111114</v>
      </c>
      <c r="L217" s="128"/>
      <c r="M217" s="128">
        <f t="shared" si="116"/>
        <v>2756.4619086400003</v>
      </c>
      <c r="N217" s="128">
        <f>+K217*N210</f>
        <v>152.26667740277779</v>
      </c>
      <c r="O217" s="128">
        <f>+N217*O210</f>
        <v>121.81334192222224</v>
      </c>
      <c r="P217" s="128">
        <f>+N217*P210</f>
        <v>137.04000966250001</v>
      </c>
      <c r="Q217" s="128">
        <f>+N217*Q210</f>
        <v>152.26667740277779</v>
      </c>
      <c r="R217" s="128">
        <v>1236.92</v>
      </c>
      <c r="S217" s="128">
        <f>R217*S210</f>
        <v>123.69200000000001</v>
      </c>
      <c r="T217" s="128">
        <v>0</v>
      </c>
      <c r="U217" s="128">
        <v>0</v>
      </c>
      <c r="V217" s="128">
        <v>0</v>
      </c>
      <c r="W217" s="128">
        <f>O217</f>
        <v>121.81334192222224</v>
      </c>
      <c r="X217" s="128">
        <f>W217*12-0.04</f>
        <v>1461.720103066667</v>
      </c>
      <c r="Y217" s="128">
        <f>X217*(100+10.4)%</f>
        <v>1613.7389937856005</v>
      </c>
      <c r="Z217" s="128">
        <f>Y217*(100+5.6)%</f>
        <v>1704.1083774375943</v>
      </c>
      <c r="AA217" s="128">
        <f>Z217*(100+7.3)%</f>
        <v>1828.5082889905386</v>
      </c>
      <c r="AB217" s="128">
        <f t="shared" si="118"/>
        <v>152.37569074921154</v>
      </c>
      <c r="AC217" s="128">
        <f t="shared" si="119"/>
        <v>217.52382486111114</v>
      </c>
      <c r="AD217" s="128">
        <f>S217</f>
        <v>123.69200000000001</v>
      </c>
      <c r="AE217" s="128">
        <f t="shared" si="121"/>
        <v>114.48622361111113</v>
      </c>
      <c r="AF217" s="130">
        <f t="shared" si="120"/>
        <v>52.631578947368418</v>
      </c>
      <c r="AG217" s="131">
        <f t="shared" si="122"/>
        <v>65.101052631578952</v>
      </c>
      <c r="AH217" s="51"/>
    </row>
    <row r="218" spans="1:34" x14ac:dyDescent="0.25">
      <c r="A218" s="1" t="s">
        <v>236</v>
      </c>
      <c r="B218" s="19">
        <v>7</v>
      </c>
      <c r="C218" s="19" t="s">
        <v>145</v>
      </c>
      <c r="D218" s="11">
        <v>1</v>
      </c>
      <c r="E218" s="14">
        <v>66.11</v>
      </c>
      <c r="F218" s="128">
        <f t="shared" si="112"/>
        <v>78863.280100000004</v>
      </c>
      <c r="G218" s="128">
        <f t="shared" si="113"/>
        <v>1314.3880016666667</v>
      </c>
      <c r="H218" s="128">
        <f t="shared" si="114"/>
        <v>1182.9492015000001</v>
      </c>
      <c r="I218" s="128">
        <v>0</v>
      </c>
      <c r="J218" s="128">
        <f t="shared" si="115"/>
        <v>2497.3372031666668</v>
      </c>
      <c r="K218" s="128">
        <f t="shared" si="117"/>
        <v>208.11143359722223</v>
      </c>
      <c r="L218" s="128"/>
      <c r="M218" s="128">
        <f t="shared" si="116"/>
        <v>2637.1880865440003</v>
      </c>
      <c r="N218" s="128">
        <f>+K218*N210</f>
        <v>145.67800351805556</v>
      </c>
      <c r="O218" s="128">
        <f>+N218*O210</f>
        <v>116.54240281444446</v>
      </c>
      <c r="P218" s="128">
        <f>N218*P210</f>
        <v>131.11020316625002</v>
      </c>
      <c r="Q218" s="128">
        <f>+N218*Q210</f>
        <v>145.67800351805556</v>
      </c>
      <c r="R218" s="128">
        <f>12944.83/3</f>
        <v>4314.9433333333336</v>
      </c>
      <c r="S218" s="128">
        <v>0</v>
      </c>
      <c r="T218" s="128">
        <v>0</v>
      </c>
      <c r="U218" s="128">
        <f>R218*U210</f>
        <v>1294.4829999999999</v>
      </c>
      <c r="V218" s="128">
        <v>0</v>
      </c>
      <c r="W218" s="128">
        <f>P218</f>
        <v>131.11020316625002</v>
      </c>
      <c r="X218" s="128">
        <f>W218*12</f>
        <v>1573.3224379950002</v>
      </c>
      <c r="Y218" s="128">
        <v>0</v>
      </c>
      <c r="Z218" s="128">
        <f>X218*(100+5.6)%</f>
        <v>1661.4284945227203</v>
      </c>
      <c r="AA218" s="128">
        <f>Z218*(100+7.3)%+0.01</f>
        <v>1782.7227746228787</v>
      </c>
      <c r="AB218" s="128">
        <f t="shared" si="118"/>
        <v>148.56023121857322</v>
      </c>
      <c r="AC218" s="128">
        <f t="shared" si="119"/>
        <v>208.11143359722223</v>
      </c>
      <c r="AD218" s="128">
        <f>AB218</f>
        <v>148.56023121857322</v>
      </c>
      <c r="AE218" s="128">
        <f t="shared" si="121"/>
        <v>109.53233347222222</v>
      </c>
      <c r="AF218" s="130">
        <f t="shared" si="120"/>
        <v>52.631578947368418</v>
      </c>
      <c r="AG218" s="131">
        <f>AD218*AF218%-0.02</f>
        <v>78.169595378196433</v>
      </c>
      <c r="AH218" s="51"/>
    </row>
    <row r="219" spans="1:34" x14ac:dyDescent="0.25">
      <c r="A219" s="1" t="s">
        <v>237</v>
      </c>
      <c r="B219" s="19">
        <v>8</v>
      </c>
      <c r="C219" s="19" t="s">
        <v>146</v>
      </c>
      <c r="D219" s="11">
        <v>1</v>
      </c>
      <c r="E219" s="14">
        <v>67.63</v>
      </c>
      <c r="F219" s="128">
        <f t="shared" si="112"/>
        <v>80676.503299999997</v>
      </c>
      <c r="G219" s="128">
        <f t="shared" si="113"/>
        <v>1344.6083883333333</v>
      </c>
      <c r="H219" s="128">
        <f t="shared" si="114"/>
        <v>1210.1475495</v>
      </c>
      <c r="I219" s="128">
        <v>0</v>
      </c>
      <c r="J219" s="128">
        <f t="shared" si="115"/>
        <v>2554.7559378333335</v>
      </c>
      <c r="K219" s="128">
        <f t="shared" si="117"/>
        <v>212.89632815277778</v>
      </c>
      <c r="L219" s="128"/>
      <c r="M219" s="128">
        <f t="shared" si="116"/>
        <v>2697.8222703520005</v>
      </c>
      <c r="N219" s="128">
        <f>+K219*N210</f>
        <v>149.02742970694445</v>
      </c>
      <c r="O219" s="128">
        <f>+N219*O210</f>
        <v>119.22194376555557</v>
      </c>
      <c r="P219" s="128">
        <f>+N219*P210</f>
        <v>134.12468673625</v>
      </c>
      <c r="Q219" s="128">
        <f>+N219*Q210</f>
        <v>149.02742970694445</v>
      </c>
      <c r="R219" s="128">
        <v>2854.92</v>
      </c>
      <c r="S219" s="128">
        <v>0</v>
      </c>
      <c r="T219" s="128">
        <f>R219*T210</f>
        <v>570.98400000000004</v>
      </c>
      <c r="U219" s="128">
        <v>0</v>
      </c>
      <c r="V219" s="128">
        <v>0</v>
      </c>
      <c r="W219" s="128">
        <f>P219</f>
        <v>134.12468673625</v>
      </c>
      <c r="X219" s="128">
        <f>W219*12-0.06</f>
        <v>1609.436240835</v>
      </c>
      <c r="Y219" s="128">
        <f>X219*(100+10.4)%</f>
        <v>1776.8176098818401</v>
      </c>
      <c r="Z219" s="128">
        <f>Y219*(100+5.6)%</f>
        <v>1876.3193960352232</v>
      </c>
      <c r="AA219" s="128">
        <f>Z219*(100+7.3)%</f>
        <v>2013.2907119457946</v>
      </c>
      <c r="AB219" s="128">
        <f t="shared" si="118"/>
        <v>167.77422599548288</v>
      </c>
      <c r="AC219" s="128">
        <f t="shared" si="119"/>
        <v>212.89632815277778</v>
      </c>
      <c r="AD219" s="128">
        <f>AB219</f>
        <v>167.77422599548288</v>
      </c>
      <c r="AE219" s="128">
        <f t="shared" si="121"/>
        <v>112.05069902777778</v>
      </c>
      <c r="AF219" s="130">
        <f t="shared" si="120"/>
        <v>52.631578947368418</v>
      </c>
      <c r="AG219" s="131">
        <f t="shared" si="122"/>
        <v>88.302224208148886</v>
      </c>
      <c r="AH219" s="51"/>
    </row>
    <row r="220" spans="1:34" x14ac:dyDescent="0.25">
      <c r="A220" s="121" t="s">
        <v>241</v>
      </c>
      <c r="B220" s="116">
        <v>9</v>
      </c>
      <c r="C220" s="116" t="s">
        <v>147</v>
      </c>
      <c r="D220" s="117">
        <v>1</v>
      </c>
      <c r="E220" s="118">
        <v>72.63</v>
      </c>
      <c r="F220" s="153">
        <f t="shared" si="112"/>
        <v>86641.0533</v>
      </c>
      <c r="G220" s="153">
        <f t="shared" si="113"/>
        <v>1444.0175549999999</v>
      </c>
      <c r="H220" s="153">
        <f t="shared" si="114"/>
        <v>1299.6157994999999</v>
      </c>
      <c r="I220" s="153">
        <v>0</v>
      </c>
      <c r="J220" s="153">
        <f t="shared" si="115"/>
        <v>2743.6333544999998</v>
      </c>
      <c r="K220" s="153">
        <f t="shared" si="117"/>
        <v>228.63611287499998</v>
      </c>
      <c r="L220" s="153"/>
      <c r="M220" s="153">
        <f t="shared" si="116"/>
        <v>2897.2768223519997</v>
      </c>
      <c r="N220" s="153">
        <f>+K220*N210</f>
        <v>160.04527901249998</v>
      </c>
      <c r="O220" s="153">
        <f>+N220*O210</f>
        <v>128.03622320999997</v>
      </c>
      <c r="P220" s="153">
        <f>+N220*P210</f>
        <v>144.04075111124999</v>
      </c>
      <c r="Q220" s="153">
        <f>+N220*Q210</f>
        <v>160.04527901249998</v>
      </c>
      <c r="R220" s="153">
        <v>1583.11</v>
      </c>
      <c r="S220" s="153">
        <f>R220*S210</f>
        <v>158.31100000000001</v>
      </c>
      <c r="T220" s="153">
        <v>0</v>
      </c>
      <c r="U220" s="153">
        <v>0</v>
      </c>
      <c r="V220" s="153">
        <v>0</v>
      </c>
      <c r="W220" s="153">
        <f>O220</f>
        <v>128.03622320999997</v>
      </c>
      <c r="X220" s="153">
        <f>W220*12</f>
        <v>1536.4346785199996</v>
      </c>
      <c r="Y220" s="153">
        <v>0</v>
      </c>
      <c r="Z220" s="153">
        <v>0</v>
      </c>
      <c r="AA220" s="153">
        <v>0</v>
      </c>
      <c r="AB220" s="153">
        <f>W220</f>
        <v>128.03622320999997</v>
      </c>
      <c r="AC220" s="153">
        <f t="shared" si="119"/>
        <v>228.63611287499998</v>
      </c>
      <c r="AD220" s="153">
        <f>W220</f>
        <v>128.03622320999997</v>
      </c>
      <c r="AE220" s="153">
        <f t="shared" si="121"/>
        <v>120.33479625</v>
      </c>
      <c r="AF220" s="162">
        <f t="shared" si="120"/>
        <v>52.631578947368432</v>
      </c>
      <c r="AG220" s="163">
        <f t="shared" si="122"/>
        <v>67.387485900000001</v>
      </c>
      <c r="AH220" s="51"/>
    </row>
    <row r="221" spans="1:34" x14ac:dyDescent="0.25">
      <c r="B221" s="7"/>
      <c r="C221" s="219" t="s">
        <v>77</v>
      </c>
      <c r="D221" s="219"/>
      <c r="E221" s="38">
        <f t="shared" ref="E221:J221" si="123">SUM(E212:E220)</f>
        <v>612.41</v>
      </c>
      <c r="F221" s="148">
        <f>SUM(F212:F220)+0.01</f>
        <v>730550.02309999999</v>
      </c>
      <c r="G221" s="148">
        <f t="shared" si="123"/>
        <v>12175.833551666668</v>
      </c>
      <c r="H221" s="148">
        <f>SUM(H212:H220)+0.01</f>
        <v>10958.260196499999</v>
      </c>
      <c r="I221" s="148">
        <f t="shared" si="123"/>
        <v>0</v>
      </c>
      <c r="J221" s="148">
        <f t="shared" si="123"/>
        <v>23134.083748166668</v>
      </c>
      <c r="K221" s="148">
        <f>SUM(K212:K220)+0.01</f>
        <v>1927.8503123472221</v>
      </c>
      <c r="L221" s="148"/>
      <c r="M221" s="148">
        <f>SUM(M212:M220)</f>
        <v>24429.592438064003</v>
      </c>
      <c r="N221" s="148">
        <f>SUM(N212:N220)+0.01</f>
        <v>1349.4982186430555</v>
      </c>
      <c r="O221" s="148">
        <f>SUM(O212:O220)</f>
        <v>1079.5905749144445</v>
      </c>
      <c r="P221" s="148">
        <f>SUM(P212:P220)</f>
        <v>1214.53939677875</v>
      </c>
      <c r="Q221" s="148">
        <f>SUM(Q212:Q220)+0.01</f>
        <v>1349.4982186430555</v>
      </c>
      <c r="R221" s="148"/>
      <c r="S221" s="148">
        <f>SUM(S212:S220)</f>
        <v>388.95299999999997</v>
      </c>
      <c r="T221" s="148">
        <f t="shared" ref="T221:AG221" si="124">SUM(T212:T220)</f>
        <v>1086.2919999999999</v>
      </c>
      <c r="U221" s="148">
        <f t="shared" si="124"/>
        <v>1294.4829999999999</v>
      </c>
      <c r="V221" s="148">
        <f t="shared" si="124"/>
        <v>0</v>
      </c>
      <c r="W221" s="148">
        <f t="shared" si="124"/>
        <v>1206.6349284779167</v>
      </c>
      <c r="X221" s="148">
        <f t="shared" si="124"/>
        <v>14479.489141735003</v>
      </c>
      <c r="Y221" s="148">
        <f t="shared" si="124"/>
        <v>3390.5566036674409</v>
      </c>
      <c r="Z221" s="148">
        <f t="shared" si="124"/>
        <v>10882.398758555539</v>
      </c>
      <c r="AA221" s="148">
        <f>SUM(AA212:AA220)+0.01</f>
        <v>13472.760856587996</v>
      </c>
      <c r="AB221" s="148">
        <f>SUM(AB212:AB220)-0.01</f>
        <v>1357.7054612589995</v>
      </c>
      <c r="AC221" s="148">
        <f>SUM(AC212:AC220)+0.01</f>
        <v>1927.8503123472221</v>
      </c>
      <c r="AD221" s="148">
        <f>SUM(AD212:AD220)-0.01</f>
        <v>1329.021770509788</v>
      </c>
      <c r="AE221" s="148">
        <f t="shared" si="124"/>
        <v>1014.6527959722223</v>
      </c>
      <c r="AF221" s="148">
        <f>SUM(AF212:AF220)-0.01</f>
        <v>473.6742105263159</v>
      </c>
      <c r="AG221" s="148">
        <f t="shared" si="124"/>
        <v>699.47040553146746</v>
      </c>
      <c r="AH221" s="4"/>
    </row>
    <row r="222" spans="1:34" ht="18" customHeight="1" x14ac:dyDescent="0.25">
      <c r="B222" s="4"/>
      <c r="C222" s="224" t="s">
        <v>101</v>
      </c>
      <c r="D222" s="224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2"/>
      <c r="Y222" s="2"/>
      <c r="Z222" s="2"/>
      <c r="AA222" s="2"/>
      <c r="AB222" s="2"/>
      <c r="AC222" s="2"/>
      <c r="AD222" s="48"/>
      <c r="AE222" s="48"/>
      <c r="AF222" s="48"/>
      <c r="AG222" s="49"/>
      <c r="AH222" s="4"/>
    </row>
    <row r="223" spans="1:34" ht="20.100000000000001" customHeight="1" x14ac:dyDescent="0.25">
      <c r="A223" s="2"/>
      <c r="B223" s="2"/>
      <c r="C223" s="2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2"/>
      <c r="Y223" s="2"/>
      <c r="Z223" s="2"/>
      <c r="AA223" s="2"/>
      <c r="AB223" s="2"/>
      <c r="AC223" s="2"/>
      <c r="AD223" s="48"/>
      <c r="AE223" s="48"/>
      <c r="AF223" s="48"/>
      <c r="AG223" s="49"/>
      <c r="AH223" s="4"/>
    </row>
    <row r="224" spans="1:34" ht="105" customHeight="1" x14ac:dyDescent="0.25">
      <c r="B224" s="215" t="s">
        <v>1</v>
      </c>
      <c r="C224" s="217" t="s">
        <v>56</v>
      </c>
      <c r="D224" s="209" t="s">
        <v>3</v>
      </c>
      <c r="E224" s="209" t="s">
        <v>4</v>
      </c>
      <c r="F224" s="209" t="s">
        <v>5</v>
      </c>
      <c r="G224" s="209" t="s">
        <v>6</v>
      </c>
      <c r="H224" s="209" t="s">
        <v>7</v>
      </c>
      <c r="I224" s="209" t="s">
        <v>8</v>
      </c>
      <c r="J224" s="209" t="s">
        <v>9</v>
      </c>
      <c r="K224" s="209" t="s">
        <v>57</v>
      </c>
      <c r="L224" s="22" t="s">
        <v>10</v>
      </c>
      <c r="M224" s="22" t="s">
        <v>10</v>
      </c>
      <c r="N224" s="22" t="s">
        <v>12</v>
      </c>
      <c r="O224" s="211" t="s">
        <v>13</v>
      </c>
      <c r="P224" s="212"/>
      <c r="Q224" s="213"/>
      <c r="R224" s="209" t="s">
        <v>14</v>
      </c>
      <c r="S224" s="225" t="s">
        <v>58</v>
      </c>
      <c r="T224" s="226"/>
      <c r="U224" s="226"/>
      <c r="V224" s="227"/>
      <c r="W224" s="207" t="s">
        <v>21</v>
      </c>
      <c r="X224" s="209" t="s">
        <v>9</v>
      </c>
      <c r="Y224" s="22" t="s">
        <v>242</v>
      </c>
      <c r="Z224" s="22" t="s">
        <v>243</v>
      </c>
      <c r="AA224" s="22" t="s">
        <v>156</v>
      </c>
      <c r="AB224" s="207" t="s">
        <v>59</v>
      </c>
      <c r="AC224" s="228" t="s">
        <v>18</v>
      </c>
      <c r="AD224" s="229"/>
      <c r="AE224" s="229"/>
      <c r="AF224" s="229"/>
      <c r="AG224" s="205" t="s">
        <v>19</v>
      </c>
      <c r="AH224" s="4"/>
    </row>
    <row r="225" spans="1:34" ht="51" x14ac:dyDescent="0.25">
      <c r="B225" s="216"/>
      <c r="C225" s="218"/>
      <c r="D225" s="210"/>
      <c r="E225" s="210"/>
      <c r="F225" s="210"/>
      <c r="G225" s="210"/>
      <c r="H225" s="210"/>
      <c r="I225" s="210"/>
      <c r="J225" s="210"/>
      <c r="K225" s="210"/>
      <c r="L225" s="22">
        <v>5.6</v>
      </c>
      <c r="M225" s="22">
        <v>5.6</v>
      </c>
      <c r="N225" s="22">
        <v>0.7</v>
      </c>
      <c r="O225" s="23">
        <v>0.8</v>
      </c>
      <c r="P225" s="24">
        <v>0.9</v>
      </c>
      <c r="Q225" s="28">
        <v>1</v>
      </c>
      <c r="R225" s="210"/>
      <c r="S225" s="29">
        <v>0.1</v>
      </c>
      <c r="T225" s="30">
        <v>0.2</v>
      </c>
      <c r="U225" s="30">
        <v>0.3</v>
      </c>
      <c r="V225" s="30">
        <v>0.1</v>
      </c>
      <c r="W225" s="208"/>
      <c r="X225" s="210"/>
      <c r="Y225" s="22">
        <v>10.4</v>
      </c>
      <c r="Z225" s="22">
        <v>5.6</v>
      </c>
      <c r="AA225" s="22">
        <v>7.3</v>
      </c>
      <c r="AB225" s="208"/>
      <c r="AC225" s="33" t="s">
        <v>20</v>
      </c>
      <c r="AD225" s="33" t="s">
        <v>21</v>
      </c>
      <c r="AE225" s="33" t="s">
        <v>22</v>
      </c>
      <c r="AF225" s="33" t="s">
        <v>23</v>
      </c>
      <c r="AG225" s="206"/>
      <c r="AH225" s="4"/>
    </row>
    <row r="226" spans="1:34" x14ac:dyDescent="0.25">
      <c r="B226" s="7"/>
      <c r="C226" s="8"/>
      <c r="D226" s="9">
        <v>0</v>
      </c>
      <c r="E226" s="9">
        <v>1</v>
      </c>
      <c r="F226" s="9">
        <v>2</v>
      </c>
      <c r="G226" s="9" t="s">
        <v>24</v>
      </c>
      <c r="H226" s="9" t="s">
        <v>25</v>
      </c>
      <c r="I226" s="9" t="s">
        <v>26</v>
      </c>
      <c r="J226" s="9" t="s">
        <v>27</v>
      </c>
      <c r="K226" s="25" t="s">
        <v>60</v>
      </c>
      <c r="L226" s="9" t="s">
        <v>61</v>
      </c>
      <c r="M226" s="9" t="s">
        <v>61</v>
      </c>
      <c r="N226" s="9" t="s">
        <v>62</v>
      </c>
      <c r="O226" s="9" t="s">
        <v>63</v>
      </c>
      <c r="P226" s="9" t="s">
        <v>63</v>
      </c>
      <c r="Q226" s="9" t="s">
        <v>63</v>
      </c>
      <c r="R226" s="9">
        <v>9</v>
      </c>
      <c r="S226" s="31" t="s">
        <v>161</v>
      </c>
      <c r="T226" s="31" t="s">
        <v>162</v>
      </c>
      <c r="U226" s="31" t="s">
        <v>163</v>
      </c>
      <c r="V226" s="31" t="s">
        <v>164</v>
      </c>
      <c r="W226" s="31" t="s">
        <v>64</v>
      </c>
      <c r="X226" s="9" t="s">
        <v>65</v>
      </c>
      <c r="Y226" s="9" t="s">
        <v>66</v>
      </c>
      <c r="Z226" s="9" t="s">
        <v>67</v>
      </c>
      <c r="AA226" s="9" t="s">
        <v>246</v>
      </c>
      <c r="AB226" s="9" t="s">
        <v>240</v>
      </c>
      <c r="AC226" s="9">
        <v>16</v>
      </c>
      <c r="AD226" s="31" t="s">
        <v>158</v>
      </c>
      <c r="AE226" s="31" t="s">
        <v>159</v>
      </c>
      <c r="AF226" s="31" t="s">
        <v>160</v>
      </c>
      <c r="AG226" s="9">
        <v>17</v>
      </c>
      <c r="AH226" s="4"/>
    </row>
    <row r="227" spans="1:34" x14ac:dyDescent="0.25">
      <c r="A227" s="1" t="s">
        <v>238</v>
      </c>
      <c r="B227" s="7">
        <v>1</v>
      </c>
      <c r="C227" s="19" t="s">
        <v>148</v>
      </c>
      <c r="D227" s="11">
        <v>1</v>
      </c>
      <c r="E227" s="128">
        <v>71.23</v>
      </c>
      <c r="F227" s="128">
        <f>E227*1192.91</f>
        <v>84970.979300000006</v>
      </c>
      <c r="G227" s="128">
        <f>F227/60</f>
        <v>1416.1829883333335</v>
      </c>
      <c r="H227" s="128">
        <v>1274.22</v>
      </c>
      <c r="I227" s="128">
        <f>+F227*0.5%</f>
        <v>424.85489650000005</v>
      </c>
      <c r="J227" s="128">
        <f>+G227+H227+I227</f>
        <v>3115.2578848333333</v>
      </c>
      <c r="K227" s="128">
        <f>+J227/12</f>
        <v>259.60482373611109</v>
      </c>
      <c r="L227" s="128"/>
      <c r="M227" s="128">
        <f>+J227*(100%+5.6%)</f>
        <v>3289.7123263839999</v>
      </c>
      <c r="N227" s="128">
        <f>+K227*N225</f>
        <v>181.72337661527774</v>
      </c>
      <c r="O227" s="128">
        <v>145.35</v>
      </c>
      <c r="P227" s="128">
        <f>+N227*P225</f>
        <v>163.55103895374998</v>
      </c>
      <c r="Q227" s="128">
        <f>+N227*Q225</f>
        <v>181.72337661527774</v>
      </c>
      <c r="R227" s="139" t="s">
        <v>251</v>
      </c>
      <c r="S227" s="139">
        <v>0</v>
      </c>
      <c r="T227" s="139">
        <v>0</v>
      </c>
      <c r="U227" s="139">
        <v>0</v>
      </c>
      <c r="V227" s="139">
        <v>0</v>
      </c>
      <c r="W227" s="139">
        <f>N227</f>
        <v>181.72337661527774</v>
      </c>
      <c r="X227" s="139">
        <f>W227*12-0.04</f>
        <v>2180.640519383333</v>
      </c>
      <c r="Y227" s="139">
        <f>X227*(100+10.4)%</f>
        <v>2407.4271333991996</v>
      </c>
      <c r="Z227" s="139">
        <f>Y227*(100+5.6)%+0.01</f>
        <v>2542.2530528695552</v>
      </c>
      <c r="AA227" s="139">
        <f>Z227*(100+7.3)%-0.01</f>
        <v>2727.8275257290325</v>
      </c>
      <c r="AB227" s="139">
        <f>AA227/12</f>
        <v>227.31896047741938</v>
      </c>
      <c r="AC227" s="139">
        <f>K227</f>
        <v>259.60482373611109</v>
      </c>
      <c r="AD227" s="139">
        <f>AB227</f>
        <v>227.31896047741938</v>
      </c>
      <c r="AE227" s="139">
        <f>G227/12</f>
        <v>118.01524902777778</v>
      </c>
      <c r="AF227" s="141">
        <f>AE227/AC227*100</f>
        <v>45.459574798864509</v>
      </c>
      <c r="AG227" s="142">
        <f>AD227*AF227%</f>
        <v>103.33823287023372</v>
      </c>
      <c r="AH227" s="4"/>
    </row>
    <row r="228" spans="1:34" x14ac:dyDescent="0.25">
      <c r="B228" s="7"/>
      <c r="C228" s="219" t="s">
        <v>77</v>
      </c>
      <c r="D228" s="219"/>
      <c r="E228" s="132">
        <f>+E227</f>
        <v>71.23</v>
      </c>
      <c r="F228" s="132">
        <f t="shared" ref="F228:H228" si="125">SUM(F227:F227)</f>
        <v>84970.979300000006</v>
      </c>
      <c r="G228" s="132">
        <f t="shared" si="125"/>
        <v>1416.1829883333335</v>
      </c>
      <c r="H228" s="132">
        <f t="shared" si="125"/>
        <v>1274.22</v>
      </c>
      <c r="I228" s="132">
        <f>+I227</f>
        <v>424.85489650000005</v>
      </c>
      <c r="J228" s="132">
        <f>SUM(J227:J227)</f>
        <v>3115.2578848333333</v>
      </c>
      <c r="K228" s="132">
        <f>+K227</f>
        <v>259.60482373611109</v>
      </c>
      <c r="L228" s="132"/>
      <c r="M228" s="132">
        <f>SUM(M227:M227)</f>
        <v>3289.7123263839999</v>
      </c>
      <c r="N228" s="132">
        <f>+N227</f>
        <v>181.72337661527774</v>
      </c>
      <c r="O228" s="132">
        <f>+O227</f>
        <v>145.35</v>
      </c>
      <c r="P228" s="132">
        <f>+P227</f>
        <v>163.55103895374998</v>
      </c>
      <c r="Q228" s="132">
        <f>+Q227</f>
        <v>181.72337661527774</v>
      </c>
      <c r="R228" s="132"/>
      <c r="S228" s="132">
        <f>SUM(S227)</f>
        <v>0</v>
      </c>
      <c r="T228" s="132">
        <f t="shared" ref="T228:AG228" si="126">SUM(T227)</f>
        <v>0</v>
      </c>
      <c r="U228" s="132">
        <f t="shared" si="126"/>
        <v>0</v>
      </c>
      <c r="V228" s="132">
        <f t="shared" si="126"/>
        <v>0</v>
      </c>
      <c r="W228" s="132">
        <f t="shared" si="126"/>
        <v>181.72337661527774</v>
      </c>
      <c r="X228" s="132">
        <f t="shared" si="126"/>
        <v>2180.640519383333</v>
      </c>
      <c r="Y228" s="132">
        <f t="shared" si="126"/>
        <v>2407.4271333991996</v>
      </c>
      <c r="Z228" s="132">
        <f t="shared" si="126"/>
        <v>2542.2530528695552</v>
      </c>
      <c r="AA228" s="132">
        <f t="shared" si="126"/>
        <v>2727.8275257290325</v>
      </c>
      <c r="AB228" s="132">
        <f t="shared" si="126"/>
        <v>227.31896047741938</v>
      </c>
      <c r="AC228" s="132">
        <f t="shared" si="126"/>
        <v>259.60482373611109</v>
      </c>
      <c r="AD228" s="132">
        <f t="shared" si="126"/>
        <v>227.31896047741938</v>
      </c>
      <c r="AE228" s="132">
        <f t="shared" si="126"/>
        <v>118.01524902777778</v>
      </c>
      <c r="AF228" s="132">
        <f t="shared" si="126"/>
        <v>45.459574798864509</v>
      </c>
      <c r="AG228" s="132">
        <f t="shared" si="126"/>
        <v>103.33823287023372</v>
      </c>
      <c r="AH228" s="4"/>
    </row>
    <row r="229" spans="1:34" x14ac:dyDescent="0.25">
      <c r="B229" s="4"/>
      <c r="C229" s="52"/>
      <c r="D229" s="52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"/>
    </row>
    <row r="230" spans="1:34" x14ac:dyDescent="0.25">
      <c r="B230" s="4"/>
      <c r="C230" s="52"/>
      <c r="D230" s="52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"/>
    </row>
    <row r="231" spans="1:34" ht="15" x14ac:dyDescent="0.25">
      <c r="B231" s="4"/>
      <c r="C231" s="67"/>
      <c r="D231" s="68"/>
      <c r="E231" s="69" t="s">
        <v>149</v>
      </c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71"/>
      <c r="W231" s="71"/>
      <c r="X231" s="70"/>
      <c r="Y231" s="70"/>
      <c r="Z231" s="70"/>
      <c r="AA231" s="115"/>
      <c r="AB231" s="70"/>
      <c r="AC231" s="70"/>
      <c r="AD231" s="69"/>
      <c r="AE231" s="69"/>
      <c r="AF231" s="69"/>
      <c r="AG231" s="41"/>
      <c r="AH231" s="4"/>
    </row>
    <row r="232" spans="1:34" ht="15" x14ac:dyDescent="0.25">
      <c r="B232" s="4"/>
      <c r="C232" s="4"/>
      <c r="D232" s="220" t="s">
        <v>150</v>
      </c>
      <c r="E232" s="220"/>
      <c r="F232" s="220"/>
      <c r="G232" s="69"/>
      <c r="H232" s="69"/>
      <c r="I232" s="69"/>
      <c r="J232" s="69"/>
      <c r="K232" s="71"/>
      <c r="L232" s="71"/>
      <c r="M232" s="71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70"/>
      <c r="Y232" s="70"/>
      <c r="Z232" s="70"/>
      <c r="AA232" s="115"/>
      <c r="AB232" s="70"/>
      <c r="AC232" s="70"/>
      <c r="AD232" s="69"/>
      <c r="AE232" s="69"/>
      <c r="AF232" s="69"/>
      <c r="AG232" s="41"/>
      <c r="AH232" s="4"/>
    </row>
    <row r="233" spans="1:34" ht="15" x14ac:dyDescent="0.25">
      <c r="B233" s="4"/>
      <c r="C233" s="4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71"/>
      <c r="X233" s="70"/>
      <c r="Y233" s="70"/>
      <c r="Z233" s="70"/>
      <c r="AA233" s="115"/>
      <c r="AB233" s="70"/>
      <c r="AC233" s="70"/>
      <c r="AD233" s="69"/>
      <c r="AE233" s="69"/>
      <c r="AF233" s="69"/>
      <c r="AG233" s="41"/>
      <c r="AH233" s="4"/>
    </row>
    <row r="234" spans="1:34" ht="15" x14ac:dyDescent="0.25">
      <c r="B234" s="4"/>
      <c r="C234" s="4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220" t="s">
        <v>151</v>
      </c>
      <c r="U234" s="220"/>
      <c r="V234" s="220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41"/>
      <c r="AH234" s="4"/>
    </row>
    <row r="235" spans="1:34" ht="15" x14ac:dyDescent="0.25">
      <c r="B235" s="4"/>
      <c r="C235" s="4"/>
      <c r="D235" s="69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69"/>
      <c r="S235" s="71"/>
      <c r="T235" s="220" t="s">
        <v>152</v>
      </c>
      <c r="U235" s="220"/>
      <c r="V235" s="220"/>
      <c r="W235" s="69"/>
      <c r="X235" s="69"/>
      <c r="Y235" s="69"/>
      <c r="Z235" s="69"/>
      <c r="AA235" s="69"/>
      <c r="AB235" s="69"/>
      <c r="AC235" s="69"/>
      <c r="AD235" s="69"/>
      <c r="AE235" s="220" t="s">
        <v>153</v>
      </c>
      <c r="AF235" s="220"/>
      <c r="AG235" s="41"/>
      <c r="AH235" s="4"/>
    </row>
    <row r="236" spans="1:34" ht="15" x14ac:dyDescent="0.25">
      <c r="B236" s="4"/>
      <c r="C236" s="4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214" t="s">
        <v>154</v>
      </c>
      <c r="AF236" s="214"/>
      <c r="AG236" s="41"/>
      <c r="AH236" s="4"/>
    </row>
    <row r="237" spans="1:34" ht="14.25" x14ac:dyDescent="0.25">
      <c r="B237" s="4"/>
      <c r="D237" s="72"/>
      <c r="E237" s="72"/>
      <c r="F237" s="77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4"/>
      <c r="AF237" s="74"/>
      <c r="AG237" s="41"/>
      <c r="AH237" s="4"/>
    </row>
    <row r="238" spans="1:34" x14ac:dyDescent="0.25">
      <c r="B238" s="4"/>
      <c r="C238" s="52"/>
      <c r="D238" s="52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"/>
    </row>
    <row r="239" spans="1:34" x14ac:dyDescent="0.25">
      <c r="B239" s="4"/>
      <c r="C239" s="52"/>
      <c r="D239" s="52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"/>
    </row>
    <row r="240" spans="1:34" x14ac:dyDescent="0.25">
      <c r="B240" s="4"/>
      <c r="C240" s="52"/>
      <c r="D240" s="52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"/>
    </row>
    <row r="241" spans="2:34" x14ac:dyDescent="0.25">
      <c r="B241" s="4"/>
      <c r="C241" s="52"/>
      <c r="D241" s="52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"/>
    </row>
    <row r="242" spans="2:34" x14ac:dyDescent="0.25">
      <c r="B242" s="4"/>
      <c r="C242" s="52"/>
      <c r="D242" s="52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"/>
    </row>
    <row r="243" spans="2:34" x14ac:dyDescent="0.25">
      <c r="B243" s="4"/>
      <c r="C243" s="52"/>
      <c r="D243" s="52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"/>
    </row>
    <row r="244" spans="2:34" x14ac:dyDescent="0.25">
      <c r="B244" s="4"/>
      <c r="C244" s="52"/>
      <c r="D244" s="52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"/>
    </row>
    <row r="245" spans="2:34" x14ac:dyDescent="0.25">
      <c r="B245" s="4"/>
      <c r="C245" s="52"/>
      <c r="D245" s="52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"/>
    </row>
    <row r="246" spans="2:34" x14ac:dyDescent="0.25">
      <c r="B246" s="4"/>
      <c r="C246" s="52"/>
      <c r="D246" s="52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"/>
    </row>
    <row r="247" spans="2:34" x14ac:dyDescent="0.25">
      <c r="B247" s="4"/>
      <c r="C247" s="52"/>
      <c r="D247" s="52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"/>
    </row>
    <row r="248" spans="2:34" x14ac:dyDescent="0.25">
      <c r="B248" s="4"/>
      <c r="C248" s="52"/>
      <c r="D248" s="52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"/>
    </row>
    <row r="249" spans="2:34" x14ac:dyDescent="0.25">
      <c r="B249" s="4"/>
      <c r="C249" s="52"/>
      <c r="D249" s="52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"/>
    </row>
    <row r="250" spans="2:34" x14ac:dyDescent="0.25">
      <c r="B250" s="4"/>
      <c r="C250" s="52"/>
      <c r="D250" s="52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"/>
    </row>
    <row r="251" spans="2:34" x14ac:dyDescent="0.25">
      <c r="B251" s="4"/>
      <c r="C251" s="52"/>
      <c r="D251" s="52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"/>
    </row>
    <row r="252" spans="2:34" x14ac:dyDescent="0.25">
      <c r="B252" s="4"/>
      <c r="C252" s="52"/>
      <c r="D252" s="52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"/>
    </row>
    <row r="253" spans="2:34" x14ac:dyDescent="0.25">
      <c r="B253" s="4"/>
      <c r="C253" s="52"/>
      <c r="D253" s="52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"/>
    </row>
    <row r="254" spans="2:34" x14ac:dyDescent="0.25">
      <c r="B254" s="4"/>
      <c r="C254" s="52"/>
      <c r="D254" s="52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"/>
    </row>
    <row r="255" spans="2:34" x14ac:dyDescent="0.25">
      <c r="B255" s="4"/>
      <c r="C255" s="52"/>
      <c r="D255" s="52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"/>
    </row>
    <row r="256" spans="2:34" x14ac:dyDescent="0.25">
      <c r="B256" s="4"/>
      <c r="C256" s="52"/>
      <c r="D256" s="52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"/>
    </row>
    <row r="257" spans="2:34" x14ac:dyDescent="0.25">
      <c r="B257" s="4"/>
      <c r="C257" s="52"/>
      <c r="D257" s="52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"/>
    </row>
    <row r="258" spans="2:34" x14ac:dyDescent="0.25">
      <c r="B258" s="4"/>
      <c r="C258" s="52"/>
      <c r="D258" s="52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"/>
    </row>
    <row r="259" spans="2:34" x14ac:dyDescent="0.25">
      <c r="B259" s="4"/>
      <c r="C259" s="52"/>
      <c r="D259" s="52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"/>
    </row>
    <row r="260" spans="2:34" x14ac:dyDescent="0.25">
      <c r="B260" s="4"/>
      <c r="C260" s="52"/>
      <c r="D260" s="52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"/>
    </row>
    <row r="261" spans="2:34" x14ac:dyDescent="0.25">
      <c r="B261" s="4"/>
      <c r="C261" s="52"/>
      <c r="D261" s="52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"/>
    </row>
    <row r="262" spans="2:34" x14ac:dyDescent="0.25">
      <c r="B262" s="4"/>
      <c r="C262" s="52"/>
      <c r="D262" s="52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"/>
    </row>
    <row r="263" spans="2:34" x14ac:dyDescent="0.25">
      <c r="B263" s="4"/>
      <c r="C263" s="52"/>
      <c r="D263" s="52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"/>
    </row>
    <row r="264" spans="2:34" x14ac:dyDescent="0.25">
      <c r="B264" s="4"/>
      <c r="C264" s="52"/>
      <c r="D264" s="52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"/>
    </row>
    <row r="265" spans="2:34" x14ac:dyDescent="0.25">
      <c r="B265" s="4"/>
      <c r="C265" s="52"/>
      <c r="D265" s="52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"/>
    </row>
    <row r="266" spans="2:34" x14ac:dyDescent="0.25">
      <c r="B266" s="4"/>
      <c r="C266" s="52"/>
      <c r="D266" s="5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"/>
    </row>
    <row r="267" spans="2:34" x14ac:dyDescent="0.25">
      <c r="B267" s="4"/>
      <c r="C267" s="52"/>
      <c r="D267" s="5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"/>
    </row>
    <row r="268" spans="2:34" x14ac:dyDescent="0.25">
      <c r="B268" s="4"/>
      <c r="C268" s="52"/>
      <c r="D268" s="52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"/>
    </row>
    <row r="269" spans="2:34" x14ac:dyDescent="0.25">
      <c r="B269" s="4"/>
      <c r="C269" s="52"/>
      <c r="D269" s="52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"/>
    </row>
    <row r="270" spans="2:34" x14ac:dyDescent="0.25">
      <c r="B270" s="4"/>
      <c r="C270" s="52"/>
      <c r="D270" s="52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"/>
    </row>
    <row r="271" spans="2:34" x14ac:dyDescent="0.25">
      <c r="B271" s="4"/>
      <c r="C271" s="52"/>
      <c r="D271" s="52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"/>
    </row>
    <row r="272" spans="2:34" x14ac:dyDescent="0.25">
      <c r="B272" s="4"/>
      <c r="C272" s="52"/>
      <c r="D272" s="52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"/>
    </row>
    <row r="273" spans="2:34" x14ac:dyDescent="0.25">
      <c r="B273" s="4"/>
      <c r="C273" s="52"/>
      <c r="D273" s="52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"/>
    </row>
    <row r="274" spans="2:34" x14ac:dyDescent="0.25">
      <c r="B274" s="4"/>
      <c r="C274" s="52"/>
      <c r="D274" s="52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"/>
    </row>
    <row r="275" spans="2:34" x14ac:dyDescent="0.25">
      <c r="B275" s="4"/>
      <c r="C275" s="52"/>
      <c r="D275" s="52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"/>
    </row>
    <row r="276" spans="2:34" x14ac:dyDescent="0.25">
      <c r="B276" s="4"/>
      <c r="C276" s="52"/>
      <c r="D276" s="52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"/>
    </row>
    <row r="277" spans="2:34" x14ac:dyDescent="0.25">
      <c r="B277" s="4"/>
      <c r="C277" s="52"/>
      <c r="D277" s="52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"/>
    </row>
    <row r="278" spans="2:34" x14ac:dyDescent="0.25">
      <c r="B278" s="4"/>
      <c r="C278" s="52"/>
      <c r="D278" s="52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"/>
    </row>
    <row r="279" spans="2:34" x14ac:dyDescent="0.25">
      <c r="B279" s="4"/>
      <c r="C279" s="52"/>
      <c r="D279" s="5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"/>
    </row>
    <row r="280" spans="2:34" x14ac:dyDescent="0.25">
      <c r="B280" s="4"/>
      <c r="C280" s="52"/>
      <c r="D280" s="5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"/>
    </row>
    <row r="281" spans="2:34" x14ac:dyDescent="0.25">
      <c r="B281" s="4"/>
      <c r="C281" s="52"/>
      <c r="D281" s="52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"/>
    </row>
    <row r="282" spans="2:34" x14ac:dyDescent="0.25">
      <c r="B282" s="4"/>
      <c r="C282" s="52"/>
      <c r="D282" s="52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"/>
    </row>
    <row r="283" spans="2:34" x14ac:dyDescent="0.25">
      <c r="B283" s="4"/>
      <c r="C283" s="52"/>
      <c r="D283" s="52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"/>
    </row>
    <row r="284" spans="2:34" x14ac:dyDescent="0.25">
      <c r="B284" s="4"/>
      <c r="C284" s="52"/>
      <c r="D284" s="52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"/>
    </row>
    <row r="285" spans="2:34" x14ac:dyDescent="0.25">
      <c r="B285" s="4"/>
      <c r="C285" s="52"/>
      <c r="D285" s="52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"/>
    </row>
    <row r="286" spans="2:34" x14ac:dyDescent="0.25">
      <c r="B286" s="4"/>
      <c r="C286" s="52"/>
      <c r="D286" s="52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"/>
    </row>
    <row r="287" spans="2:34" x14ac:dyDescent="0.25">
      <c r="B287" s="4"/>
      <c r="C287" s="52"/>
      <c r="D287" s="52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"/>
    </row>
    <row r="288" spans="2:34" x14ac:dyDescent="0.25">
      <c r="B288" s="4"/>
      <c r="C288" s="52"/>
      <c r="D288" s="52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"/>
    </row>
    <row r="289" spans="2:34" x14ac:dyDescent="0.25">
      <c r="B289" s="4"/>
      <c r="C289" s="52"/>
      <c r="D289" s="5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"/>
    </row>
    <row r="290" spans="2:34" x14ac:dyDescent="0.25">
      <c r="B290" s="4"/>
      <c r="C290" s="52"/>
      <c r="D290" s="5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"/>
    </row>
    <row r="291" spans="2:34" x14ac:dyDescent="0.25">
      <c r="B291" s="4"/>
      <c r="C291" s="52"/>
      <c r="D291" s="52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"/>
    </row>
    <row r="292" spans="2:34" x14ac:dyDescent="0.25">
      <c r="B292" s="4"/>
      <c r="C292" s="52"/>
      <c r="D292" s="52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"/>
    </row>
    <row r="293" spans="2:34" x14ac:dyDescent="0.25">
      <c r="B293" s="4"/>
      <c r="C293" s="52"/>
      <c r="D293" s="52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"/>
    </row>
    <row r="294" spans="2:34" x14ac:dyDescent="0.25">
      <c r="B294" s="4"/>
      <c r="C294" s="52"/>
      <c r="D294" s="52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"/>
    </row>
    <row r="295" spans="2:34" x14ac:dyDescent="0.25">
      <c r="B295" s="4"/>
      <c r="C295" s="52"/>
      <c r="D295" s="52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"/>
    </row>
    <row r="296" spans="2:34" x14ac:dyDescent="0.25">
      <c r="B296" s="4"/>
      <c r="C296" s="52"/>
      <c r="D296" s="52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"/>
    </row>
    <row r="297" spans="2:34" x14ac:dyDescent="0.25">
      <c r="B297" s="4"/>
      <c r="C297" s="52"/>
      <c r="D297" s="52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"/>
    </row>
    <row r="298" spans="2:34" x14ac:dyDescent="0.25">
      <c r="B298" s="4"/>
      <c r="C298" s="52"/>
      <c r="D298" s="52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"/>
    </row>
    <row r="299" spans="2:34" x14ac:dyDescent="0.25">
      <c r="B299" s="4"/>
      <c r="C299" s="52"/>
      <c r="D299" s="52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"/>
    </row>
    <row r="300" spans="2:34" x14ac:dyDescent="0.25">
      <c r="B300" s="4"/>
      <c r="C300" s="52"/>
      <c r="D300" s="52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"/>
    </row>
    <row r="301" spans="2:34" x14ac:dyDescent="0.25">
      <c r="B301" s="4"/>
      <c r="C301" s="52"/>
      <c r="D301" s="52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"/>
    </row>
    <row r="302" spans="2:34" x14ac:dyDescent="0.25">
      <c r="B302" s="4"/>
      <c r="C302" s="52"/>
      <c r="D302" s="52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"/>
    </row>
    <row r="303" spans="2:34" x14ac:dyDescent="0.25">
      <c r="B303" s="4"/>
      <c r="C303" s="52"/>
      <c r="D303" s="52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"/>
    </row>
    <row r="304" spans="2:34" x14ac:dyDescent="0.25">
      <c r="B304" s="4"/>
      <c r="C304" s="52"/>
      <c r="D304" s="52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"/>
    </row>
    <row r="305" spans="2:34" x14ac:dyDescent="0.25">
      <c r="B305" s="4"/>
      <c r="C305" s="52"/>
      <c r="D305" s="52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"/>
    </row>
    <row r="306" spans="2:34" x14ac:dyDescent="0.25">
      <c r="B306" s="4"/>
      <c r="C306" s="52"/>
      <c r="D306" s="52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"/>
    </row>
    <row r="307" spans="2:34" x14ac:dyDescent="0.25">
      <c r="B307" s="4"/>
      <c r="C307" s="52"/>
      <c r="D307" s="52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"/>
    </row>
    <row r="308" spans="2:34" x14ac:dyDescent="0.25">
      <c r="B308" s="4"/>
      <c r="C308" s="52"/>
      <c r="D308" s="52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"/>
    </row>
    <row r="309" spans="2:34" x14ac:dyDescent="0.25">
      <c r="B309" s="4"/>
      <c r="C309" s="52"/>
      <c r="D309" s="52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"/>
    </row>
    <row r="310" spans="2:34" x14ac:dyDescent="0.25">
      <c r="B310" s="4"/>
      <c r="C310" s="52"/>
      <c r="D310" s="52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"/>
    </row>
    <row r="311" spans="2:34" x14ac:dyDescent="0.25">
      <c r="B311" s="4"/>
      <c r="C311" s="52"/>
      <c r="D311" s="52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"/>
    </row>
    <row r="312" spans="2:34" x14ac:dyDescent="0.25">
      <c r="B312" s="4"/>
      <c r="C312" s="52"/>
      <c r="D312" s="52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"/>
    </row>
    <row r="313" spans="2:34" x14ac:dyDescent="0.25">
      <c r="B313" s="4"/>
      <c r="C313" s="52"/>
      <c r="D313" s="52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"/>
    </row>
    <row r="314" spans="2:34" x14ac:dyDescent="0.25">
      <c r="B314" s="4"/>
      <c r="C314" s="52"/>
      <c r="D314" s="52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"/>
    </row>
    <row r="315" spans="2:34" x14ac:dyDescent="0.25">
      <c r="B315" s="4"/>
      <c r="C315" s="52"/>
      <c r="D315" s="52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"/>
    </row>
    <row r="316" spans="2:34" x14ac:dyDescent="0.25">
      <c r="B316" s="4"/>
      <c r="C316" s="52"/>
      <c r="D316" s="52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"/>
    </row>
    <row r="317" spans="2:34" x14ac:dyDescent="0.25">
      <c r="B317" s="4"/>
      <c r="C317" s="52"/>
      <c r="D317" s="52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"/>
    </row>
    <row r="318" spans="2:34" x14ac:dyDescent="0.25">
      <c r="B318" s="4"/>
      <c r="C318" s="52"/>
      <c r="D318" s="52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"/>
    </row>
    <row r="319" spans="2:34" x14ac:dyDescent="0.25">
      <c r="B319" s="4"/>
      <c r="C319" s="52"/>
      <c r="D319" s="52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"/>
    </row>
    <row r="320" spans="2:34" x14ac:dyDescent="0.25">
      <c r="B320" s="4"/>
      <c r="C320" s="52"/>
      <c r="D320" s="52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"/>
    </row>
    <row r="321" spans="1:34" x14ac:dyDescent="0.25">
      <c r="B321" s="4"/>
      <c r="C321" s="52"/>
      <c r="D321" s="52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"/>
    </row>
    <row r="322" spans="1:34" x14ac:dyDescent="0.25">
      <c r="B322" s="4"/>
      <c r="C322" s="52"/>
      <c r="D322" s="52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"/>
    </row>
    <row r="323" spans="1:34" x14ac:dyDescent="0.25">
      <c r="B323" s="4"/>
      <c r="C323" s="52"/>
      <c r="D323" s="52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"/>
    </row>
    <row r="324" spans="1:34" x14ac:dyDescent="0.25">
      <c r="B324" s="4"/>
      <c r="C324" s="52"/>
      <c r="D324" s="52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"/>
    </row>
    <row r="325" spans="1:34" x14ac:dyDescent="0.25">
      <c r="B325" s="4"/>
      <c r="C325" s="52"/>
      <c r="D325" s="52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"/>
    </row>
    <row r="326" spans="1:34" x14ac:dyDescent="0.25">
      <c r="B326" s="4"/>
      <c r="C326" s="52"/>
      <c r="D326" s="52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"/>
    </row>
    <row r="327" spans="1:34" x14ac:dyDescent="0.25">
      <c r="B327" s="4"/>
      <c r="C327" s="52"/>
      <c r="D327" s="52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"/>
    </row>
    <row r="328" spans="1:34" x14ac:dyDescent="0.25">
      <c r="B328" s="4"/>
      <c r="C328" s="52"/>
      <c r="D328" s="52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"/>
    </row>
    <row r="329" spans="1:34" ht="15" x14ac:dyDescent="0.25">
      <c r="B329" s="27"/>
      <c r="C329" s="52"/>
      <c r="D329" s="52"/>
      <c r="E329" s="52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"/>
    </row>
    <row r="330" spans="1:34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 s="4"/>
    </row>
    <row r="331" spans="1:34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 s="4"/>
    </row>
    <row r="332" spans="1:34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 s="4"/>
    </row>
    <row r="333" spans="1:34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 s="4"/>
    </row>
    <row r="334" spans="1:34" ht="139.9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 s="4"/>
    </row>
    <row r="335" spans="1:34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 s="4"/>
    </row>
    <row r="336" spans="1:34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 s="4"/>
    </row>
    <row r="337" spans="1:34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 s="4"/>
    </row>
    <row r="338" spans="1:34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 s="4"/>
    </row>
    <row r="339" spans="1:34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 s="4"/>
    </row>
    <row r="340" spans="1:34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 s="4"/>
    </row>
    <row r="341" spans="1:34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 s="4"/>
    </row>
    <row r="342" spans="1:34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 s="4"/>
    </row>
    <row r="343" spans="1:34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 s="4"/>
    </row>
    <row r="344" spans="1:34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 s="4"/>
    </row>
    <row r="345" spans="1:34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 s="4"/>
    </row>
    <row r="346" spans="1:34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x14ac:dyDescent="0.25">
      <c r="B349" s="4"/>
      <c r="C349" s="221"/>
      <c r="D349" s="22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3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x14ac:dyDescent="0.25">
      <c r="B350" s="4"/>
      <c r="AG350" s="4"/>
      <c r="AH350" s="4"/>
    </row>
    <row r="351" spans="1:34" x14ac:dyDescent="0.25">
      <c r="B351" s="4"/>
      <c r="AG351" s="4"/>
      <c r="AH351" s="4"/>
    </row>
    <row r="352" spans="1:34" x14ac:dyDescent="0.25">
      <c r="B352" s="4"/>
      <c r="AG352" s="4"/>
      <c r="AH352" s="4"/>
    </row>
    <row r="353" spans="2:34" x14ac:dyDescent="0.25">
      <c r="B353" s="4"/>
      <c r="AG353" s="4"/>
      <c r="AH353" s="4"/>
    </row>
    <row r="354" spans="2:34" x14ac:dyDescent="0.25">
      <c r="B354" s="4"/>
      <c r="AG354" s="4"/>
      <c r="AH354" s="4"/>
    </row>
    <row r="355" spans="2:34" x14ac:dyDescent="0.25">
      <c r="B355" s="4"/>
      <c r="AG355" s="4"/>
      <c r="AH355" s="4"/>
    </row>
    <row r="357" spans="2:34" ht="14.25" x14ac:dyDescent="0.25"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</row>
    <row r="373" spans="2:33" ht="15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2:33" ht="15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2:33" ht="15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2:33" ht="15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2:33" ht="95.1" customHeigh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2:33" ht="15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2:33" ht="15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2:33" ht="15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2:33" ht="15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2:33" ht="15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2:33" ht="15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2:33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7" spans="3:33" x14ac:dyDescent="0.25">
      <c r="C387" s="222"/>
      <c r="D387" s="222"/>
      <c r="V387" s="74"/>
    </row>
    <row r="388" spans="3:33" ht="15" x14ac:dyDescent="0.25">
      <c r="C388" s="75"/>
      <c r="D388" s="76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7"/>
      <c r="W388" s="72"/>
      <c r="X388" s="73"/>
      <c r="Y388" s="73"/>
      <c r="Z388" s="73"/>
      <c r="AA388" s="114"/>
      <c r="AB388" s="73"/>
      <c r="AC388" s="73"/>
      <c r="AD388" s="72"/>
      <c r="AE388" s="72"/>
      <c r="AF388" s="72"/>
      <c r="AG388" s="72"/>
    </row>
    <row r="389" spans="3:33" ht="14.25" x14ac:dyDescent="0.25">
      <c r="D389" s="214"/>
      <c r="E389" s="214"/>
      <c r="F389" s="214"/>
      <c r="G389" s="72"/>
      <c r="H389" s="72"/>
      <c r="I389" s="72"/>
      <c r="J389" s="72"/>
      <c r="K389" s="77"/>
      <c r="L389" s="77"/>
      <c r="M389" s="77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3"/>
      <c r="Y389" s="73"/>
      <c r="Z389" s="73"/>
      <c r="AA389" s="114"/>
      <c r="AB389" s="73"/>
      <c r="AC389" s="73"/>
      <c r="AD389" s="72"/>
      <c r="AE389" s="72"/>
      <c r="AF389" s="72"/>
      <c r="AG389" s="72"/>
    </row>
    <row r="390" spans="3:33" ht="14.25" x14ac:dyDescent="0.25"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3"/>
      <c r="Y390" s="73"/>
      <c r="Z390" s="73"/>
      <c r="AA390" s="114"/>
      <c r="AB390" s="73"/>
      <c r="AC390" s="73"/>
      <c r="AD390" s="72"/>
      <c r="AE390" s="72"/>
      <c r="AF390" s="72"/>
      <c r="AG390" s="72"/>
    </row>
    <row r="391" spans="3:33" ht="14.25" x14ac:dyDescent="0.25"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214"/>
      <c r="U391" s="214"/>
      <c r="V391" s="214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</row>
    <row r="392" spans="3:33" ht="14.25" x14ac:dyDescent="0.25"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214"/>
      <c r="U392" s="214"/>
      <c r="V392" s="214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</row>
    <row r="393" spans="3:33" ht="14.25" x14ac:dyDescent="0.25"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214"/>
      <c r="AF393" s="214"/>
      <c r="AG393" s="72"/>
    </row>
    <row r="394" spans="3:33" ht="14.25" x14ac:dyDescent="0.25"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214"/>
      <c r="AF394" s="214"/>
      <c r="AG394" s="72"/>
    </row>
    <row r="395" spans="3:33" ht="14.25" x14ac:dyDescent="0.25"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</row>
    <row r="396" spans="3:33" ht="14.25" x14ac:dyDescent="0.25"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</row>
    <row r="403" spans="13:13" x14ac:dyDescent="0.25">
      <c r="M403" s="1" t="s">
        <v>155</v>
      </c>
    </row>
  </sheetData>
  <mergeCells count="337">
    <mergeCell ref="C6:G6"/>
    <mergeCell ref="O10:Q10"/>
    <mergeCell ref="S10:V10"/>
    <mergeCell ref="AC10:AF10"/>
    <mergeCell ref="C20:D20"/>
    <mergeCell ref="C26:D26"/>
    <mergeCell ref="O29:Q29"/>
    <mergeCell ref="S29:V29"/>
    <mergeCell ref="AC29:AF29"/>
    <mergeCell ref="D10:D11"/>
    <mergeCell ref="D29:D30"/>
    <mergeCell ref="E10:E11"/>
    <mergeCell ref="E29:E30"/>
    <mergeCell ref="F10:F11"/>
    <mergeCell ref="F29:F30"/>
    <mergeCell ref="G10:G11"/>
    <mergeCell ref="G29:G30"/>
    <mergeCell ref="H10:H11"/>
    <mergeCell ref="H29:H30"/>
    <mergeCell ref="I10:I11"/>
    <mergeCell ref="I29:I30"/>
    <mergeCell ref="K10:K11"/>
    <mergeCell ref="K29:K30"/>
    <mergeCell ref="W10:W11"/>
    <mergeCell ref="C41:D41"/>
    <mergeCell ref="C48:G48"/>
    <mergeCell ref="O52:Q52"/>
    <mergeCell ref="S52:V52"/>
    <mergeCell ref="AC52:AF52"/>
    <mergeCell ref="D52:D53"/>
    <mergeCell ref="E52:E53"/>
    <mergeCell ref="F52:F53"/>
    <mergeCell ref="G52:G53"/>
    <mergeCell ref="H52:H53"/>
    <mergeCell ref="I52:I53"/>
    <mergeCell ref="K52:K53"/>
    <mergeCell ref="C64:D64"/>
    <mergeCell ref="C65:G65"/>
    <mergeCell ref="O69:Q69"/>
    <mergeCell ref="S69:V69"/>
    <mergeCell ref="AC69:AF69"/>
    <mergeCell ref="C76:D76"/>
    <mergeCell ref="O80:Q80"/>
    <mergeCell ref="S80:V80"/>
    <mergeCell ref="AC80:AF80"/>
    <mergeCell ref="C69:C70"/>
    <mergeCell ref="C80:C81"/>
    <mergeCell ref="D69:D70"/>
    <mergeCell ref="D80:D81"/>
    <mergeCell ref="E69:E70"/>
    <mergeCell ref="E80:E81"/>
    <mergeCell ref="F69:F70"/>
    <mergeCell ref="F80:F81"/>
    <mergeCell ref="G69:G70"/>
    <mergeCell ref="G80:G81"/>
    <mergeCell ref="H69:H70"/>
    <mergeCell ref="H80:H81"/>
    <mergeCell ref="I69:I70"/>
    <mergeCell ref="I80:I81"/>
    <mergeCell ref="K69:K70"/>
    <mergeCell ref="C88:D88"/>
    <mergeCell ref="C90:F90"/>
    <mergeCell ref="B92:E92"/>
    <mergeCell ref="O94:Q94"/>
    <mergeCell ref="S94:V94"/>
    <mergeCell ref="AC94:AF94"/>
    <mergeCell ref="C99:D99"/>
    <mergeCell ref="O105:Q105"/>
    <mergeCell ref="S105:V105"/>
    <mergeCell ref="AC105:AF105"/>
    <mergeCell ref="C94:C95"/>
    <mergeCell ref="C105:C106"/>
    <mergeCell ref="D94:D95"/>
    <mergeCell ref="D105:D106"/>
    <mergeCell ref="E94:E95"/>
    <mergeCell ref="E105:E106"/>
    <mergeCell ref="F94:F95"/>
    <mergeCell ref="F105:F106"/>
    <mergeCell ref="G94:G95"/>
    <mergeCell ref="G105:G106"/>
    <mergeCell ref="H94:H95"/>
    <mergeCell ref="H105:H106"/>
    <mergeCell ref="I94:I95"/>
    <mergeCell ref="I105:I106"/>
    <mergeCell ref="C114:D114"/>
    <mergeCell ref="C116:F116"/>
    <mergeCell ref="C118:D118"/>
    <mergeCell ref="O119:Q119"/>
    <mergeCell ref="S119:V119"/>
    <mergeCell ref="AC119:AF119"/>
    <mergeCell ref="C123:D123"/>
    <mergeCell ref="C125:F125"/>
    <mergeCell ref="C126:D126"/>
    <mergeCell ref="C119:C120"/>
    <mergeCell ref="D119:D120"/>
    <mergeCell ref="E119:E120"/>
    <mergeCell ref="F119:F120"/>
    <mergeCell ref="G119:G120"/>
    <mergeCell ref="H119:H120"/>
    <mergeCell ref="I119:I120"/>
    <mergeCell ref="S128:V128"/>
    <mergeCell ref="AC128:AF128"/>
    <mergeCell ref="C134:D134"/>
    <mergeCell ref="C140:G140"/>
    <mergeCell ref="C142:D142"/>
    <mergeCell ref="O144:Q144"/>
    <mergeCell ref="S144:V144"/>
    <mergeCell ref="AC144:AF144"/>
    <mergeCell ref="C128:C129"/>
    <mergeCell ref="C144:C145"/>
    <mergeCell ref="D128:D129"/>
    <mergeCell ref="D144:D145"/>
    <mergeCell ref="E128:E129"/>
    <mergeCell ref="E144:E145"/>
    <mergeCell ref="F128:F129"/>
    <mergeCell ref="F144:F145"/>
    <mergeCell ref="G128:G129"/>
    <mergeCell ref="G144:G145"/>
    <mergeCell ref="H128:H129"/>
    <mergeCell ref="H144:H145"/>
    <mergeCell ref="I128:I129"/>
    <mergeCell ref="I144:I145"/>
    <mergeCell ref="W144:W145"/>
    <mergeCell ref="C149:D149"/>
    <mergeCell ref="C151:D151"/>
    <mergeCell ref="O153:Q153"/>
    <mergeCell ref="S153:V153"/>
    <mergeCell ref="AC153:AF153"/>
    <mergeCell ref="C162:D162"/>
    <mergeCell ref="C164:H164"/>
    <mergeCell ref="C166:D166"/>
    <mergeCell ref="O167:Q167"/>
    <mergeCell ref="S167:V167"/>
    <mergeCell ref="AC167:AF167"/>
    <mergeCell ref="C153:C154"/>
    <mergeCell ref="C167:C168"/>
    <mergeCell ref="D153:D154"/>
    <mergeCell ref="D167:D168"/>
    <mergeCell ref="E153:E154"/>
    <mergeCell ref="E167:E168"/>
    <mergeCell ref="F153:F154"/>
    <mergeCell ref="F167:F168"/>
    <mergeCell ref="G153:G154"/>
    <mergeCell ref="G167:G168"/>
    <mergeCell ref="H153:H154"/>
    <mergeCell ref="H167:H168"/>
    <mergeCell ref="I153:I154"/>
    <mergeCell ref="S186:V186"/>
    <mergeCell ref="AC186:AF186"/>
    <mergeCell ref="C190:D190"/>
    <mergeCell ref="C191:D191"/>
    <mergeCell ref="O193:Q193"/>
    <mergeCell ref="S193:V193"/>
    <mergeCell ref="AC193:AF193"/>
    <mergeCell ref="C186:C187"/>
    <mergeCell ref="C193:C194"/>
    <mergeCell ref="D186:D187"/>
    <mergeCell ref="D193:D194"/>
    <mergeCell ref="E186:E187"/>
    <mergeCell ref="E193:E194"/>
    <mergeCell ref="F186:F187"/>
    <mergeCell ref="F193:F194"/>
    <mergeCell ref="G186:G187"/>
    <mergeCell ref="G193:G194"/>
    <mergeCell ref="H186:H187"/>
    <mergeCell ref="H193:H194"/>
    <mergeCell ref="K193:K194"/>
    <mergeCell ref="E224:E225"/>
    <mergeCell ref="F209:F210"/>
    <mergeCell ref="F224:F225"/>
    <mergeCell ref="G209:G210"/>
    <mergeCell ref="G224:G225"/>
    <mergeCell ref="H209:H210"/>
    <mergeCell ref="H224:H225"/>
    <mergeCell ref="K209:K210"/>
    <mergeCell ref="C180:D180"/>
    <mergeCell ref="C182:H182"/>
    <mergeCell ref="C184:D184"/>
    <mergeCell ref="D232:F232"/>
    <mergeCell ref="T234:V234"/>
    <mergeCell ref="T235:V235"/>
    <mergeCell ref="AE235:AF235"/>
    <mergeCell ref="AE236:AF236"/>
    <mergeCell ref="C349:D349"/>
    <mergeCell ref="C387:D387"/>
    <mergeCell ref="D389:F389"/>
    <mergeCell ref="C201:D201"/>
    <mergeCell ref="C205:H205"/>
    <mergeCell ref="C207:D207"/>
    <mergeCell ref="O209:Q209"/>
    <mergeCell ref="S209:V209"/>
    <mergeCell ref="AC209:AF209"/>
    <mergeCell ref="C221:D221"/>
    <mergeCell ref="C222:D222"/>
    <mergeCell ref="O224:Q224"/>
    <mergeCell ref="S224:V224"/>
    <mergeCell ref="AC224:AF224"/>
    <mergeCell ref="C209:C210"/>
    <mergeCell ref="C224:C225"/>
    <mergeCell ref="D209:D210"/>
    <mergeCell ref="D224:D225"/>
    <mergeCell ref="E209:E210"/>
    <mergeCell ref="T391:V391"/>
    <mergeCell ref="T392:V392"/>
    <mergeCell ref="AE393:AF393"/>
    <mergeCell ref="AE394:AF394"/>
    <mergeCell ref="B10:B11"/>
    <mergeCell ref="B29:B30"/>
    <mergeCell ref="B52:B53"/>
    <mergeCell ref="B69:B70"/>
    <mergeCell ref="B80:B81"/>
    <mergeCell ref="B94:B95"/>
    <mergeCell ref="B105:B106"/>
    <mergeCell ref="B119:B120"/>
    <mergeCell ref="B128:B129"/>
    <mergeCell ref="B144:B145"/>
    <mergeCell ref="B153:B154"/>
    <mergeCell ref="B167:B168"/>
    <mergeCell ref="B186:B187"/>
    <mergeCell ref="B193:B194"/>
    <mergeCell ref="B209:B210"/>
    <mergeCell ref="B224:B225"/>
    <mergeCell ref="C10:C11"/>
    <mergeCell ref="C29:C30"/>
    <mergeCell ref="C52:C53"/>
    <mergeCell ref="C228:D228"/>
    <mergeCell ref="I167:I168"/>
    <mergeCell ref="I186:I187"/>
    <mergeCell ref="I193:I194"/>
    <mergeCell ref="I209:I210"/>
    <mergeCell ref="I224:I225"/>
    <mergeCell ref="J10:J11"/>
    <mergeCell ref="J29:J30"/>
    <mergeCell ref="J52:J53"/>
    <mergeCell ref="J69:J70"/>
    <mergeCell ref="J80:J81"/>
    <mergeCell ref="J94:J95"/>
    <mergeCell ref="J105:J106"/>
    <mergeCell ref="J119:J120"/>
    <mergeCell ref="J128:J129"/>
    <mergeCell ref="J144:J145"/>
    <mergeCell ref="J153:J154"/>
    <mergeCell ref="J167:J168"/>
    <mergeCell ref="J186:J187"/>
    <mergeCell ref="J193:J194"/>
    <mergeCell ref="J209:J210"/>
    <mergeCell ref="J224:J225"/>
    <mergeCell ref="R10:R11"/>
    <mergeCell ref="R29:R30"/>
    <mergeCell ref="R52:R53"/>
    <mergeCell ref="R69:R70"/>
    <mergeCell ref="R80:R81"/>
    <mergeCell ref="R94:R95"/>
    <mergeCell ref="R105:R106"/>
    <mergeCell ref="R119:R120"/>
    <mergeCell ref="K167:K168"/>
    <mergeCell ref="O128:Q128"/>
    <mergeCell ref="W69:W70"/>
    <mergeCell ref="W80:W81"/>
    <mergeCell ref="W94:W95"/>
    <mergeCell ref="W105:W106"/>
    <mergeCell ref="W119:W120"/>
    <mergeCell ref="W128:W129"/>
    <mergeCell ref="K224:K225"/>
    <mergeCell ref="R128:R129"/>
    <mergeCell ref="R144:R145"/>
    <mergeCell ref="R153:R154"/>
    <mergeCell ref="R167:R168"/>
    <mergeCell ref="R186:R187"/>
    <mergeCell ref="R193:R194"/>
    <mergeCell ref="R209:R210"/>
    <mergeCell ref="R224:R225"/>
    <mergeCell ref="K80:K81"/>
    <mergeCell ref="K94:K95"/>
    <mergeCell ref="K105:K106"/>
    <mergeCell ref="K119:K120"/>
    <mergeCell ref="K128:K129"/>
    <mergeCell ref="K144:K145"/>
    <mergeCell ref="K153:K154"/>
    <mergeCell ref="K186:K187"/>
    <mergeCell ref="O186:Q186"/>
    <mergeCell ref="W153:W154"/>
    <mergeCell ref="W167:W168"/>
    <mergeCell ref="W186:W187"/>
    <mergeCell ref="W193:W194"/>
    <mergeCell ref="W209:W210"/>
    <mergeCell ref="W224:W225"/>
    <mergeCell ref="X10:X11"/>
    <mergeCell ref="X29:X30"/>
    <mergeCell ref="X52:X53"/>
    <mergeCell ref="X69:X70"/>
    <mergeCell ref="X80:X81"/>
    <mergeCell ref="X94:X95"/>
    <mergeCell ref="X105:X106"/>
    <mergeCell ref="X119:X120"/>
    <mergeCell ref="X128:X129"/>
    <mergeCell ref="X144:X145"/>
    <mergeCell ref="X153:X154"/>
    <mergeCell ref="X167:X168"/>
    <mergeCell ref="X186:X187"/>
    <mergeCell ref="X193:X194"/>
    <mergeCell ref="X209:X210"/>
    <mergeCell ref="X224:X225"/>
    <mergeCell ref="W29:W30"/>
    <mergeCell ref="W52:W53"/>
    <mergeCell ref="AG10:AG11"/>
    <mergeCell ref="AG29:AG30"/>
    <mergeCell ref="AG52:AG53"/>
    <mergeCell ref="AG69:AG70"/>
    <mergeCell ref="AG80:AG81"/>
    <mergeCell ref="AG94:AG95"/>
    <mergeCell ref="AG105:AG106"/>
    <mergeCell ref="AG119:AG120"/>
    <mergeCell ref="AB10:AB11"/>
    <mergeCell ref="AB29:AB30"/>
    <mergeCell ref="AB52:AB53"/>
    <mergeCell ref="AB69:AB70"/>
    <mergeCell ref="AB80:AB81"/>
    <mergeCell ref="AB94:AB95"/>
    <mergeCell ref="AB105:AB106"/>
    <mergeCell ref="AB119:AB120"/>
    <mergeCell ref="AG224:AG225"/>
    <mergeCell ref="AB128:AB129"/>
    <mergeCell ref="AB144:AB145"/>
    <mergeCell ref="AB153:AB154"/>
    <mergeCell ref="AB167:AB168"/>
    <mergeCell ref="AB186:AB187"/>
    <mergeCell ref="AB193:AB194"/>
    <mergeCell ref="AB209:AB210"/>
    <mergeCell ref="AB224:AB225"/>
    <mergeCell ref="AG128:AG129"/>
    <mergeCell ref="AG144:AG145"/>
    <mergeCell ref="AG153:AG154"/>
    <mergeCell ref="AG167:AG168"/>
    <mergeCell ref="AG186:AG187"/>
    <mergeCell ref="AG193:AG194"/>
    <mergeCell ref="AG209:AG210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4"/>
  <sheetViews>
    <sheetView zoomScale="80" zoomScaleNormal="80" workbookViewId="0">
      <selection activeCell="E290" sqref="E290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8.85546875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1" t="s">
        <v>247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5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0.25" x14ac:dyDescent="0.25">
      <c r="B6" s="3"/>
      <c r="C6" s="223" t="s">
        <v>55</v>
      </c>
      <c r="D6" s="223"/>
      <c r="E6" s="223"/>
      <c r="F6" s="223"/>
      <c r="G6" s="2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7"/>
      <c r="W6" s="27"/>
      <c r="X6" s="27"/>
      <c r="Y6" s="27"/>
      <c r="Z6" s="27"/>
      <c r="AA6" s="27"/>
      <c r="AB6" s="27"/>
      <c r="AC6" s="27"/>
      <c r="AD6" s="4"/>
      <c r="AE6" s="4"/>
      <c r="AF6" s="4"/>
      <c r="AG6" s="4"/>
      <c r="AH6" s="4"/>
    </row>
    <row r="7" spans="1:34" ht="12.9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1"/>
      <c r="U7" s="51"/>
      <c r="V7" s="138"/>
      <c r="W7" s="138"/>
      <c r="X7" s="27"/>
      <c r="Y7" s="27"/>
      <c r="Z7" s="27"/>
      <c r="AA7" s="27"/>
      <c r="AB7" s="27"/>
      <c r="AC7" s="27"/>
      <c r="AD7" s="4"/>
      <c r="AE7" s="4"/>
      <c r="AF7" s="4"/>
      <c r="AG7" s="4"/>
      <c r="AH7" s="4"/>
    </row>
    <row r="8" spans="1:34" ht="15" x14ac:dyDescent="0.25">
      <c r="B8" s="4"/>
      <c r="C8" s="4"/>
      <c r="D8" s="5" t="s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1"/>
      <c r="U8" s="51"/>
      <c r="V8" s="138"/>
      <c r="W8" s="138"/>
      <c r="X8" s="27"/>
      <c r="Y8" s="27"/>
      <c r="Z8" s="27"/>
      <c r="AA8" s="27"/>
      <c r="AB8" s="27"/>
      <c r="AC8" s="27"/>
      <c r="AD8" s="4"/>
      <c r="AE8" s="4"/>
      <c r="AF8" s="4"/>
      <c r="AG8" s="4"/>
      <c r="AH8" s="4"/>
    </row>
    <row r="9" spans="1:34" x14ac:dyDescent="0.25">
      <c r="B9" s="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6" customHeight="1" x14ac:dyDescent="0.25">
      <c r="B10" s="215" t="s">
        <v>1</v>
      </c>
      <c r="C10" s="217" t="s">
        <v>56</v>
      </c>
      <c r="D10" s="209" t="s">
        <v>3</v>
      </c>
      <c r="E10" s="209" t="s">
        <v>4</v>
      </c>
      <c r="F10" s="209" t="s">
        <v>5</v>
      </c>
      <c r="G10" s="209" t="s">
        <v>6</v>
      </c>
      <c r="H10" s="209" t="s">
        <v>7</v>
      </c>
      <c r="I10" s="209" t="s">
        <v>8</v>
      </c>
      <c r="J10" s="209" t="s">
        <v>9</v>
      </c>
      <c r="K10" s="209" t="s">
        <v>57</v>
      </c>
      <c r="L10" s="22" t="s">
        <v>10</v>
      </c>
      <c r="M10" s="22" t="s">
        <v>10</v>
      </c>
      <c r="N10" s="22" t="s">
        <v>12</v>
      </c>
      <c r="O10" s="211" t="s">
        <v>13</v>
      </c>
      <c r="P10" s="212"/>
      <c r="Q10" s="213"/>
      <c r="R10" s="209" t="s">
        <v>14</v>
      </c>
      <c r="S10" s="225" t="s">
        <v>58</v>
      </c>
      <c r="T10" s="226"/>
      <c r="U10" s="226"/>
      <c r="V10" s="227"/>
      <c r="W10" s="207" t="s">
        <v>21</v>
      </c>
      <c r="X10" s="209" t="s">
        <v>9</v>
      </c>
      <c r="Y10" s="22" t="s">
        <v>242</v>
      </c>
      <c r="Z10" s="22" t="s">
        <v>243</v>
      </c>
      <c r="AA10" s="22" t="s">
        <v>156</v>
      </c>
      <c r="AB10" s="207" t="s">
        <v>59</v>
      </c>
      <c r="AC10" s="228" t="s">
        <v>18</v>
      </c>
      <c r="AD10" s="229"/>
      <c r="AE10" s="229"/>
      <c r="AF10" s="229"/>
      <c r="AG10" s="205" t="s">
        <v>19</v>
      </c>
      <c r="AH10" s="4"/>
    </row>
    <row r="11" spans="1:34" ht="66.599999999999994" customHeight="1" x14ac:dyDescent="0.25">
      <c r="B11" s="216"/>
      <c r="C11" s="218"/>
      <c r="D11" s="210"/>
      <c r="E11" s="210"/>
      <c r="F11" s="210"/>
      <c r="G11" s="210"/>
      <c r="H11" s="210"/>
      <c r="I11" s="210"/>
      <c r="J11" s="210"/>
      <c r="K11" s="210"/>
      <c r="L11" s="22">
        <v>5.6</v>
      </c>
      <c r="M11" s="22">
        <v>5.6</v>
      </c>
      <c r="N11" s="22">
        <v>0.7</v>
      </c>
      <c r="O11" s="23">
        <v>0.8</v>
      </c>
      <c r="P11" s="24">
        <v>0.9</v>
      </c>
      <c r="Q11" s="28">
        <v>1</v>
      </c>
      <c r="R11" s="210"/>
      <c r="S11" s="29">
        <v>0.1</v>
      </c>
      <c r="T11" s="30">
        <v>0.2</v>
      </c>
      <c r="U11" s="30">
        <v>0.3</v>
      </c>
      <c r="V11" s="30">
        <v>0.1</v>
      </c>
      <c r="W11" s="208"/>
      <c r="X11" s="210"/>
      <c r="Y11" s="22">
        <v>10.4</v>
      </c>
      <c r="Z11" s="22">
        <v>5.6</v>
      </c>
      <c r="AA11" s="22">
        <v>7.3</v>
      </c>
      <c r="AB11" s="208"/>
      <c r="AC11" s="33" t="s">
        <v>20</v>
      </c>
      <c r="AD11" s="33" t="s">
        <v>21</v>
      </c>
      <c r="AE11" s="33" t="s">
        <v>22</v>
      </c>
      <c r="AF11" s="33" t="s">
        <v>23</v>
      </c>
      <c r="AG11" s="206"/>
      <c r="AH11" s="4"/>
    </row>
    <row r="12" spans="1:34" ht="13.35" customHeight="1" x14ac:dyDescent="0.25">
      <c r="B12" s="7"/>
      <c r="C12" s="8"/>
      <c r="D12" s="9">
        <v>0</v>
      </c>
      <c r="E12" s="9">
        <v>1</v>
      </c>
      <c r="F12" s="9">
        <v>2</v>
      </c>
      <c r="G12" s="9" t="s">
        <v>24</v>
      </c>
      <c r="H12" s="9" t="s">
        <v>25</v>
      </c>
      <c r="I12" s="9" t="s">
        <v>26</v>
      </c>
      <c r="J12" s="9" t="s">
        <v>27</v>
      </c>
      <c r="K12" s="25" t="s">
        <v>60</v>
      </c>
      <c r="L12" s="9" t="s">
        <v>61</v>
      </c>
      <c r="M12" s="9" t="s">
        <v>61</v>
      </c>
      <c r="N12" s="9" t="s">
        <v>62</v>
      </c>
      <c r="O12" s="9" t="s">
        <v>63</v>
      </c>
      <c r="P12" s="9" t="s">
        <v>63</v>
      </c>
      <c r="Q12" s="9" t="s">
        <v>63</v>
      </c>
      <c r="R12" s="9">
        <v>9</v>
      </c>
      <c r="S12" s="31" t="s">
        <v>161</v>
      </c>
      <c r="T12" s="31" t="s">
        <v>162</v>
      </c>
      <c r="U12" s="31" t="s">
        <v>163</v>
      </c>
      <c r="V12" s="31" t="s">
        <v>164</v>
      </c>
      <c r="W12" s="31" t="s">
        <v>64</v>
      </c>
      <c r="X12" s="9" t="s">
        <v>65</v>
      </c>
      <c r="Y12" s="9" t="s">
        <v>66</v>
      </c>
      <c r="Z12" s="9" t="s">
        <v>67</v>
      </c>
      <c r="AA12" s="9" t="s">
        <v>246</v>
      </c>
      <c r="AB12" s="9" t="s">
        <v>240</v>
      </c>
      <c r="AC12" s="9">
        <v>16</v>
      </c>
      <c r="AD12" s="31" t="s">
        <v>158</v>
      </c>
      <c r="AE12" s="31" t="s">
        <v>159</v>
      </c>
      <c r="AF12" s="31" t="s">
        <v>160</v>
      </c>
      <c r="AG12" s="9">
        <v>17</v>
      </c>
      <c r="AH12" s="4"/>
    </row>
    <row r="13" spans="1:34" ht="13.35" customHeight="1" x14ac:dyDescent="0.25">
      <c r="A13" s="1" t="s">
        <v>165</v>
      </c>
      <c r="B13" s="10">
        <v>1</v>
      </c>
      <c r="C13" s="36" t="s">
        <v>69</v>
      </c>
      <c r="D13" s="36">
        <v>2</v>
      </c>
      <c r="E13" s="12">
        <v>83.13</v>
      </c>
      <c r="F13" s="128">
        <f t="shared" ref="F13:F19" si="0">E13*2652.48+0.4025</f>
        <v>220501.0649</v>
      </c>
      <c r="G13" s="128">
        <f t="shared" ref="G13:G19" si="1">F13/60</f>
        <v>3675.0177483333332</v>
      </c>
      <c r="H13" s="128">
        <f>F13*1.5%</f>
        <v>3307.5159734999997</v>
      </c>
      <c r="I13" s="128">
        <v>0</v>
      </c>
      <c r="J13" s="128">
        <f>G13+H13+I13+0.01</f>
        <v>6982.5437218333336</v>
      </c>
      <c r="K13" s="128">
        <f>+J13/12</f>
        <v>581.87864348611117</v>
      </c>
      <c r="L13" s="128"/>
      <c r="M13" s="128">
        <f t="shared" ref="M13:M19" si="2">+J13*(100%+5.6%)</f>
        <v>7373.566170256001</v>
      </c>
      <c r="N13" s="128">
        <f>+K13*N11</f>
        <v>407.31505044027779</v>
      </c>
      <c r="O13" s="128">
        <f>+N13*O11</f>
        <v>325.85204035222228</v>
      </c>
      <c r="P13" s="128">
        <f>+N13*P11</f>
        <v>366.58354539625003</v>
      </c>
      <c r="Q13" s="128">
        <f>+N13*Q11</f>
        <v>407.31505044027779</v>
      </c>
      <c r="R13" s="128">
        <v>534.19000000000005</v>
      </c>
      <c r="S13" s="128">
        <f>R13*S11</f>
        <v>53.419000000000011</v>
      </c>
      <c r="T13" s="128">
        <v>0</v>
      </c>
      <c r="U13" s="128">
        <v>0</v>
      </c>
      <c r="V13" s="129">
        <v>0</v>
      </c>
      <c r="W13" s="128">
        <f>O13</f>
        <v>325.85204035222228</v>
      </c>
      <c r="X13" s="128">
        <f>W13*12-0.02</f>
        <v>3910.2044842266673</v>
      </c>
      <c r="Y13" s="128">
        <v>0</v>
      </c>
      <c r="Z13" s="128">
        <f>X13*(100+5.6)%-0.01</f>
        <v>4129.1659353433606</v>
      </c>
      <c r="AA13" s="128">
        <f>Z13*(100+7.3)%</f>
        <v>4430.595048623426</v>
      </c>
      <c r="AB13" s="128">
        <f t="shared" ref="AB13:AB19" si="3">AA13/12</f>
        <v>369.21625405195215</v>
      </c>
      <c r="AC13" s="128">
        <f>K13</f>
        <v>581.87864348611117</v>
      </c>
      <c r="AD13" s="128">
        <v>73</v>
      </c>
      <c r="AE13" s="128">
        <f>G13/12</f>
        <v>306.25147902777775</v>
      </c>
      <c r="AF13" s="130">
        <f>AE13/AC13*100</f>
        <v>52.631503571429441</v>
      </c>
      <c r="AG13" s="131">
        <f>AD13*AF13%</f>
        <v>38.420997607143491</v>
      </c>
      <c r="AH13" s="4"/>
    </row>
    <row r="14" spans="1:34" ht="13.35" customHeight="1" x14ac:dyDescent="0.25">
      <c r="A14" s="1" t="s">
        <v>166</v>
      </c>
      <c r="B14" s="10">
        <v>2</v>
      </c>
      <c r="C14" s="36" t="s">
        <v>70</v>
      </c>
      <c r="D14" s="36">
        <v>2</v>
      </c>
      <c r="E14" s="12">
        <v>84.24</v>
      </c>
      <c r="F14" s="128">
        <f t="shared" si="0"/>
        <v>223445.31769999999</v>
      </c>
      <c r="G14" s="128">
        <f t="shared" si="1"/>
        <v>3724.088628333333</v>
      </c>
      <c r="H14" s="128">
        <f t="shared" ref="H14:H19" si="4">F14*1.5%</f>
        <v>3351.6797654999996</v>
      </c>
      <c r="I14" s="128">
        <v>0</v>
      </c>
      <c r="J14" s="128">
        <f t="shared" ref="J14:J19" si="5">G14+H14+I14</f>
        <v>7075.7683938333321</v>
      </c>
      <c r="K14" s="128">
        <f>J14/12</f>
        <v>589.64736615277764</v>
      </c>
      <c r="L14" s="128"/>
      <c r="M14" s="128">
        <f t="shared" si="2"/>
        <v>7472.0114238879987</v>
      </c>
      <c r="N14" s="128">
        <f>+K14*N11</f>
        <v>412.75315630694433</v>
      </c>
      <c r="O14" s="128">
        <f>+N14*O11</f>
        <v>330.20252504555549</v>
      </c>
      <c r="P14" s="128">
        <f>+N14*P11</f>
        <v>371.47784067624991</v>
      </c>
      <c r="Q14" s="128">
        <f>+N14*Q11</f>
        <v>412.75315630694433</v>
      </c>
      <c r="R14" s="128">
        <v>3676.86</v>
      </c>
      <c r="S14" s="128">
        <v>0</v>
      </c>
      <c r="T14" s="128">
        <f>R14*T11</f>
        <v>735.37200000000007</v>
      </c>
      <c r="U14" s="128">
        <v>0</v>
      </c>
      <c r="V14" s="129">
        <v>0</v>
      </c>
      <c r="W14" s="128">
        <f>P14</f>
        <v>371.47784067624991</v>
      </c>
      <c r="X14" s="128">
        <f>W14*12+0.03</f>
        <v>4457.7640881149991</v>
      </c>
      <c r="Y14" s="128">
        <v>0</v>
      </c>
      <c r="Z14" s="128">
        <f>X14*(100+5.6)%-0.01</f>
        <v>4707.3888770494395</v>
      </c>
      <c r="AA14" s="128">
        <f>Z14*(100+7.3)%</f>
        <v>5051.0282650740482</v>
      </c>
      <c r="AB14" s="128">
        <f t="shared" si="3"/>
        <v>420.91902208950404</v>
      </c>
      <c r="AC14" s="128">
        <f t="shared" ref="AC14:AC19" si="6">K14</f>
        <v>589.64736615277764</v>
      </c>
      <c r="AD14" s="128">
        <f>AB14</f>
        <v>420.91902208950404</v>
      </c>
      <c r="AE14" s="128">
        <f t="shared" ref="AE14:AE19" si="7">G14/12</f>
        <v>310.34071902777777</v>
      </c>
      <c r="AF14" s="130">
        <f t="shared" ref="AF14:AF19" si="8">AE14/AC14*100</f>
        <v>52.631578947368432</v>
      </c>
      <c r="AG14" s="131">
        <f>AD14*AF14%-0.01</f>
        <v>221.5263274155285</v>
      </c>
      <c r="AH14" s="4"/>
    </row>
    <row r="15" spans="1:34" ht="13.35" customHeight="1" x14ac:dyDescent="0.25">
      <c r="A15" s="1" t="s">
        <v>167</v>
      </c>
      <c r="B15" s="10">
        <v>3</v>
      </c>
      <c r="C15" s="36" t="s">
        <v>72</v>
      </c>
      <c r="D15" s="36">
        <v>2</v>
      </c>
      <c r="E15" s="12">
        <v>83.6</v>
      </c>
      <c r="F15" s="128">
        <f t="shared" si="0"/>
        <v>221747.73049999998</v>
      </c>
      <c r="G15" s="128">
        <f t="shared" si="1"/>
        <v>3695.7955083333331</v>
      </c>
      <c r="H15" s="128">
        <f t="shared" si="4"/>
        <v>3326.2159574999996</v>
      </c>
      <c r="I15" s="128">
        <v>0</v>
      </c>
      <c r="J15" s="128">
        <f t="shared" si="5"/>
        <v>7022.0114658333332</v>
      </c>
      <c r="K15" s="128">
        <f t="shared" ref="K15:K19" si="9">+J15/12</f>
        <v>585.16762215277777</v>
      </c>
      <c r="L15" s="128"/>
      <c r="M15" s="128">
        <f t="shared" si="2"/>
        <v>7415.2441079199998</v>
      </c>
      <c r="N15" s="128">
        <f>+K15*N11</f>
        <v>409.61733550694441</v>
      </c>
      <c r="O15" s="128">
        <f>+N15*O11</f>
        <v>327.69386840555558</v>
      </c>
      <c r="P15" s="128">
        <f>+N15*P11</f>
        <v>368.65560195625</v>
      </c>
      <c r="Q15" s="128">
        <f>+N15*Q11</f>
        <v>409.61733550694441</v>
      </c>
      <c r="R15" s="128">
        <v>1582.81</v>
      </c>
      <c r="S15" s="128">
        <f>R15*S11</f>
        <v>158.28100000000001</v>
      </c>
      <c r="T15" s="128">
        <v>0</v>
      </c>
      <c r="U15" s="128">
        <v>0</v>
      </c>
      <c r="V15" s="129">
        <v>0</v>
      </c>
      <c r="W15" s="128">
        <f>O15</f>
        <v>327.69386840555558</v>
      </c>
      <c r="X15" s="128">
        <f>W15*12-0.05</f>
        <v>3932.2764208666667</v>
      </c>
      <c r="Y15" s="128">
        <v>0</v>
      </c>
      <c r="Z15" s="128">
        <f>X15*(100+5.6)%+0.01</f>
        <v>4152.4939004352009</v>
      </c>
      <c r="AA15" s="128">
        <f>Z15*(100+7.3)%-0.01</f>
        <v>4455.6159551669698</v>
      </c>
      <c r="AB15" s="128">
        <f t="shared" si="3"/>
        <v>371.3013295972475</v>
      </c>
      <c r="AC15" s="128">
        <f t="shared" si="6"/>
        <v>585.16762215277777</v>
      </c>
      <c r="AD15" s="128">
        <f>S15</f>
        <v>158.28100000000001</v>
      </c>
      <c r="AE15" s="128">
        <f t="shared" si="7"/>
        <v>307.98295902777778</v>
      </c>
      <c r="AF15" s="130">
        <f t="shared" si="8"/>
        <v>52.631578947368418</v>
      </c>
      <c r="AG15" s="131">
        <f>AD15*AF15%-0.01</f>
        <v>83.295789473684209</v>
      </c>
      <c r="AH15" s="4"/>
    </row>
    <row r="16" spans="1:34" ht="13.35" customHeight="1" x14ac:dyDescent="0.25">
      <c r="A16" s="1" t="s">
        <v>168</v>
      </c>
      <c r="B16" s="10">
        <v>4</v>
      </c>
      <c r="C16" s="36" t="s">
        <v>73</v>
      </c>
      <c r="D16" s="36">
        <v>2</v>
      </c>
      <c r="E16" s="12">
        <v>83.42</v>
      </c>
      <c r="F16" s="128">
        <f t="shared" si="0"/>
        <v>221270.28409999999</v>
      </c>
      <c r="G16" s="128">
        <f t="shared" si="1"/>
        <v>3687.838068333333</v>
      </c>
      <c r="H16" s="128">
        <f t="shared" si="4"/>
        <v>3319.0542614999999</v>
      </c>
      <c r="I16" s="128">
        <v>0</v>
      </c>
      <c r="J16" s="128">
        <f t="shared" si="5"/>
        <v>7006.892329833333</v>
      </c>
      <c r="K16" s="128">
        <f t="shared" si="9"/>
        <v>583.90769415277771</v>
      </c>
      <c r="L16" s="128"/>
      <c r="M16" s="128">
        <f t="shared" si="2"/>
        <v>7399.2783003040004</v>
      </c>
      <c r="N16" s="128">
        <f>+K16*N11</f>
        <v>408.73538590694437</v>
      </c>
      <c r="O16" s="128">
        <f>+N16*O11</f>
        <v>326.9883087255555</v>
      </c>
      <c r="P16" s="128">
        <f>+N16*P11</f>
        <v>367.86184731624996</v>
      </c>
      <c r="Q16" s="128">
        <f>+N16*Q11</f>
        <v>408.73538590694437</v>
      </c>
      <c r="R16" s="139" t="s">
        <v>251</v>
      </c>
      <c r="S16" s="139">
        <v>0</v>
      </c>
      <c r="T16" s="139">
        <v>0</v>
      </c>
      <c r="U16" s="139">
        <v>0</v>
      </c>
      <c r="V16" s="140">
        <v>0</v>
      </c>
      <c r="W16" s="139">
        <f>N16</f>
        <v>408.73538590694437</v>
      </c>
      <c r="X16" s="139">
        <f>W16*12+0.06</f>
        <v>4904.8846308833326</v>
      </c>
      <c r="Y16" s="139">
        <v>0</v>
      </c>
      <c r="Z16" s="139">
        <f>X16*(100+5.6)%-0.01</f>
        <v>5179.5481702127991</v>
      </c>
      <c r="AA16" s="139">
        <f>Z16*(100+7.3)%</f>
        <v>5557.6551866383334</v>
      </c>
      <c r="AB16" s="139">
        <f t="shared" si="3"/>
        <v>463.13793221986111</v>
      </c>
      <c r="AC16" s="139">
        <f t="shared" si="6"/>
        <v>583.90769415277771</v>
      </c>
      <c r="AD16" s="139">
        <f>AB16</f>
        <v>463.13793221986111</v>
      </c>
      <c r="AE16" s="139">
        <f t="shared" si="7"/>
        <v>307.31983902777773</v>
      </c>
      <c r="AF16" s="141">
        <f t="shared" si="8"/>
        <v>52.631578947368418</v>
      </c>
      <c r="AG16" s="142">
        <f>AD16*AF16%-0.01</f>
        <v>243.74680643150583</v>
      </c>
      <c r="AH16" s="4"/>
    </row>
    <row r="17" spans="1:34" ht="13.35" customHeight="1" x14ac:dyDescent="0.25">
      <c r="A17" s="1" t="s">
        <v>169</v>
      </c>
      <c r="B17" s="10">
        <v>5</v>
      </c>
      <c r="C17" s="36" t="s">
        <v>74</v>
      </c>
      <c r="D17" s="36">
        <v>2</v>
      </c>
      <c r="E17" s="12">
        <v>84.38</v>
      </c>
      <c r="F17" s="128">
        <f t="shared" si="0"/>
        <v>223816.66489999997</v>
      </c>
      <c r="G17" s="128">
        <f t="shared" si="1"/>
        <v>3730.277748333333</v>
      </c>
      <c r="H17" s="128">
        <f t="shared" si="4"/>
        <v>3357.2499734999997</v>
      </c>
      <c r="I17" s="128">
        <v>0</v>
      </c>
      <c r="J17" s="128">
        <f t="shared" si="5"/>
        <v>7087.5277218333322</v>
      </c>
      <c r="K17" s="128">
        <f t="shared" si="9"/>
        <v>590.62731015277768</v>
      </c>
      <c r="L17" s="128"/>
      <c r="M17" s="128">
        <f t="shared" si="2"/>
        <v>7484.4292742559992</v>
      </c>
      <c r="N17" s="128">
        <f>K17*N11</f>
        <v>413.43911710694437</v>
      </c>
      <c r="O17" s="128">
        <f>+N17*O11</f>
        <v>330.75129368555554</v>
      </c>
      <c r="P17" s="128">
        <f>+N17*P11</f>
        <v>372.09520539624992</v>
      </c>
      <c r="Q17" s="128">
        <f>+N17*Q11</f>
        <v>413.43911710694437</v>
      </c>
      <c r="R17" s="128">
        <v>934.67</v>
      </c>
      <c r="S17" s="128">
        <f>R17*S11</f>
        <v>93.466999999999999</v>
      </c>
      <c r="T17" s="128">
        <v>0</v>
      </c>
      <c r="U17" s="128">
        <v>0</v>
      </c>
      <c r="V17" s="129">
        <v>0</v>
      </c>
      <c r="W17" s="128">
        <f>O17</f>
        <v>330.75129368555554</v>
      </c>
      <c r="X17" s="128">
        <f>W17*12-0.02</f>
        <v>3968.9955242266665</v>
      </c>
      <c r="Y17" s="128">
        <v>0</v>
      </c>
      <c r="Z17" s="128">
        <f>X17*(100+5.6)%</f>
        <v>4191.2592735833596</v>
      </c>
      <c r="AA17" s="128">
        <f>Z17*(100+7.3)%</f>
        <v>4497.2212005549445</v>
      </c>
      <c r="AB17" s="128">
        <f t="shared" si="3"/>
        <v>374.76843337957871</v>
      </c>
      <c r="AC17" s="128">
        <f t="shared" si="6"/>
        <v>590.62731015277768</v>
      </c>
      <c r="AD17" s="128">
        <f>S17</f>
        <v>93.466999999999999</v>
      </c>
      <c r="AE17" s="128">
        <f t="shared" si="7"/>
        <v>310.85647902777777</v>
      </c>
      <c r="AF17" s="130">
        <f t="shared" si="8"/>
        <v>52.631578947368432</v>
      </c>
      <c r="AG17" s="131">
        <f t="shared" ref="AG17:AG19" si="10">AD17*AF17%</f>
        <v>49.193157894736849</v>
      </c>
      <c r="AH17" s="4"/>
    </row>
    <row r="18" spans="1:34" ht="13.35" customHeight="1" x14ac:dyDescent="0.25">
      <c r="A18" s="1" t="s">
        <v>170</v>
      </c>
      <c r="B18" s="10">
        <v>6</v>
      </c>
      <c r="C18" s="36" t="s">
        <v>75</v>
      </c>
      <c r="D18" s="36">
        <v>2</v>
      </c>
      <c r="E18" s="12">
        <v>84.7</v>
      </c>
      <c r="F18" s="128">
        <f t="shared" si="0"/>
        <v>224665.45850000001</v>
      </c>
      <c r="G18" s="128">
        <f t="shared" si="1"/>
        <v>3744.4243083333336</v>
      </c>
      <c r="H18" s="128">
        <f t="shared" si="4"/>
        <v>3369.9818774999999</v>
      </c>
      <c r="I18" s="128">
        <v>0</v>
      </c>
      <c r="J18" s="128">
        <f t="shared" si="5"/>
        <v>7114.4061858333334</v>
      </c>
      <c r="K18" s="128">
        <f t="shared" si="9"/>
        <v>592.86718215277779</v>
      </c>
      <c r="L18" s="128"/>
      <c r="M18" s="128">
        <f t="shared" si="2"/>
        <v>7512.8129322400009</v>
      </c>
      <c r="N18" s="128">
        <f>+K18*N11</f>
        <v>415.00702750694444</v>
      </c>
      <c r="O18" s="128">
        <f>+N18*O11</f>
        <v>332.00562200555555</v>
      </c>
      <c r="P18" s="128">
        <f>+N18*P11</f>
        <v>373.50632475625002</v>
      </c>
      <c r="Q18" s="128">
        <f>+N18*Q11</f>
        <v>415.00702750694444</v>
      </c>
      <c r="R18" s="128">
        <v>3490.81</v>
      </c>
      <c r="S18" s="128">
        <v>0</v>
      </c>
      <c r="T18" s="128">
        <f>R18*T11</f>
        <v>698.16200000000003</v>
      </c>
      <c r="U18" s="128">
        <v>0</v>
      </c>
      <c r="V18" s="129">
        <v>0</v>
      </c>
      <c r="W18" s="128">
        <f>P18</f>
        <v>373.50632475625002</v>
      </c>
      <c r="X18" s="128">
        <f>W18*12+0.04</f>
        <v>4482.1158970750002</v>
      </c>
      <c r="Y18" s="128">
        <v>0</v>
      </c>
      <c r="Z18" s="128">
        <f>X18*(100+5.6)%+0.01</f>
        <v>4733.1243873112007</v>
      </c>
      <c r="AA18" s="128">
        <f>Z18*(100+7.3)%</f>
        <v>5078.6424675849184</v>
      </c>
      <c r="AB18" s="128">
        <f t="shared" si="3"/>
        <v>423.22020563207656</v>
      </c>
      <c r="AC18" s="128">
        <f t="shared" si="6"/>
        <v>592.86718215277779</v>
      </c>
      <c r="AD18" s="128">
        <f>AB18</f>
        <v>423.22020563207656</v>
      </c>
      <c r="AE18" s="128">
        <f t="shared" si="7"/>
        <v>312.03535902777782</v>
      </c>
      <c r="AF18" s="130">
        <f t="shared" si="8"/>
        <v>52.631578947368432</v>
      </c>
      <c r="AG18" s="131">
        <f>AD18*AF18%-0.01</f>
        <v>222.73747664846138</v>
      </c>
      <c r="AH18" s="4"/>
    </row>
    <row r="19" spans="1:34" ht="13.35" customHeight="1" x14ac:dyDescent="0.25">
      <c r="A19" s="1" t="s">
        <v>171</v>
      </c>
      <c r="B19" s="10">
        <v>7</v>
      </c>
      <c r="C19" s="36" t="s">
        <v>76</v>
      </c>
      <c r="D19" s="36">
        <v>2</v>
      </c>
      <c r="E19" s="12">
        <v>84.53</v>
      </c>
      <c r="F19" s="128">
        <f t="shared" si="0"/>
        <v>224214.53690000001</v>
      </c>
      <c r="G19" s="128">
        <f t="shared" si="1"/>
        <v>3736.9089483333332</v>
      </c>
      <c r="H19" s="128">
        <f t="shared" si="4"/>
        <v>3363.2180534999998</v>
      </c>
      <c r="I19" s="128">
        <v>0</v>
      </c>
      <c r="J19" s="128">
        <f t="shared" si="5"/>
        <v>7100.1270018333325</v>
      </c>
      <c r="K19" s="128">
        <f t="shared" si="9"/>
        <v>591.67725015277767</v>
      </c>
      <c r="L19" s="128"/>
      <c r="M19" s="128">
        <f t="shared" si="2"/>
        <v>7497.7341139359996</v>
      </c>
      <c r="N19" s="128">
        <f>+K19*N11</f>
        <v>414.17407510694437</v>
      </c>
      <c r="O19" s="128">
        <f>+N19*O11</f>
        <v>331.33926008555551</v>
      </c>
      <c r="P19" s="128">
        <v>369.06</v>
      </c>
      <c r="Q19" s="128">
        <f>+N19*Q11</f>
        <v>414.17407510694437</v>
      </c>
      <c r="R19" s="128">
        <v>1586.25</v>
      </c>
      <c r="S19" s="128">
        <f>R19*S11</f>
        <v>158.625</v>
      </c>
      <c r="T19" s="128">
        <v>0</v>
      </c>
      <c r="U19" s="128">
        <v>0</v>
      </c>
      <c r="V19" s="129">
        <v>0</v>
      </c>
      <c r="W19" s="128">
        <f>O19</f>
        <v>331.33926008555551</v>
      </c>
      <c r="X19" s="128">
        <f>W19*12+0.01</f>
        <v>3976.0811210266666</v>
      </c>
      <c r="Y19" s="128">
        <v>0</v>
      </c>
      <c r="Z19" s="128">
        <f>X19*(100+5.6)%</f>
        <v>4198.7416638041605</v>
      </c>
      <c r="AA19" s="128">
        <f>Z19*(100+7.3)%</f>
        <v>4505.2498052618639</v>
      </c>
      <c r="AB19" s="128">
        <f t="shared" si="3"/>
        <v>375.43748377182197</v>
      </c>
      <c r="AC19" s="128">
        <f t="shared" si="6"/>
        <v>591.67725015277767</v>
      </c>
      <c r="AD19" s="128">
        <f>S19</f>
        <v>158.625</v>
      </c>
      <c r="AE19" s="128">
        <f t="shared" si="7"/>
        <v>311.40907902777775</v>
      </c>
      <c r="AF19" s="130">
        <f t="shared" si="8"/>
        <v>52.631578947368432</v>
      </c>
      <c r="AG19" s="131">
        <f t="shared" si="10"/>
        <v>83.486842105263165</v>
      </c>
      <c r="AH19" s="4"/>
    </row>
    <row r="20" spans="1:34" ht="13.35" customHeight="1" x14ac:dyDescent="0.25">
      <c r="A20" s="1" t="s">
        <v>190</v>
      </c>
      <c r="B20" s="10">
        <v>8</v>
      </c>
      <c r="C20" s="35" t="s">
        <v>96</v>
      </c>
      <c r="D20" s="36">
        <v>1</v>
      </c>
      <c r="E20" s="128">
        <v>53.81</v>
      </c>
      <c r="F20" s="128">
        <f>+E20*1620.66</f>
        <v>87207.714600000007</v>
      </c>
      <c r="G20" s="128">
        <f t="shared" ref="G20:G29" si="11">+F20/60</f>
        <v>1453.4619100000002</v>
      </c>
      <c r="H20" s="128">
        <f t="shared" ref="H20:H29" si="12">+F20*1.5%</f>
        <v>1308.1157190000001</v>
      </c>
      <c r="I20" s="128">
        <v>0</v>
      </c>
      <c r="J20" s="128">
        <f>+G20+H20+I20</f>
        <v>2761.5776290000003</v>
      </c>
      <c r="K20" s="128">
        <f>+J20/12</f>
        <v>230.13146908333337</v>
      </c>
      <c r="L20" s="128"/>
      <c r="M20" s="128">
        <f>+J20*(100%+5.6%)</f>
        <v>2916.2259762240005</v>
      </c>
      <c r="N20" s="128">
        <f>+K20*N124</f>
        <v>161.09202835833335</v>
      </c>
      <c r="O20" s="128">
        <f>+N20*O124</f>
        <v>128.87362268666669</v>
      </c>
      <c r="P20" s="128">
        <f>+N20*P124</f>
        <v>144.98282552250001</v>
      </c>
      <c r="Q20" s="128">
        <f>+N20*Q124</f>
        <v>161.09202835833335</v>
      </c>
      <c r="R20" s="128">
        <v>530.14</v>
      </c>
      <c r="S20" s="128">
        <f>R20*S124</f>
        <v>53.014000000000003</v>
      </c>
      <c r="T20" s="128">
        <v>0</v>
      </c>
      <c r="U20" s="128">
        <v>0</v>
      </c>
      <c r="V20" s="128">
        <v>0</v>
      </c>
      <c r="W20" s="128">
        <f>O20</f>
        <v>128.87362268666669</v>
      </c>
      <c r="X20" s="128">
        <f>W20*12-0.04</f>
        <v>1546.4434722400003</v>
      </c>
      <c r="Y20" s="128">
        <v>0</v>
      </c>
      <c r="Z20" s="128">
        <f>X20*(100+5.6)%</f>
        <v>1633.0443066854405</v>
      </c>
      <c r="AA20" s="128">
        <f>Z20*(100+7.3)%-0.01</f>
        <v>1752.2465410734776</v>
      </c>
      <c r="AB20" s="128">
        <f t="shared" ref="AB20:AB29" si="13">AA20/12</f>
        <v>146.02054508945648</v>
      </c>
      <c r="AC20" s="128">
        <f>K20</f>
        <v>230.13146908333337</v>
      </c>
      <c r="AD20" s="128">
        <f>S20</f>
        <v>53.014000000000003</v>
      </c>
      <c r="AE20" s="128">
        <f>G20/12</f>
        <v>121.12182583333335</v>
      </c>
      <c r="AF20" s="128">
        <f>AE20/AC20*100</f>
        <v>52.631578947368418</v>
      </c>
      <c r="AG20" s="131">
        <f t="shared" ref="AG20:AG30" si="14">AD20*AF20%</f>
        <v>27.902105263157896</v>
      </c>
      <c r="AH20" s="4"/>
    </row>
    <row r="21" spans="1:34" ht="13.35" customHeight="1" x14ac:dyDescent="0.25">
      <c r="A21" s="1" t="s">
        <v>191</v>
      </c>
      <c r="B21" s="10">
        <v>9</v>
      </c>
      <c r="C21" s="35" t="s">
        <v>93</v>
      </c>
      <c r="D21" s="36">
        <v>1</v>
      </c>
      <c r="E21" s="128">
        <v>60.83</v>
      </c>
      <c r="F21" s="128">
        <f>+E21*1620.66</f>
        <v>98584.747799999997</v>
      </c>
      <c r="G21" s="128">
        <f t="shared" si="11"/>
        <v>1643.0791299999999</v>
      </c>
      <c r="H21" s="128">
        <f t="shared" si="12"/>
        <v>1478.771217</v>
      </c>
      <c r="I21" s="128">
        <v>0</v>
      </c>
      <c r="J21" s="128">
        <f>+G21+H21+I21</f>
        <v>3121.8503469999996</v>
      </c>
      <c r="K21" s="128">
        <f>+J21/12</f>
        <v>260.15419558333332</v>
      </c>
      <c r="L21" s="128"/>
      <c r="M21" s="128">
        <f>+J21*(100%+5.6%)</f>
        <v>3296.6739664319998</v>
      </c>
      <c r="N21" s="128">
        <f>+K21*N124</f>
        <v>182.1079369083333</v>
      </c>
      <c r="O21" s="128">
        <f>+N21*O124</f>
        <v>145.68634952666665</v>
      </c>
      <c r="P21" s="128">
        <f>+N21*P124</f>
        <v>163.89714321749997</v>
      </c>
      <c r="Q21" s="128">
        <f>+N21*Q124</f>
        <v>182.1079369083333</v>
      </c>
      <c r="R21" s="128">
        <v>3114.53</v>
      </c>
      <c r="S21" s="128">
        <v>0</v>
      </c>
      <c r="T21" s="128">
        <f>R21*T124</f>
        <v>622.90600000000006</v>
      </c>
      <c r="U21" s="128">
        <v>0</v>
      </c>
      <c r="V21" s="128">
        <v>0</v>
      </c>
      <c r="W21" s="128">
        <f>P21</f>
        <v>163.89714321749997</v>
      </c>
      <c r="X21" s="128">
        <f>W21*12+0.03</f>
        <v>1966.7957186099995</v>
      </c>
      <c r="Y21" s="128">
        <f>X21*(100+10.4)%+0.01</f>
        <v>2171.3524733454401</v>
      </c>
      <c r="Z21" s="128">
        <f>Y21*(100+5.6)%</f>
        <v>2292.9482118527849</v>
      </c>
      <c r="AA21" s="128">
        <f>Z21*(100+7.3)%+0.01</f>
        <v>2460.3434313180383</v>
      </c>
      <c r="AB21" s="128">
        <f t="shared" si="13"/>
        <v>205.02861927650318</v>
      </c>
      <c r="AC21" s="128">
        <f t="shared" ref="AC21:AC23" si="15">K21</f>
        <v>260.15419558333332</v>
      </c>
      <c r="AD21" s="128">
        <f>AB21</f>
        <v>205.02861927650318</v>
      </c>
      <c r="AE21" s="128">
        <f t="shared" ref="AE21:AE23" si="16">G21/12</f>
        <v>136.92326083333333</v>
      </c>
      <c r="AF21" s="128">
        <f t="shared" ref="AF21:AF23" si="17">AE21/AC21*100</f>
        <v>52.631578947368418</v>
      </c>
      <c r="AG21" s="131">
        <f t="shared" si="14"/>
        <v>107.90979961921219</v>
      </c>
      <c r="AH21" s="4"/>
    </row>
    <row r="22" spans="1:34" ht="13.35" customHeight="1" x14ac:dyDescent="0.25">
      <c r="A22" s="1" t="s">
        <v>192</v>
      </c>
      <c r="B22" s="10">
        <v>10</v>
      </c>
      <c r="C22" s="35" t="s">
        <v>87</v>
      </c>
      <c r="D22" s="36">
        <v>1</v>
      </c>
      <c r="E22" s="128">
        <v>62.54</v>
      </c>
      <c r="F22" s="128">
        <f>+E22*1620.66</f>
        <v>101356.07640000001</v>
      </c>
      <c r="G22" s="128">
        <f t="shared" si="11"/>
        <v>1689.2679400000002</v>
      </c>
      <c r="H22" s="128">
        <f t="shared" si="12"/>
        <v>1520.341146</v>
      </c>
      <c r="I22" s="128">
        <v>0</v>
      </c>
      <c r="J22" s="128">
        <f>+G22+H22+I22</f>
        <v>3209.6090860000004</v>
      </c>
      <c r="K22" s="128">
        <f>+J22/12</f>
        <v>267.46742383333338</v>
      </c>
      <c r="L22" s="128"/>
      <c r="M22" s="128">
        <f>+J22*(100%+5.6%)</f>
        <v>3389.3471948160004</v>
      </c>
      <c r="N22" s="128">
        <f>+K22*N124</f>
        <v>187.22719668333335</v>
      </c>
      <c r="O22" s="128">
        <f>+N22*O124</f>
        <v>149.78175734666669</v>
      </c>
      <c r="P22" s="128">
        <f>+N22*P124</f>
        <v>168.50447701500002</v>
      </c>
      <c r="Q22" s="128">
        <f>+N22*Q124</f>
        <v>187.22719668333335</v>
      </c>
      <c r="R22" s="128">
        <v>926.04</v>
      </c>
      <c r="S22" s="128">
        <f>R22*S124</f>
        <v>92.603999999999999</v>
      </c>
      <c r="T22" s="128">
        <v>0</v>
      </c>
      <c r="U22" s="128">
        <v>0</v>
      </c>
      <c r="V22" s="128">
        <v>0</v>
      </c>
      <c r="W22" s="128">
        <f>O22</f>
        <v>149.78175734666669</v>
      </c>
      <c r="X22" s="128">
        <f>W22*12-0.02</f>
        <v>1797.3610881600002</v>
      </c>
      <c r="Y22" s="128">
        <f>X22*(100+10.4)%</f>
        <v>1984.2866413286404</v>
      </c>
      <c r="Z22" s="128">
        <f>Y22*(100+5.6)%</f>
        <v>2095.4066932430442</v>
      </c>
      <c r="AA22" s="128">
        <f>Z22*(100+7.3)%</f>
        <v>2248.3713818497863</v>
      </c>
      <c r="AB22" s="128">
        <f t="shared" si="13"/>
        <v>187.36428182081553</v>
      </c>
      <c r="AC22" s="128">
        <f t="shared" si="15"/>
        <v>267.46742383333338</v>
      </c>
      <c r="AD22" s="128">
        <f>S22</f>
        <v>92.603999999999999</v>
      </c>
      <c r="AE22" s="128">
        <f t="shared" si="16"/>
        <v>140.77232833333335</v>
      </c>
      <c r="AF22" s="128">
        <f t="shared" si="17"/>
        <v>52.631578947368418</v>
      </c>
      <c r="AG22" s="131">
        <f t="shared" si="14"/>
        <v>48.738947368421051</v>
      </c>
      <c r="AH22" s="4"/>
    </row>
    <row r="23" spans="1:34" ht="13.35" customHeight="1" x14ac:dyDescent="0.25">
      <c r="A23" s="1" t="s">
        <v>193</v>
      </c>
      <c r="B23" s="10">
        <v>11</v>
      </c>
      <c r="C23" s="35" t="s">
        <v>94</v>
      </c>
      <c r="D23" s="36">
        <v>1</v>
      </c>
      <c r="E23" s="128">
        <v>63.14</v>
      </c>
      <c r="F23" s="128">
        <f>+E23*1620.66</f>
        <v>102328.47240000001</v>
      </c>
      <c r="G23" s="128">
        <f t="shared" si="11"/>
        <v>1705.4745400000002</v>
      </c>
      <c r="H23" s="128">
        <f t="shared" si="12"/>
        <v>1534.9270860000001</v>
      </c>
      <c r="I23" s="128">
        <v>0</v>
      </c>
      <c r="J23" s="128">
        <f>+G23+H23+I23</f>
        <v>3240.4016260000003</v>
      </c>
      <c r="K23" s="128">
        <f>+J23/12</f>
        <v>270.03346883333336</v>
      </c>
      <c r="L23" s="128"/>
      <c r="M23" s="128">
        <f>+J23*(100%+5.6%)</f>
        <v>3421.8641170560004</v>
      </c>
      <c r="N23" s="128">
        <f>+K23*N124</f>
        <v>189.02342818333335</v>
      </c>
      <c r="O23" s="128">
        <f>+N23*O124</f>
        <v>151.21874254666668</v>
      </c>
      <c r="P23" s="128">
        <f>+N23*P124</f>
        <v>170.12108536500003</v>
      </c>
      <c r="Q23" s="128">
        <f>+N23*Q124</f>
        <v>189.02342818333335</v>
      </c>
      <c r="R23" s="128">
        <v>1045.69</v>
      </c>
      <c r="S23" s="128">
        <f>R23*S124</f>
        <v>104.56900000000002</v>
      </c>
      <c r="T23" s="128">
        <v>0</v>
      </c>
      <c r="U23" s="128">
        <v>0</v>
      </c>
      <c r="V23" s="128">
        <v>0</v>
      </c>
      <c r="W23" s="128">
        <f>O23</f>
        <v>151.21874254666668</v>
      </c>
      <c r="X23" s="128">
        <f>W23*12+0.02</f>
        <v>1814.64491056</v>
      </c>
      <c r="Y23" s="128">
        <v>0</v>
      </c>
      <c r="Z23" s="128">
        <f>X23*(100+5.6)%-0.01</f>
        <v>1916.2550255513602</v>
      </c>
      <c r="AA23" s="128">
        <f>Z23*(100+7.3)%+0.01</f>
        <v>2056.1516424166098</v>
      </c>
      <c r="AB23" s="128">
        <f t="shared" si="13"/>
        <v>171.34597020138415</v>
      </c>
      <c r="AC23" s="128">
        <f t="shared" si="15"/>
        <v>270.03346883333336</v>
      </c>
      <c r="AD23" s="128">
        <f>S23</f>
        <v>104.56900000000002</v>
      </c>
      <c r="AE23" s="128">
        <f t="shared" si="16"/>
        <v>142.12287833333335</v>
      </c>
      <c r="AF23" s="128">
        <f t="shared" si="17"/>
        <v>52.631578947368418</v>
      </c>
      <c r="AG23" s="131">
        <f t="shared" si="14"/>
        <v>55.03631578947369</v>
      </c>
      <c r="AH23" s="4"/>
    </row>
    <row r="24" spans="1:34" ht="13.35" customHeight="1" x14ac:dyDescent="0.25">
      <c r="A24" s="1" t="s">
        <v>198</v>
      </c>
      <c r="B24" s="10">
        <v>12</v>
      </c>
      <c r="C24" s="35" t="s">
        <v>99</v>
      </c>
      <c r="D24" s="36">
        <v>2</v>
      </c>
      <c r="E24" s="43">
        <v>99.13</v>
      </c>
      <c r="F24" s="128">
        <f>+E24*952.3639558</f>
        <v>94407.838938453991</v>
      </c>
      <c r="G24" s="128">
        <f t="shared" si="11"/>
        <v>1573.4639823075665</v>
      </c>
      <c r="H24" s="128">
        <f t="shared" si="12"/>
        <v>1416.1175840768099</v>
      </c>
      <c r="I24" s="128">
        <v>0</v>
      </c>
      <c r="J24" s="128">
        <f>+G24+H24</f>
        <v>2989.5815663843764</v>
      </c>
      <c r="K24" s="128">
        <f>+J24/12</f>
        <v>249.13179719869802</v>
      </c>
      <c r="L24" s="128"/>
      <c r="M24" s="128">
        <f>J24*(100%+5.6%)</f>
        <v>3156.9981341019015</v>
      </c>
      <c r="N24" s="128">
        <f>+K24*N149</f>
        <v>174.3922580390886</v>
      </c>
      <c r="O24" s="128">
        <f>+N24*O149</f>
        <v>139.51380643127089</v>
      </c>
      <c r="P24" s="128">
        <f>+N24*P149</f>
        <v>156.95303223517973</v>
      </c>
      <c r="Q24" s="128">
        <f>+N24*Q149</f>
        <v>174.3922580390886</v>
      </c>
      <c r="R24" s="145" t="s">
        <v>245</v>
      </c>
      <c r="S24" s="145">
        <v>0</v>
      </c>
      <c r="T24" s="145">
        <v>0</v>
      </c>
      <c r="U24" s="145">
        <v>0</v>
      </c>
      <c r="V24" s="145">
        <v>257.39999999999998</v>
      </c>
      <c r="W24" s="145">
        <v>257.39999999999998</v>
      </c>
      <c r="X24" s="145">
        <f>W24*12</f>
        <v>3088.7999999999997</v>
      </c>
      <c r="Y24" s="145">
        <f>X24*(100+10.4)%</f>
        <v>3410.0351999999998</v>
      </c>
      <c r="Z24" s="145">
        <f>Y24*(100+5.6)%</f>
        <v>3600.9971712000001</v>
      </c>
      <c r="AA24" s="145">
        <f>Z24*(100+7.3)%</f>
        <v>3863.8699646976002</v>
      </c>
      <c r="AB24" s="145">
        <f t="shared" si="13"/>
        <v>321.98916372479999</v>
      </c>
      <c r="AC24" s="145">
        <f t="shared" ref="AC24:AC30" si="18">K24</f>
        <v>249.13179719869802</v>
      </c>
      <c r="AD24" s="145">
        <f>V24</f>
        <v>257.39999999999998</v>
      </c>
      <c r="AE24" s="145">
        <f t="shared" ref="AE24:AE32" si="19">G24/12</f>
        <v>131.12199852563054</v>
      </c>
      <c r="AF24" s="145">
        <f t="shared" ref="AF24:AF31" si="20">AE24/AC24*100</f>
        <v>52.631578947368418</v>
      </c>
      <c r="AG24" s="147">
        <f t="shared" si="14"/>
        <v>135.4736842105263</v>
      </c>
      <c r="AH24" s="4"/>
    </row>
    <row r="25" spans="1:34" ht="13.35" customHeight="1" x14ac:dyDescent="0.25">
      <c r="A25" s="1" t="s">
        <v>199</v>
      </c>
      <c r="B25" s="116">
        <v>13</v>
      </c>
      <c r="C25" s="116" t="s">
        <v>100</v>
      </c>
      <c r="D25" s="117">
        <v>2</v>
      </c>
      <c r="E25" s="118">
        <v>99</v>
      </c>
      <c r="F25" s="153">
        <f>+E25*952.3639558</f>
        <v>94284.031624199997</v>
      </c>
      <c r="G25" s="153">
        <f t="shared" si="11"/>
        <v>1571.40052707</v>
      </c>
      <c r="H25" s="153">
        <f t="shared" si="12"/>
        <v>1414.260474363</v>
      </c>
      <c r="I25" s="153">
        <v>0</v>
      </c>
      <c r="J25" s="153">
        <f>+G25+H25</f>
        <v>2985.6610014329999</v>
      </c>
      <c r="K25" s="153">
        <f>J25/12</f>
        <v>248.80508345274998</v>
      </c>
      <c r="L25" s="153"/>
      <c r="M25" s="153"/>
      <c r="N25" s="153">
        <f>+K25*N149</f>
        <v>174.16355841692499</v>
      </c>
      <c r="O25" s="153">
        <f>+N25*O149</f>
        <v>139.33084673354</v>
      </c>
      <c r="P25" s="153">
        <f>+N25*P149</f>
        <v>156.74720257523248</v>
      </c>
      <c r="Q25" s="153">
        <f>+N25</f>
        <v>174.16355841692499</v>
      </c>
      <c r="R25" s="153">
        <v>1440.17</v>
      </c>
      <c r="S25" s="153">
        <f>R25*S149</f>
        <v>144.01700000000002</v>
      </c>
      <c r="T25" s="153">
        <v>0</v>
      </c>
      <c r="U25" s="153">
        <v>0</v>
      </c>
      <c r="V25" s="153">
        <v>0</v>
      </c>
      <c r="W25" s="153">
        <f>O25</f>
        <v>139.33084673354</v>
      </c>
      <c r="X25" s="153">
        <f>W25*12+0.02</f>
        <v>1671.99016080248</v>
      </c>
      <c r="Y25" s="153">
        <v>0</v>
      </c>
      <c r="Z25" s="153">
        <v>0</v>
      </c>
      <c r="AA25" s="153">
        <f>X25*(100+7.3)%</f>
        <v>1794.045442541061</v>
      </c>
      <c r="AB25" s="153">
        <f t="shared" si="13"/>
        <v>149.50378687842175</v>
      </c>
      <c r="AC25" s="153">
        <f t="shared" si="18"/>
        <v>248.80508345274998</v>
      </c>
      <c r="AD25" s="153">
        <f>S25</f>
        <v>144.01700000000002</v>
      </c>
      <c r="AE25" s="153">
        <f t="shared" si="19"/>
        <v>130.95004392249999</v>
      </c>
      <c r="AF25" s="153">
        <f t="shared" si="20"/>
        <v>52.631578947368418</v>
      </c>
      <c r="AG25" s="155">
        <f t="shared" si="14"/>
        <v>75.798421052631582</v>
      </c>
      <c r="AH25" s="4"/>
    </row>
    <row r="26" spans="1:34" ht="13.35" customHeight="1" x14ac:dyDescent="0.25">
      <c r="A26" s="1" t="s">
        <v>205</v>
      </c>
      <c r="B26" s="10">
        <v>14</v>
      </c>
      <c r="C26" s="35" t="s">
        <v>109</v>
      </c>
      <c r="D26" s="123">
        <v>2</v>
      </c>
      <c r="E26" s="13">
        <v>98.2</v>
      </c>
      <c r="F26" s="128">
        <f>+E26*1157.17</f>
        <v>113634.09400000001</v>
      </c>
      <c r="G26" s="128">
        <f t="shared" si="11"/>
        <v>1893.9015666666669</v>
      </c>
      <c r="H26" s="128">
        <f t="shared" si="12"/>
        <v>1704.5114100000001</v>
      </c>
      <c r="I26" s="128">
        <v>0</v>
      </c>
      <c r="J26" s="128">
        <f>+G26+H26+I26</f>
        <v>3598.412976666667</v>
      </c>
      <c r="K26" s="128">
        <f>+J26/12</f>
        <v>299.86774805555558</v>
      </c>
      <c r="L26" s="128"/>
      <c r="M26" s="128">
        <f>+J26*(100%+5.6%)</f>
        <v>3799.9241033600006</v>
      </c>
      <c r="N26" s="128">
        <f>+K26*N177</f>
        <v>209.9074236388889</v>
      </c>
      <c r="O26" s="128">
        <f>+N26*O177</f>
        <v>167.92593891111113</v>
      </c>
      <c r="P26" s="128">
        <f>+N26*P177</f>
        <v>188.916681275</v>
      </c>
      <c r="Q26" s="128">
        <f>+N26*Q177</f>
        <v>209.9074236388889</v>
      </c>
      <c r="R26" s="128">
        <v>1892.63</v>
      </c>
      <c r="S26" s="128">
        <f>R26*S177</f>
        <v>189.26300000000003</v>
      </c>
      <c r="T26" s="128">
        <v>0</v>
      </c>
      <c r="U26" s="128">
        <v>0</v>
      </c>
      <c r="V26" s="128">
        <v>0</v>
      </c>
      <c r="W26" s="128">
        <f>O26</f>
        <v>167.92593891111113</v>
      </c>
      <c r="X26" s="128">
        <f>W26*12+0.05</f>
        <v>2015.1612669333335</v>
      </c>
      <c r="Y26" s="128">
        <f>X26*(100+10.4)%</f>
        <v>2224.7380386944005</v>
      </c>
      <c r="Z26" s="128">
        <f>Y26*(100+5.6)%+0.01</f>
        <v>2349.3333688612875</v>
      </c>
      <c r="AA26" s="128">
        <f>Z26*(100+7.3)%</f>
        <v>2520.8347047881612</v>
      </c>
      <c r="AB26" s="128">
        <f t="shared" si="13"/>
        <v>210.06955873234676</v>
      </c>
      <c r="AC26" s="128">
        <f t="shared" si="18"/>
        <v>299.86774805555558</v>
      </c>
      <c r="AD26" s="128">
        <f>S26</f>
        <v>189.26300000000003</v>
      </c>
      <c r="AE26" s="128">
        <f t="shared" si="19"/>
        <v>157.82513055555557</v>
      </c>
      <c r="AF26" s="130">
        <f t="shared" si="20"/>
        <v>52.631578947368418</v>
      </c>
      <c r="AG26" s="142">
        <f t="shared" si="14"/>
        <v>99.6121052631579</v>
      </c>
      <c r="AH26" s="4"/>
    </row>
    <row r="27" spans="1:34" ht="13.35" customHeight="1" x14ac:dyDescent="0.25">
      <c r="A27" s="1" t="s">
        <v>209</v>
      </c>
      <c r="B27" s="10">
        <v>15</v>
      </c>
      <c r="C27" s="35" t="s">
        <v>112</v>
      </c>
      <c r="D27" s="36">
        <v>2</v>
      </c>
      <c r="E27" s="35">
        <v>100.03</v>
      </c>
      <c r="F27" s="128">
        <f>+E27*1193.74</f>
        <v>119409.8122</v>
      </c>
      <c r="G27" s="128">
        <f t="shared" si="11"/>
        <v>1990.1635366666667</v>
      </c>
      <c r="H27" s="128">
        <f t="shared" si="12"/>
        <v>1791.147183</v>
      </c>
      <c r="I27" s="128">
        <f>F27*0%</f>
        <v>0</v>
      </c>
      <c r="J27" s="128">
        <f>+G27+H27</f>
        <v>3781.310719666667</v>
      </c>
      <c r="K27" s="128">
        <f>+J27/12</f>
        <v>315.10922663888891</v>
      </c>
      <c r="L27" s="128"/>
      <c r="M27" s="128">
        <f>J27*(100%+5.6%)</f>
        <v>3993.0641199680003</v>
      </c>
      <c r="N27" s="128">
        <f>+K27*N202</f>
        <v>220.57645864722224</v>
      </c>
      <c r="O27" s="128">
        <f>+N27*O202</f>
        <v>176.4611669177778</v>
      </c>
      <c r="P27" s="128">
        <f>+N27*P202</f>
        <v>198.51881278250002</v>
      </c>
      <c r="Q27" s="128">
        <f>+N27*Q202</f>
        <v>220.57645864722224</v>
      </c>
      <c r="R27" s="128">
        <v>776.44</v>
      </c>
      <c r="S27" s="128">
        <f>R27*S202</f>
        <v>77.644000000000005</v>
      </c>
      <c r="T27" s="128">
        <v>0</v>
      </c>
      <c r="U27" s="128">
        <v>0</v>
      </c>
      <c r="V27" s="128">
        <v>0</v>
      </c>
      <c r="W27" s="128">
        <f>O27</f>
        <v>176.4611669177778</v>
      </c>
      <c r="X27" s="128">
        <f>W27*12-0.01</f>
        <v>2117.5240030133336</v>
      </c>
      <c r="Y27" s="128">
        <f>X27*(100%+10.4%)-0.01</f>
        <v>2337.7364993267201</v>
      </c>
      <c r="Z27" s="128">
        <f>Y27*(100%+5.6%)</f>
        <v>2468.6497432890164</v>
      </c>
      <c r="AA27" s="128">
        <f>Z27*107.3%</f>
        <v>2648.8611745491144</v>
      </c>
      <c r="AB27" s="128">
        <f t="shared" si="13"/>
        <v>220.73843121242621</v>
      </c>
      <c r="AC27" s="128">
        <f t="shared" si="18"/>
        <v>315.10922663888891</v>
      </c>
      <c r="AD27" s="128">
        <v>73</v>
      </c>
      <c r="AE27" s="128">
        <f t="shared" si="19"/>
        <v>165.8469613888889</v>
      </c>
      <c r="AF27" s="130">
        <f t="shared" si="20"/>
        <v>52.631578947368418</v>
      </c>
      <c r="AG27" s="131">
        <f t="shared" si="14"/>
        <v>38.421052631578945</v>
      </c>
      <c r="AH27" s="4"/>
    </row>
    <row r="28" spans="1:34" ht="13.35" customHeight="1" x14ac:dyDescent="0.25">
      <c r="A28" s="1" t="s">
        <v>210</v>
      </c>
      <c r="B28" s="10">
        <v>16</v>
      </c>
      <c r="C28" s="35" t="s">
        <v>113</v>
      </c>
      <c r="D28" s="36">
        <v>2</v>
      </c>
      <c r="E28" s="35">
        <v>98.27</v>
      </c>
      <c r="F28" s="128">
        <f>+E28*1193.74</f>
        <v>117308.82979999999</v>
      </c>
      <c r="G28" s="128">
        <f t="shared" si="11"/>
        <v>1955.1471633333333</v>
      </c>
      <c r="H28" s="128">
        <f t="shared" si="12"/>
        <v>1759.6324469999997</v>
      </c>
      <c r="I28" s="128">
        <v>0</v>
      </c>
      <c r="J28" s="128">
        <f>+G28+H28</f>
        <v>3714.779610333333</v>
      </c>
      <c r="K28" s="128">
        <f>+J28/12</f>
        <v>309.56496752777775</v>
      </c>
      <c r="L28" s="128"/>
      <c r="M28" s="128">
        <f>J28*(100%+5.6%)</f>
        <v>3922.8072685120001</v>
      </c>
      <c r="N28" s="128">
        <f>+K28*N202</f>
        <v>216.69547726944441</v>
      </c>
      <c r="O28" s="128">
        <f>+N28*O202</f>
        <v>173.35638181555555</v>
      </c>
      <c r="P28" s="128">
        <f>+N28*P202</f>
        <v>195.02592954249997</v>
      </c>
      <c r="Q28" s="128">
        <f>+N28*Q202</f>
        <v>216.69547726944441</v>
      </c>
      <c r="R28" s="128">
        <v>561.44000000000005</v>
      </c>
      <c r="S28" s="128">
        <f>R28*S202</f>
        <v>56.144000000000005</v>
      </c>
      <c r="T28" s="128">
        <v>0</v>
      </c>
      <c r="U28" s="128">
        <v>0</v>
      </c>
      <c r="V28" s="128">
        <v>0</v>
      </c>
      <c r="W28" s="128">
        <f>O28</f>
        <v>173.35638181555555</v>
      </c>
      <c r="X28" s="128">
        <f>W28*12+0.04</f>
        <v>2080.3165817866666</v>
      </c>
      <c r="Y28" s="128">
        <f>X28*(100%+10.4%)</f>
        <v>2296.66950629248</v>
      </c>
      <c r="Z28" s="128">
        <f>Y28*(100%+5.6%)</f>
        <v>2425.2829986448592</v>
      </c>
      <c r="AA28" s="128">
        <f>Z28*(100%+7.3%)</f>
        <v>2602.3286575459338</v>
      </c>
      <c r="AB28" s="128">
        <f t="shared" si="13"/>
        <v>216.86072146216114</v>
      </c>
      <c r="AC28" s="128">
        <f t="shared" si="18"/>
        <v>309.56496752777775</v>
      </c>
      <c r="AD28" s="128">
        <v>73</v>
      </c>
      <c r="AE28" s="128">
        <f t="shared" si="19"/>
        <v>162.92893027777777</v>
      </c>
      <c r="AF28" s="130">
        <f t="shared" si="20"/>
        <v>52.631578947368418</v>
      </c>
      <c r="AG28" s="131">
        <f t="shared" si="14"/>
        <v>38.421052631578945</v>
      </c>
      <c r="AH28" s="4"/>
    </row>
    <row r="29" spans="1:34" ht="13.35" customHeight="1" x14ac:dyDescent="0.25">
      <c r="A29" s="1" t="s">
        <v>226</v>
      </c>
      <c r="B29" s="116">
        <v>17</v>
      </c>
      <c r="C29" s="116" t="s">
        <v>132</v>
      </c>
      <c r="D29" s="125">
        <v>2</v>
      </c>
      <c r="E29" s="153">
        <v>87.96</v>
      </c>
      <c r="F29" s="153">
        <f>+E29*1193.52</f>
        <v>104982.0192</v>
      </c>
      <c r="G29" s="153">
        <f t="shared" si="11"/>
        <v>1749.7003199999999</v>
      </c>
      <c r="H29" s="153">
        <f t="shared" si="12"/>
        <v>1574.730288</v>
      </c>
      <c r="I29" s="153">
        <v>0</v>
      </c>
      <c r="J29" s="153">
        <f>+G29+H29+I29</f>
        <v>3324.4306079999997</v>
      </c>
      <c r="K29" s="153">
        <f>+J29/12</f>
        <v>277.03588399999995</v>
      </c>
      <c r="L29" s="153"/>
      <c r="M29" s="153">
        <f>+J29*(100%+5.6%)</f>
        <v>3510.5987220479997</v>
      </c>
      <c r="N29" s="153">
        <f>+K29*N246</f>
        <v>193.92511879999995</v>
      </c>
      <c r="O29" s="153">
        <f>+N29*O246</f>
        <v>155.14009503999998</v>
      </c>
      <c r="P29" s="153">
        <f>+N29*P246</f>
        <v>174.53260691999995</v>
      </c>
      <c r="Q29" s="153">
        <f>+N29*Q246</f>
        <v>193.92511879999995</v>
      </c>
      <c r="R29" s="139" t="s">
        <v>251</v>
      </c>
      <c r="S29" s="153">
        <v>0</v>
      </c>
      <c r="T29" s="153">
        <v>0</v>
      </c>
      <c r="U29" s="153">
        <v>0</v>
      </c>
      <c r="V29" s="153">
        <v>0</v>
      </c>
      <c r="W29" s="153">
        <f>N29</f>
        <v>193.92511879999995</v>
      </c>
      <c r="X29" s="153">
        <f>W29*12+0.06</f>
        <v>2327.1614255999993</v>
      </c>
      <c r="Y29" s="153">
        <v>0</v>
      </c>
      <c r="Z29" s="153">
        <v>0</v>
      </c>
      <c r="AA29" s="153">
        <f>X29*(100+7.3)%</f>
        <v>2497.0442096687993</v>
      </c>
      <c r="AB29" s="153">
        <f t="shared" si="13"/>
        <v>208.08701747239994</v>
      </c>
      <c r="AC29" s="153">
        <f t="shared" si="18"/>
        <v>277.03588399999995</v>
      </c>
      <c r="AD29" s="153">
        <f t="shared" ref="AD29:AD34" si="21">AB29</f>
        <v>208.08701747239994</v>
      </c>
      <c r="AE29" s="153">
        <f t="shared" si="19"/>
        <v>145.80835999999999</v>
      </c>
      <c r="AF29" s="162">
        <f t="shared" si="20"/>
        <v>52.631578947368432</v>
      </c>
      <c r="AG29" s="163">
        <f t="shared" si="14"/>
        <v>109.5194828802105</v>
      </c>
      <c r="AH29" s="4"/>
    </row>
    <row r="30" spans="1:34" ht="13.35" customHeight="1" x14ac:dyDescent="0.25">
      <c r="A30" s="121" t="s">
        <v>239</v>
      </c>
      <c r="B30" s="116">
        <v>18</v>
      </c>
      <c r="C30" s="116" t="s">
        <v>139</v>
      </c>
      <c r="D30" s="117">
        <v>1</v>
      </c>
      <c r="E30" s="118">
        <v>64.61</v>
      </c>
      <c r="F30" s="153">
        <f t="shared" ref="F30:F38" si="22">E30*1192.91</f>
        <v>77073.915099999998</v>
      </c>
      <c r="G30" s="153">
        <f t="shared" ref="G30:G38" si="23">+F30/60</f>
        <v>1284.5652516666667</v>
      </c>
      <c r="H30" s="153">
        <f t="shared" ref="H30:H38" si="24">+F30*1.5%</f>
        <v>1156.1087264999999</v>
      </c>
      <c r="I30" s="153">
        <v>0</v>
      </c>
      <c r="J30" s="153">
        <f t="shared" ref="J30:J38" si="25">+G30+H30+I30</f>
        <v>2440.6739781666665</v>
      </c>
      <c r="K30" s="153">
        <f>J30/12</f>
        <v>203.38949818055553</v>
      </c>
      <c r="L30" s="153"/>
      <c r="M30" s="153">
        <f t="shared" ref="M30:M38" si="26">J30*(100%+5.6%)</f>
        <v>2577.3517209440001</v>
      </c>
      <c r="N30" s="153">
        <f>+K30*N269</f>
        <v>142.37264872638886</v>
      </c>
      <c r="O30" s="153">
        <f>N30*O269</f>
        <v>113.8981189811111</v>
      </c>
      <c r="P30" s="153">
        <f>+N30*P269</f>
        <v>128.13538385374997</v>
      </c>
      <c r="Q30" s="153">
        <f>+N30*Q269</f>
        <v>142.37264872638886</v>
      </c>
      <c r="R30" s="153">
        <v>1069.5</v>
      </c>
      <c r="S30" s="153">
        <f>R30*S269</f>
        <v>106.95</v>
      </c>
      <c r="T30" s="153">
        <v>0</v>
      </c>
      <c r="U30" s="153">
        <v>0</v>
      </c>
      <c r="V30" s="153">
        <v>0</v>
      </c>
      <c r="W30" s="153">
        <v>106.95</v>
      </c>
      <c r="X30" s="153">
        <f>W30*12</f>
        <v>1283.4000000000001</v>
      </c>
      <c r="Y30" s="153">
        <v>0</v>
      </c>
      <c r="Z30" s="153">
        <v>0</v>
      </c>
      <c r="AA30" s="153">
        <v>0</v>
      </c>
      <c r="AB30" s="153">
        <f>X30/12</f>
        <v>106.95</v>
      </c>
      <c r="AC30" s="153">
        <f t="shared" si="18"/>
        <v>203.38949818055553</v>
      </c>
      <c r="AD30" s="153">
        <f t="shared" si="21"/>
        <v>106.95</v>
      </c>
      <c r="AE30" s="153">
        <f t="shared" si="19"/>
        <v>107.04710430555555</v>
      </c>
      <c r="AF30" s="162">
        <f t="shared" si="20"/>
        <v>52.631578947368418</v>
      </c>
      <c r="AG30" s="163">
        <f t="shared" si="14"/>
        <v>56.289473684210527</v>
      </c>
      <c r="AH30" s="4"/>
    </row>
    <row r="31" spans="1:34" ht="13.35" customHeight="1" x14ac:dyDescent="0.25">
      <c r="A31" s="1" t="s">
        <v>231</v>
      </c>
      <c r="B31" s="10">
        <v>19</v>
      </c>
      <c r="C31" s="35" t="s">
        <v>140</v>
      </c>
      <c r="D31" s="36">
        <v>1</v>
      </c>
      <c r="E31" s="32">
        <v>63.27</v>
      </c>
      <c r="F31" s="128">
        <f t="shared" si="22"/>
        <v>75475.415700000012</v>
      </c>
      <c r="G31" s="128">
        <f t="shared" si="23"/>
        <v>1257.9235950000002</v>
      </c>
      <c r="H31" s="128">
        <f t="shared" si="24"/>
        <v>1132.1312355000002</v>
      </c>
      <c r="I31" s="128">
        <v>0</v>
      </c>
      <c r="J31" s="128">
        <f t="shared" si="25"/>
        <v>2390.0548305000002</v>
      </c>
      <c r="K31" s="128">
        <f t="shared" ref="K31:K38" si="27">+J31/12</f>
        <v>199.17123587500001</v>
      </c>
      <c r="L31" s="128"/>
      <c r="M31" s="128">
        <f t="shared" si="26"/>
        <v>2523.8979010080002</v>
      </c>
      <c r="N31" s="128">
        <f>+K31*N269</f>
        <v>139.41986511249999</v>
      </c>
      <c r="O31" s="128">
        <f>N31*O269</f>
        <v>111.53589209</v>
      </c>
      <c r="P31" s="128">
        <f>+N31*P269</f>
        <v>125.47787860125</v>
      </c>
      <c r="Q31" s="128">
        <f>+N31*Q269</f>
        <v>139.41986511249999</v>
      </c>
      <c r="R31" s="139" t="s">
        <v>251</v>
      </c>
      <c r="S31" s="139">
        <v>0</v>
      </c>
      <c r="T31" s="139">
        <v>0</v>
      </c>
      <c r="U31" s="139">
        <v>0</v>
      </c>
      <c r="V31" s="139">
        <v>0</v>
      </c>
      <c r="W31" s="139">
        <f>N31</f>
        <v>139.41986511249999</v>
      </c>
      <c r="X31" s="139">
        <f>W31*12-0.02</f>
        <v>1673.0183813499998</v>
      </c>
      <c r="Y31" s="139">
        <v>0</v>
      </c>
      <c r="Z31" s="139">
        <f>X31*(100+5.6)%</f>
        <v>1766.7074107055998</v>
      </c>
      <c r="AA31" s="139">
        <f>Z31*(100+7.3)%-0.01</f>
        <v>1895.6670516871086</v>
      </c>
      <c r="AB31" s="139">
        <f t="shared" ref="AB31:AB37" si="28">AA31/12</f>
        <v>157.97225430725905</v>
      </c>
      <c r="AC31" s="139">
        <f t="shared" ref="AC31:AC38" si="29">K31</f>
        <v>199.17123587500001</v>
      </c>
      <c r="AD31" s="139">
        <f t="shared" si="21"/>
        <v>157.97225430725905</v>
      </c>
      <c r="AE31" s="139">
        <f t="shared" si="19"/>
        <v>104.82696625000001</v>
      </c>
      <c r="AF31" s="141">
        <f t="shared" si="20"/>
        <v>52.631578947368432</v>
      </c>
      <c r="AG31" s="142">
        <f>AD31*AF31%+0.01</f>
        <v>83.153291740662681</v>
      </c>
      <c r="AH31" s="4"/>
    </row>
    <row r="32" spans="1:34" ht="13.35" customHeight="1" x14ac:dyDescent="0.25">
      <c r="A32" s="1" t="s">
        <v>232</v>
      </c>
      <c r="B32" s="10">
        <v>20</v>
      </c>
      <c r="C32" s="35" t="s">
        <v>141</v>
      </c>
      <c r="D32" s="36">
        <v>1</v>
      </c>
      <c r="E32" s="37">
        <v>69.61</v>
      </c>
      <c r="F32" s="128">
        <f t="shared" si="22"/>
        <v>83038.465100000001</v>
      </c>
      <c r="G32" s="128">
        <f t="shared" si="23"/>
        <v>1383.9744183333335</v>
      </c>
      <c r="H32" s="128">
        <f t="shared" si="24"/>
        <v>1245.5769765</v>
      </c>
      <c r="I32" s="128">
        <v>0</v>
      </c>
      <c r="J32" s="128">
        <f t="shared" si="25"/>
        <v>2629.5513948333337</v>
      </c>
      <c r="K32" s="128">
        <f t="shared" si="27"/>
        <v>219.12928290277782</v>
      </c>
      <c r="L32" s="128"/>
      <c r="M32" s="128">
        <f t="shared" si="26"/>
        <v>2776.8062729440003</v>
      </c>
      <c r="N32" s="128">
        <f>+K32*N269</f>
        <v>153.39049803194447</v>
      </c>
      <c r="O32" s="128">
        <f>+N32*O269</f>
        <v>122.71239842555559</v>
      </c>
      <c r="P32" s="128">
        <f>+N32*P269</f>
        <v>138.05144822875002</v>
      </c>
      <c r="Q32" s="128">
        <f>+N32*Q269</f>
        <v>153.39049803194447</v>
      </c>
      <c r="R32" s="139" t="s">
        <v>251</v>
      </c>
      <c r="S32" s="139">
        <v>0</v>
      </c>
      <c r="T32" s="139">
        <v>0</v>
      </c>
      <c r="U32" s="139">
        <v>0</v>
      </c>
      <c r="V32" s="139">
        <v>0</v>
      </c>
      <c r="W32" s="139">
        <f>N32</f>
        <v>153.39049803194447</v>
      </c>
      <c r="X32" s="139">
        <f>W32*12-0.01</f>
        <v>1840.6759763833336</v>
      </c>
      <c r="Y32" s="139">
        <v>0</v>
      </c>
      <c r="Z32" s="139">
        <f>X32*(100+5.6)%+0.01</f>
        <v>1943.7638310608004</v>
      </c>
      <c r="AA32" s="139">
        <f>Z32*(100+7.3)%-0.01</f>
        <v>2085.6485907282386</v>
      </c>
      <c r="AB32" s="139">
        <f t="shared" si="28"/>
        <v>173.8040492273532</v>
      </c>
      <c r="AC32" s="139">
        <f t="shared" si="29"/>
        <v>219.12928290277782</v>
      </c>
      <c r="AD32" s="139">
        <f t="shared" si="21"/>
        <v>173.8040492273532</v>
      </c>
      <c r="AE32" s="139">
        <f t="shared" si="19"/>
        <v>115.33120152777779</v>
      </c>
      <c r="AF32" s="141">
        <f t="shared" ref="AF32:AF38" si="30">AE32/AC32*100</f>
        <v>52.631578947368418</v>
      </c>
      <c r="AG32" s="142">
        <f>AD32*AF32%-0.01</f>
        <v>91.465815382817468</v>
      </c>
      <c r="AH32" s="4"/>
    </row>
    <row r="33" spans="1:34" ht="13.35" customHeight="1" x14ac:dyDescent="0.25">
      <c r="A33" s="66" t="s">
        <v>233</v>
      </c>
      <c r="B33" s="116">
        <v>21</v>
      </c>
      <c r="C33" s="116" t="s">
        <v>142</v>
      </c>
      <c r="D33" s="117">
        <v>1</v>
      </c>
      <c r="E33" s="118">
        <v>70.33</v>
      </c>
      <c r="F33" s="153">
        <f t="shared" si="22"/>
        <v>83897.3603</v>
      </c>
      <c r="G33" s="153">
        <f t="shared" si="23"/>
        <v>1398.2893383333333</v>
      </c>
      <c r="H33" s="153">
        <f t="shared" si="24"/>
        <v>1258.4604044999999</v>
      </c>
      <c r="I33" s="153">
        <v>0</v>
      </c>
      <c r="J33" s="153">
        <f t="shared" si="25"/>
        <v>2656.7497428333331</v>
      </c>
      <c r="K33" s="153">
        <f t="shared" si="27"/>
        <v>221.39581190277775</v>
      </c>
      <c r="L33" s="153"/>
      <c r="M33" s="153">
        <f t="shared" si="26"/>
        <v>2805.527728432</v>
      </c>
      <c r="N33" s="153">
        <f>+K33*N269</f>
        <v>154.97706833194442</v>
      </c>
      <c r="O33" s="153">
        <f>N33*O269</f>
        <v>123.98165466555554</v>
      </c>
      <c r="P33" s="153">
        <f>+N33*P269</f>
        <v>139.47936149875</v>
      </c>
      <c r="Q33" s="153">
        <f>+N33*Q269</f>
        <v>154.97706833194442</v>
      </c>
      <c r="R33" s="153">
        <v>2576.54</v>
      </c>
      <c r="S33" s="153">
        <v>0</v>
      </c>
      <c r="T33" s="153">
        <f>R33*T269</f>
        <v>515.30799999999999</v>
      </c>
      <c r="U33" s="153">
        <v>0</v>
      </c>
      <c r="V33" s="153">
        <v>0</v>
      </c>
      <c r="W33" s="153">
        <f>P33</f>
        <v>139.47936149875</v>
      </c>
      <c r="X33" s="153">
        <f>W33*12+0.01</f>
        <v>1673.7623379849999</v>
      </c>
      <c r="Y33" s="153">
        <v>0</v>
      </c>
      <c r="Z33" s="153">
        <v>0</v>
      </c>
      <c r="AA33" s="153">
        <f>X33*(100+7.3)%</f>
        <v>1795.9469886579047</v>
      </c>
      <c r="AB33" s="153">
        <f t="shared" si="28"/>
        <v>149.66224905482539</v>
      </c>
      <c r="AC33" s="153">
        <f t="shared" si="29"/>
        <v>221.39581190277775</v>
      </c>
      <c r="AD33" s="153">
        <f t="shared" si="21"/>
        <v>149.66224905482539</v>
      </c>
      <c r="AE33" s="153">
        <f t="shared" ref="AE33:AE38" si="31">G33/12</f>
        <v>116.52411152777778</v>
      </c>
      <c r="AF33" s="162">
        <f t="shared" si="30"/>
        <v>52.631578947368432</v>
      </c>
      <c r="AG33" s="163">
        <f t="shared" ref="AG33:AG38" si="32">AD33*AF33%</f>
        <v>78.769604765697594</v>
      </c>
      <c r="AH33" s="4"/>
    </row>
    <row r="34" spans="1:34" ht="13.35" customHeight="1" x14ac:dyDescent="0.25">
      <c r="A34" s="1" t="s">
        <v>234</v>
      </c>
      <c r="B34" s="10">
        <v>22</v>
      </c>
      <c r="C34" s="35" t="s">
        <v>143</v>
      </c>
      <c r="D34" s="36">
        <v>1</v>
      </c>
      <c r="E34" s="37">
        <v>69.12</v>
      </c>
      <c r="F34" s="128">
        <f t="shared" si="22"/>
        <v>82453.939200000008</v>
      </c>
      <c r="G34" s="128">
        <f t="shared" si="23"/>
        <v>1374.2323200000001</v>
      </c>
      <c r="H34" s="128">
        <f t="shared" si="24"/>
        <v>1236.809088</v>
      </c>
      <c r="I34" s="128">
        <v>0</v>
      </c>
      <c r="J34" s="128">
        <f t="shared" si="25"/>
        <v>2611.041408</v>
      </c>
      <c r="K34" s="128">
        <f t="shared" si="27"/>
        <v>217.58678399999999</v>
      </c>
      <c r="L34" s="128"/>
      <c r="M34" s="128">
        <f t="shared" si="26"/>
        <v>2757.2597268480004</v>
      </c>
      <c r="N34" s="128">
        <f>+K34*N269</f>
        <v>152.3107488</v>
      </c>
      <c r="O34" s="128">
        <f>+N34*O269</f>
        <v>121.84859904000001</v>
      </c>
      <c r="P34" s="128">
        <f>+N34*P269</f>
        <v>137.07967392</v>
      </c>
      <c r="Q34" s="128">
        <f>+N34*Q269</f>
        <v>152.3107488</v>
      </c>
      <c r="R34" s="139" t="s">
        <v>251</v>
      </c>
      <c r="S34" s="139">
        <v>0</v>
      </c>
      <c r="T34" s="139">
        <v>0</v>
      </c>
      <c r="U34" s="139">
        <v>0</v>
      </c>
      <c r="V34" s="139">
        <v>0</v>
      </c>
      <c r="W34" s="139">
        <f>N34</f>
        <v>152.3107488</v>
      </c>
      <c r="X34" s="139">
        <f>W34*12-0.01</f>
        <v>1827.7189856</v>
      </c>
      <c r="Y34" s="139">
        <v>0</v>
      </c>
      <c r="Z34" s="139">
        <f>X34*(100+5.6)%</f>
        <v>1930.0712487936</v>
      </c>
      <c r="AA34" s="139">
        <f>Z34*(100+7.3)%</f>
        <v>2070.9664499555329</v>
      </c>
      <c r="AB34" s="139">
        <f t="shared" si="28"/>
        <v>172.5805374962944</v>
      </c>
      <c r="AC34" s="139">
        <f t="shared" si="29"/>
        <v>217.58678399999999</v>
      </c>
      <c r="AD34" s="139">
        <f t="shared" si="21"/>
        <v>172.5805374962944</v>
      </c>
      <c r="AE34" s="139">
        <f t="shared" si="31"/>
        <v>114.51936000000001</v>
      </c>
      <c r="AF34" s="141">
        <f t="shared" si="30"/>
        <v>52.631578947368432</v>
      </c>
      <c r="AG34" s="142">
        <f t="shared" si="32"/>
        <v>90.831861840154957</v>
      </c>
      <c r="AH34" s="4"/>
    </row>
    <row r="35" spans="1:34" ht="13.35" customHeight="1" x14ac:dyDescent="0.25">
      <c r="A35" s="1" t="s">
        <v>235</v>
      </c>
      <c r="B35" s="10">
        <v>23</v>
      </c>
      <c r="C35" s="35" t="s">
        <v>144</v>
      </c>
      <c r="D35" s="36">
        <v>1</v>
      </c>
      <c r="E35" s="37">
        <v>69.099999999999994</v>
      </c>
      <c r="F35" s="128">
        <f t="shared" si="22"/>
        <v>82430.081000000006</v>
      </c>
      <c r="G35" s="128">
        <f t="shared" si="23"/>
        <v>1373.8346833333335</v>
      </c>
      <c r="H35" s="128">
        <f t="shared" si="24"/>
        <v>1236.451215</v>
      </c>
      <c r="I35" s="128">
        <v>0</v>
      </c>
      <c r="J35" s="128">
        <f t="shared" si="25"/>
        <v>2610.2858983333335</v>
      </c>
      <c r="K35" s="128">
        <f t="shared" si="27"/>
        <v>217.52382486111114</v>
      </c>
      <c r="L35" s="128"/>
      <c r="M35" s="128">
        <f t="shared" si="26"/>
        <v>2756.4619086400003</v>
      </c>
      <c r="N35" s="128">
        <f>+K35*N269</f>
        <v>152.26667740277779</v>
      </c>
      <c r="O35" s="128">
        <f>+N35*O269</f>
        <v>121.81334192222224</v>
      </c>
      <c r="P35" s="128">
        <f>+N35*P269</f>
        <v>137.04000966250001</v>
      </c>
      <c r="Q35" s="128">
        <f>+N35*Q269</f>
        <v>152.26667740277779</v>
      </c>
      <c r="R35" s="128">
        <v>1236.92</v>
      </c>
      <c r="S35" s="128">
        <f>R35*S269</f>
        <v>123.69200000000001</v>
      </c>
      <c r="T35" s="128">
        <v>0</v>
      </c>
      <c r="U35" s="128">
        <v>0</v>
      </c>
      <c r="V35" s="128">
        <v>0</v>
      </c>
      <c r="W35" s="128">
        <f>O35</f>
        <v>121.81334192222224</v>
      </c>
      <c r="X35" s="128">
        <f>W35*12-0.04</f>
        <v>1461.720103066667</v>
      </c>
      <c r="Y35" s="128">
        <f>X35*(100+10.4)%</f>
        <v>1613.7389937856005</v>
      </c>
      <c r="Z35" s="128">
        <f>Y35*(100+5.6)%</f>
        <v>1704.1083774375943</v>
      </c>
      <c r="AA35" s="128">
        <f>Z35*(100+7.3)%</f>
        <v>1828.5082889905386</v>
      </c>
      <c r="AB35" s="128">
        <f t="shared" si="28"/>
        <v>152.37569074921154</v>
      </c>
      <c r="AC35" s="128">
        <f t="shared" si="29"/>
        <v>217.52382486111114</v>
      </c>
      <c r="AD35" s="128">
        <f>S35</f>
        <v>123.69200000000001</v>
      </c>
      <c r="AE35" s="128">
        <f t="shared" si="31"/>
        <v>114.48622361111113</v>
      </c>
      <c r="AF35" s="130">
        <f t="shared" si="30"/>
        <v>52.631578947368418</v>
      </c>
      <c r="AG35" s="131">
        <f t="shared" si="32"/>
        <v>65.101052631578952</v>
      </c>
      <c r="AH35" s="4"/>
    </row>
    <row r="36" spans="1:34" x14ac:dyDescent="0.25">
      <c r="A36" s="1" t="s">
        <v>236</v>
      </c>
      <c r="B36" s="10">
        <v>24</v>
      </c>
      <c r="C36" s="35" t="s">
        <v>145</v>
      </c>
      <c r="D36" s="36">
        <v>1</v>
      </c>
      <c r="E36" s="37">
        <v>66.11</v>
      </c>
      <c r="F36" s="128">
        <f t="shared" si="22"/>
        <v>78863.280100000004</v>
      </c>
      <c r="G36" s="128">
        <f t="shared" si="23"/>
        <v>1314.3880016666667</v>
      </c>
      <c r="H36" s="128">
        <f t="shared" si="24"/>
        <v>1182.9492015000001</v>
      </c>
      <c r="I36" s="128">
        <v>0</v>
      </c>
      <c r="J36" s="128">
        <f t="shared" si="25"/>
        <v>2497.3372031666668</v>
      </c>
      <c r="K36" s="128">
        <f t="shared" si="27"/>
        <v>208.11143359722223</v>
      </c>
      <c r="L36" s="128"/>
      <c r="M36" s="128">
        <f t="shared" si="26"/>
        <v>2637.1880865440003</v>
      </c>
      <c r="N36" s="128">
        <f>+K36*N269</f>
        <v>145.67800351805556</v>
      </c>
      <c r="O36" s="128">
        <f>+N36*O269</f>
        <v>116.54240281444446</v>
      </c>
      <c r="P36" s="128">
        <f>N36*P269</f>
        <v>131.11020316625002</v>
      </c>
      <c r="Q36" s="128">
        <f>+N36*Q269</f>
        <v>145.67800351805556</v>
      </c>
      <c r="R36" s="128">
        <f>12944.83/3</f>
        <v>4314.9433333333336</v>
      </c>
      <c r="S36" s="128">
        <v>0</v>
      </c>
      <c r="T36" s="128">
        <v>0</v>
      </c>
      <c r="U36" s="128">
        <f>R36*U269</f>
        <v>1294.4829999999999</v>
      </c>
      <c r="V36" s="128">
        <v>0</v>
      </c>
      <c r="W36" s="128">
        <f>P36</f>
        <v>131.11020316625002</v>
      </c>
      <c r="X36" s="128">
        <f>W36*12</f>
        <v>1573.3224379950002</v>
      </c>
      <c r="Y36" s="128">
        <v>0</v>
      </c>
      <c r="Z36" s="128">
        <f>X36*(100+5.6)%</f>
        <v>1661.4284945227203</v>
      </c>
      <c r="AA36" s="128">
        <f>Z36*(100+7.3)%+0.01</f>
        <v>1782.7227746228787</v>
      </c>
      <c r="AB36" s="128">
        <f t="shared" si="28"/>
        <v>148.56023121857322</v>
      </c>
      <c r="AC36" s="128">
        <f t="shared" si="29"/>
        <v>208.11143359722223</v>
      </c>
      <c r="AD36" s="128">
        <f>AB36</f>
        <v>148.56023121857322</v>
      </c>
      <c r="AE36" s="128">
        <f t="shared" si="31"/>
        <v>109.53233347222222</v>
      </c>
      <c r="AF36" s="130">
        <f t="shared" si="30"/>
        <v>52.631578947368418</v>
      </c>
      <c r="AG36" s="131">
        <f>AD36*AF36%-0.02</f>
        <v>78.169595378196433</v>
      </c>
      <c r="AH36" s="4"/>
    </row>
    <row r="37" spans="1:34" x14ac:dyDescent="0.25">
      <c r="A37" s="1" t="s">
        <v>237</v>
      </c>
      <c r="B37" s="10">
        <v>25</v>
      </c>
      <c r="C37" s="35" t="s">
        <v>146</v>
      </c>
      <c r="D37" s="36">
        <v>1</v>
      </c>
      <c r="E37" s="37">
        <v>67.63</v>
      </c>
      <c r="F37" s="128">
        <f t="shared" si="22"/>
        <v>80676.503299999997</v>
      </c>
      <c r="G37" s="128">
        <f t="shared" si="23"/>
        <v>1344.6083883333333</v>
      </c>
      <c r="H37" s="128">
        <f t="shared" si="24"/>
        <v>1210.1475495</v>
      </c>
      <c r="I37" s="128">
        <v>0</v>
      </c>
      <c r="J37" s="128">
        <f t="shared" si="25"/>
        <v>2554.7559378333335</v>
      </c>
      <c r="K37" s="128">
        <f t="shared" si="27"/>
        <v>212.89632815277778</v>
      </c>
      <c r="L37" s="128"/>
      <c r="M37" s="128">
        <f t="shared" si="26"/>
        <v>2697.8222703520005</v>
      </c>
      <c r="N37" s="128">
        <f>+K37*N269</f>
        <v>149.02742970694445</v>
      </c>
      <c r="O37" s="128">
        <f>+N37*O269</f>
        <v>119.22194376555557</v>
      </c>
      <c r="P37" s="128">
        <f>+N37*P269</f>
        <v>134.12468673625</v>
      </c>
      <c r="Q37" s="128">
        <f>+N37*Q269</f>
        <v>149.02742970694445</v>
      </c>
      <c r="R37" s="128">
        <v>2854.92</v>
      </c>
      <c r="S37" s="128">
        <v>0</v>
      </c>
      <c r="T37" s="128">
        <f>R37*T269</f>
        <v>570.98400000000004</v>
      </c>
      <c r="U37" s="128">
        <v>0</v>
      </c>
      <c r="V37" s="128">
        <v>0</v>
      </c>
      <c r="W37" s="128">
        <f>P37</f>
        <v>134.12468673625</v>
      </c>
      <c r="X37" s="128">
        <f>W37*12-0.06</f>
        <v>1609.436240835</v>
      </c>
      <c r="Y37" s="128">
        <f>X37*(100+10.4)%</f>
        <v>1776.8176098818401</v>
      </c>
      <c r="Z37" s="128">
        <f>Y37*(100+5.6)%</f>
        <v>1876.3193960352232</v>
      </c>
      <c r="AA37" s="128">
        <f>Z37*(100+7.3)%</f>
        <v>2013.2907119457946</v>
      </c>
      <c r="AB37" s="128">
        <f t="shared" si="28"/>
        <v>167.77422599548288</v>
      </c>
      <c r="AC37" s="128">
        <f t="shared" si="29"/>
        <v>212.89632815277778</v>
      </c>
      <c r="AD37" s="128">
        <f>AB37</f>
        <v>167.77422599548288</v>
      </c>
      <c r="AE37" s="128">
        <f t="shared" si="31"/>
        <v>112.05069902777778</v>
      </c>
      <c r="AF37" s="130">
        <f t="shared" si="30"/>
        <v>52.631578947368418</v>
      </c>
      <c r="AG37" s="131">
        <f t="shared" si="32"/>
        <v>88.302224208148886</v>
      </c>
      <c r="AH37" s="4"/>
    </row>
    <row r="38" spans="1:34" x14ac:dyDescent="0.25">
      <c r="A38" s="121" t="s">
        <v>241</v>
      </c>
      <c r="B38" s="116">
        <v>26</v>
      </c>
      <c r="C38" s="116" t="s">
        <v>147</v>
      </c>
      <c r="D38" s="117">
        <v>1</v>
      </c>
      <c r="E38" s="118">
        <v>72.63</v>
      </c>
      <c r="F38" s="153">
        <f t="shared" si="22"/>
        <v>86641.0533</v>
      </c>
      <c r="G38" s="153">
        <f t="shared" si="23"/>
        <v>1444.0175549999999</v>
      </c>
      <c r="H38" s="153">
        <f t="shared" si="24"/>
        <v>1299.6157994999999</v>
      </c>
      <c r="I38" s="153">
        <v>0</v>
      </c>
      <c r="J38" s="153">
        <f t="shared" si="25"/>
        <v>2743.6333544999998</v>
      </c>
      <c r="K38" s="153">
        <f t="shared" si="27"/>
        <v>228.63611287499998</v>
      </c>
      <c r="L38" s="153"/>
      <c r="M38" s="153">
        <f t="shared" si="26"/>
        <v>2897.2768223519997</v>
      </c>
      <c r="N38" s="153">
        <f>+K38*N269</f>
        <v>160.04527901249998</v>
      </c>
      <c r="O38" s="153">
        <f>+N38*O269</f>
        <v>128.03622320999997</v>
      </c>
      <c r="P38" s="153">
        <f>+N38*P269</f>
        <v>144.04075111124999</v>
      </c>
      <c r="Q38" s="153">
        <f>+N38*Q269</f>
        <v>160.04527901249998</v>
      </c>
      <c r="R38" s="153">
        <v>1583.11</v>
      </c>
      <c r="S38" s="153">
        <f>R38*S269</f>
        <v>158.31100000000001</v>
      </c>
      <c r="T38" s="153">
        <v>0</v>
      </c>
      <c r="U38" s="153">
        <v>0</v>
      </c>
      <c r="V38" s="153">
        <v>0</v>
      </c>
      <c r="W38" s="153">
        <f>O38</f>
        <v>128.03622320999997</v>
      </c>
      <c r="X38" s="153">
        <f>W38*12</f>
        <v>1536.4346785199996</v>
      </c>
      <c r="Y38" s="153">
        <v>0</v>
      </c>
      <c r="Z38" s="153">
        <v>0</v>
      </c>
      <c r="AA38" s="153">
        <v>0</v>
      </c>
      <c r="AB38" s="153">
        <f>W38</f>
        <v>128.03622320999997</v>
      </c>
      <c r="AC38" s="153">
        <f t="shared" si="29"/>
        <v>228.63611287499998</v>
      </c>
      <c r="AD38" s="153">
        <f>W38</f>
        <v>128.03622320999997</v>
      </c>
      <c r="AE38" s="153">
        <f t="shared" si="31"/>
        <v>120.33479625</v>
      </c>
      <c r="AF38" s="162">
        <f t="shared" si="30"/>
        <v>52.631578947368432</v>
      </c>
      <c r="AG38" s="163">
        <f t="shared" si="32"/>
        <v>67.387485900000001</v>
      </c>
      <c r="AH38" s="4"/>
    </row>
    <row r="39" spans="1:34" x14ac:dyDescent="0.25">
      <c r="B39" s="7"/>
      <c r="C39" s="219" t="s">
        <v>77</v>
      </c>
      <c r="D39" s="219"/>
      <c r="E39" s="15">
        <f>SUM(E13:E38)</f>
        <v>2023.3199999999993</v>
      </c>
      <c r="F39" s="15">
        <f>SUM(F13:F38)</f>
        <v>3323714.7075626533</v>
      </c>
      <c r="G39" s="15">
        <f>SUM(G13:G38)</f>
        <v>55395.245126044232</v>
      </c>
      <c r="H39" s="15">
        <f>SUM(H13:H38)</f>
        <v>49855.720613439807</v>
      </c>
      <c r="I39" s="148">
        <f>+I37</f>
        <v>0</v>
      </c>
      <c r="J39" s="15">
        <f>SUM(J13:J38)</f>
        <v>105250.97573948406</v>
      </c>
      <c r="K39" s="15">
        <f>SUM(K13:K38)</f>
        <v>8770.9146449570017</v>
      </c>
      <c r="L39" s="148"/>
      <c r="M39" s="148">
        <f>SUM(M37:M37)</f>
        <v>2697.8222703520005</v>
      </c>
      <c r="N39" s="15">
        <f>SUM(N13:N38)</f>
        <v>6139.6402514699002</v>
      </c>
      <c r="O39" s="15">
        <f>SUM(O13:O38)</f>
        <v>4911.7122011759229</v>
      </c>
      <c r="P39" s="15">
        <f>SUM(P13:P38)</f>
        <v>5521.9795587266617</v>
      </c>
      <c r="Q39" s="15">
        <f>SUM(Q13:Q38)</f>
        <v>6139.6402514699002</v>
      </c>
      <c r="R39" s="148"/>
      <c r="S39" s="15">
        <f t="shared" ref="S39:AG39" si="33">SUM(S13:S38)</f>
        <v>1570</v>
      </c>
      <c r="T39" s="15">
        <f t="shared" si="33"/>
        <v>3142.732</v>
      </c>
      <c r="U39" s="15">
        <f t="shared" si="33"/>
        <v>1294.4829999999999</v>
      </c>
      <c r="V39" s="15">
        <f t="shared" si="33"/>
        <v>257.39999999999998</v>
      </c>
      <c r="W39" s="15">
        <f t="shared" si="33"/>
        <v>5378.1616613217338</v>
      </c>
      <c r="X39" s="15">
        <f t="shared" si="33"/>
        <v>64538.009935860799</v>
      </c>
      <c r="Y39" s="15">
        <f t="shared" si="33"/>
        <v>17815.374962655122</v>
      </c>
      <c r="Z39" s="15">
        <f t="shared" si="33"/>
        <v>60956.038485622856</v>
      </c>
      <c r="AA39" s="15">
        <f t="shared" si="33"/>
        <v>71492.855935941086</v>
      </c>
      <c r="AB39" s="15">
        <f t="shared" si="33"/>
        <v>6192.7242178717561</v>
      </c>
      <c r="AC39" s="15">
        <f t="shared" si="33"/>
        <v>8770.9146449570017</v>
      </c>
      <c r="AD39" s="15">
        <f t="shared" si="33"/>
        <v>4519.6645672001314</v>
      </c>
      <c r="AE39" s="15">
        <f t="shared" si="33"/>
        <v>4616.2704271703542</v>
      </c>
      <c r="AF39" s="15">
        <f t="shared" si="33"/>
        <v>1368.4209772556396</v>
      </c>
      <c r="AG39" s="15">
        <f t="shared" si="33"/>
        <v>2378.7107698177397</v>
      </c>
      <c r="AH39" s="4"/>
    </row>
    <row r="40" spans="1:34" x14ac:dyDescent="0.25">
      <c r="B40" s="4"/>
      <c r="C40" s="158"/>
      <c r="D40" s="15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4"/>
    </row>
    <row r="41" spans="1:34" ht="12.95" customHeight="1" x14ac:dyDescent="0.25">
      <c r="B41" s="4"/>
      <c r="C41" s="233"/>
      <c r="D41" s="233"/>
      <c r="E41" s="166">
        <f>588+240.32+198.13+98.2+198.3+87.96+612.41</f>
        <v>2023.3199999999997</v>
      </c>
      <c r="F41" s="166">
        <f>1559661.05+389477.01+188691.87+113634.09+236718.64+104982.02+730550.02</f>
        <v>3323714.7</v>
      </c>
      <c r="G41" s="166">
        <f>25994.36+6491.28+3144.86+1893.9+3945.31+1749.7+12175.83</f>
        <v>55395.24</v>
      </c>
      <c r="H41" s="166">
        <f>23394.92+5842.16+2830.38+1704.51+3550.78+1574.73+10958.26</f>
        <v>49855.740000000005</v>
      </c>
      <c r="I41" s="166">
        <f>0+0+0+0+0+0</f>
        <v>0</v>
      </c>
      <c r="J41" s="167">
        <f>49389.28+12333.44+5975.24+3598.41+7496.09+3324.43+23134.08</f>
        <v>105250.97</v>
      </c>
      <c r="K41" s="166">
        <f>4115.79+1027.78+497.94+299.87+624.67+277.04+1927.85</f>
        <v>8770.9399999999987</v>
      </c>
      <c r="L41" s="166"/>
      <c r="M41" s="166"/>
      <c r="N41" s="166">
        <f>2881.05+719.45+348.55+209.91+437.28+193.93+1349.5</f>
        <v>6139.67</v>
      </c>
      <c r="O41" s="166">
        <f>2304.83+575.56+278.84+167.93+349.82+155.14+1079.59</f>
        <v>4911.71</v>
      </c>
      <c r="P41" s="166">
        <f>2589.25+647.5+313.7+188.92+393.55+174.53+1214.54</f>
        <v>5521.99</v>
      </c>
      <c r="Q41" s="166">
        <f>2881.05+719.45+348.55+209.91+437.28+193.93+1349.5</f>
        <v>6139.67</v>
      </c>
      <c r="R41" s="166"/>
      <c r="S41" s="166">
        <f>463.8+250.18+144.02+189.26+133.78+0+388.95</f>
        <v>1569.99</v>
      </c>
      <c r="T41" s="166">
        <f>1433.53+622.91+0+0+0+0+1086.29</f>
        <v>3142.73</v>
      </c>
      <c r="U41" s="166">
        <f>0+0+0+0+0+0+1294.48</f>
        <v>1294.48</v>
      </c>
      <c r="V41" s="166">
        <f>0+0+0+0+0+0</f>
        <v>0</v>
      </c>
      <c r="W41" s="166">
        <f>2469.36+593.77+396.73+167.93+349.82+193.93+1206.63</f>
        <v>5378.17</v>
      </c>
      <c r="X41" s="166">
        <f>29632.32+7125.24+4760.79+2015.16+4197.84+2327.16+14479.49</f>
        <v>64538.000000000007</v>
      </c>
      <c r="Y41" s="166">
        <f>0+4155.64+3410.04+2224.74+4634.41+0+3390.56</f>
        <v>17815.39</v>
      </c>
      <c r="Z41" s="166">
        <f>31291.72+7937.66+3601+2349.33+4893.93+0+10882.4</f>
        <v>60956.040000000008</v>
      </c>
      <c r="AA41" s="166">
        <f>33576.02+8517.11+5657.92+2520.83+5251.19+2497.04+13472.76</f>
        <v>71492.87</v>
      </c>
      <c r="AB41" s="166">
        <f>2798.01+709.76+471.49+210.07+437.6+208.09+1357.71</f>
        <v>6192.7300000000005</v>
      </c>
      <c r="AC41" s="166">
        <f>4115.79+1027.78+497.94+299.87+624.67+277.04+1927.85</f>
        <v>8770.9399999999987</v>
      </c>
      <c r="AD41" s="166">
        <f>1790.66+455.21+401.42+189.26+146+208.09+1329.02</f>
        <v>4519.66</v>
      </c>
      <c r="AE41" s="166">
        <f>2166.2+540.93+262.07+157.83+328.78+145.81+1014.65</f>
        <v>4616.2699999999995</v>
      </c>
      <c r="AF41" s="166">
        <f>368.41+210.52+105.26+52.63+105.26+52.63+473.67</f>
        <v>1368.38</v>
      </c>
      <c r="AG41" s="166">
        <f>942.42+239.59+211.27+99.61+76.84+109.52+699.47</f>
        <v>2378.7199999999998</v>
      </c>
      <c r="AH41" s="4"/>
    </row>
    <row r="42" spans="1:34" x14ac:dyDescent="0.25">
      <c r="B42" s="3"/>
      <c r="C42" s="4"/>
      <c r="D42" s="5" t="s">
        <v>42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x14ac:dyDescent="0.25">
      <c r="B43" s="3"/>
      <c r="C43" s="4"/>
      <c r="D43" s="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23.75" customHeight="1" x14ac:dyDescent="0.25">
      <c r="B44" s="215" t="s">
        <v>1</v>
      </c>
      <c r="C44" s="217" t="s">
        <v>56</v>
      </c>
      <c r="D44" s="209" t="s">
        <v>3</v>
      </c>
      <c r="E44" s="209" t="s">
        <v>4</v>
      </c>
      <c r="F44" s="209" t="s">
        <v>5</v>
      </c>
      <c r="G44" s="209" t="s">
        <v>6</v>
      </c>
      <c r="H44" s="209" t="s">
        <v>7</v>
      </c>
      <c r="I44" s="209" t="s">
        <v>8</v>
      </c>
      <c r="J44" s="209" t="s">
        <v>9</v>
      </c>
      <c r="K44" s="209" t="s">
        <v>57</v>
      </c>
      <c r="L44" s="22" t="s">
        <v>10</v>
      </c>
      <c r="M44" s="22" t="s">
        <v>10</v>
      </c>
      <c r="N44" s="22" t="s">
        <v>12</v>
      </c>
      <c r="O44" s="211" t="s">
        <v>13</v>
      </c>
      <c r="P44" s="212"/>
      <c r="Q44" s="213"/>
      <c r="R44" s="209" t="s">
        <v>14</v>
      </c>
      <c r="S44" s="225" t="s">
        <v>58</v>
      </c>
      <c r="T44" s="226"/>
      <c r="U44" s="226"/>
      <c r="V44" s="227"/>
      <c r="W44" s="207" t="s">
        <v>21</v>
      </c>
      <c r="X44" s="209" t="s">
        <v>9</v>
      </c>
      <c r="Y44" s="22" t="s">
        <v>242</v>
      </c>
      <c r="Z44" s="22" t="s">
        <v>243</v>
      </c>
      <c r="AA44" s="22" t="s">
        <v>156</v>
      </c>
      <c r="AB44" s="207" t="s">
        <v>59</v>
      </c>
      <c r="AC44" s="228" t="s">
        <v>18</v>
      </c>
      <c r="AD44" s="229"/>
      <c r="AE44" s="229"/>
      <c r="AF44" s="229"/>
      <c r="AG44" s="205" t="s">
        <v>19</v>
      </c>
      <c r="AH44" s="4"/>
    </row>
    <row r="45" spans="1:34" ht="42" customHeight="1" x14ac:dyDescent="0.25">
      <c r="B45" s="216"/>
      <c r="C45" s="218"/>
      <c r="D45" s="210"/>
      <c r="E45" s="210"/>
      <c r="F45" s="210"/>
      <c r="G45" s="210"/>
      <c r="H45" s="210"/>
      <c r="I45" s="210"/>
      <c r="J45" s="210"/>
      <c r="K45" s="210"/>
      <c r="L45" s="22">
        <v>5.6</v>
      </c>
      <c r="M45" s="22">
        <v>5.6</v>
      </c>
      <c r="N45" s="22">
        <v>0.7</v>
      </c>
      <c r="O45" s="23">
        <v>0.8</v>
      </c>
      <c r="P45" s="24">
        <v>0.9</v>
      </c>
      <c r="Q45" s="28">
        <v>1</v>
      </c>
      <c r="R45" s="210"/>
      <c r="S45" s="29">
        <v>0.1</v>
      </c>
      <c r="T45" s="30">
        <v>0.2</v>
      </c>
      <c r="U45" s="30">
        <v>0.3</v>
      </c>
      <c r="V45" s="30">
        <v>0.1</v>
      </c>
      <c r="W45" s="208"/>
      <c r="X45" s="210"/>
      <c r="Y45" s="22">
        <v>10.4</v>
      </c>
      <c r="Z45" s="22">
        <v>5.6</v>
      </c>
      <c r="AA45" s="22">
        <v>7.3</v>
      </c>
      <c r="AB45" s="208"/>
      <c r="AC45" s="33" t="s">
        <v>20</v>
      </c>
      <c r="AD45" s="33" t="s">
        <v>21</v>
      </c>
      <c r="AE45" s="33" t="s">
        <v>22</v>
      </c>
      <c r="AF45" s="33" t="s">
        <v>23</v>
      </c>
      <c r="AG45" s="206"/>
      <c r="AH45" s="4"/>
    </row>
    <row r="46" spans="1:34" x14ac:dyDescent="0.25">
      <c r="B46" s="7"/>
      <c r="C46" s="8"/>
      <c r="D46" s="9">
        <v>0</v>
      </c>
      <c r="E46" s="9">
        <v>1</v>
      </c>
      <c r="F46" s="9">
        <v>2</v>
      </c>
      <c r="G46" s="9" t="s">
        <v>24</v>
      </c>
      <c r="H46" s="9" t="s">
        <v>25</v>
      </c>
      <c r="I46" s="9" t="s">
        <v>26</v>
      </c>
      <c r="J46" s="9" t="s">
        <v>27</v>
      </c>
      <c r="K46" s="25" t="s">
        <v>60</v>
      </c>
      <c r="L46" s="9" t="s">
        <v>61</v>
      </c>
      <c r="M46" s="9" t="s">
        <v>61</v>
      </c>
      <c r="N46" s="9" t="s">
        <v>62</v>
      </c>
      <c r="O46" s="9" t="s">
        <v>63</v>
      </c>
      <c r="P46" s="9" t="s">
        <v>63</v>
      </c>
      <c r="Q46" s="9" t="s">
        <v>63</v>
      </c>
      <c r="R46" s="9">
        <v>9</v>
      </c>
      <c r="S46" s="31" t="s">
        <v>161</v>
      </c>
      <c r="T46" s="31" t="s">
        <v>162</v>
      </c>
      <c r="U46" s="31" t="s">
        <v>163</v>
      </c>
      <c r="V46" s="31" t="s">
        <v>164</v>
      </c>
      <c r="W46" s="31" t="s">
        <v>64</v>
      </c>
      <c r="X46" s="9" t="s">
        <v>65</v>
      </c>
      <c r="Y46" s="9" t="s">
        <v>66</v>
      </c>
      <c r="Z46" s="9" t="s">
        <v>67</v>
      </c>
      <c r="AA46" s="9" t="s">
        <v>246</v>
      </c>
      <c r="AB46" s="9" t="s">
        <v>240</v>
      </c>
      <c r="AC46" s="9">
        <v>16</v>
      </c>
      <c r="AD46" s="31" t="s">
        <v>158</v>
      </c>
      <c r="AE46" s="31" t="s">
        <v>159</v>
      </c>
      <c r="AF46" s="31" t="s">
        <v>160</v>
      </c>
      <c r="AG46" s="9">
        <v>17</v>
      </c>
      <c r="AH46" s="4"/>
    </row>
    <row r="47" spans="1:34" ht="13.15" customHeight="1" x14ac:dyDescent="0.25">
      <c r="A47" s="1" t="s">
        <v>172</v>
      </c>
      <c r="B47" s="10">
        <v>1</v>
      </c>
      <c r="C47" s="36" t="s">
        <v>78</v>
      </c>
      <c r="D47" s="36">
        <v>2</v>
      </c>
      <c r="E47" s="168">
        <v>76.97</v>
      </c>
      <c r="F47" s="128">
        <f>E47*2652.48+0.4025</f>
        <v>204161.78810000001</v>
      </c>
      <c r="G47" s="128">
        <f>F47/60</f>
        <v>3402.6964683333335</v>
      </c>
      <c r="H47" s="128">
        <f>F47*1.5%</f>
        <v>3062.4268215000002</v>
      </c>
      <c r="I47" s="128">
        <f>F47*0.5%</f>
        <v>1020.8089405000001</v>
      </c>
      <c r="J47" s="128">
        <f>G47+H47+I47</f>
        <v>7485.9322303333338</v>
      </c>
      <c r="K47" s="128">
        <f>+J47/12</f>
        <v>623.82768586111115</v>
      </c>
      <c r="L47" s="128"/>
      <c r="M47" s="128">
        <f>+J47*(100%*5.65%)</f>
        <v>422.95517101383336</v>
      </c>
      <c r="N47" s="128">
        <f>+K47*N45</f>
        <v>436.67938010277777</v>
      </c>
      <c r="O47" s="128">
        <f>+N47*O45</f>
        <v>349.34350408222224</v>
      </c>
      <c r="P47" s="128">
        <f>+N47*P45</f>
        <v>393.01144209249998</v>
      </c>
      <c r="Q47" s="128">
        <f>+N47*Q45</f>
        <v>436.67938010277777</v>
      </c>
      <c r="R47" s="128">
        <v>944.46</v>
      </c>
      <c r="S47" s="128">
        <f>R47*S45</f>
        <v>94.446000000000012</v>
      </c>
      <c r="T47" s="128">
        <v>0</v>
      </c>
      <c r="U47" s="128">
        <v>0</v>
      </c>
      <c r="V47" s="128">
        <v>0</v>
      </c>
      <c r="W47" s="128">
        <f>O47</f>
        <v>349.34350408222224</v>
      </c>
      <c r="X47" s="128">
        <f>W47*12-0.04</f>
        <v>4192.0820489866665</v>
      </c>
      <c r="Y47" s="128">
        <v>0</v>
      </c>
      <c r="Z47" s="128">
        <f t="shared" ref="Z47:Z53" si="34">X47*(100+5.6)%</f>
        <v>4426.8386437299196</v>
      </c>
      <c r="AA47" s="128">
        <f>Z47*(100+7.3)%</f>
        <v>4749.9978647222033</v>
      </c>
      <c r="AB47" s="128">
        <f t="shared" ref="AB47:AB55" si="35">AA47/12</f>
        <v>395.83315539351696</v>
      </c>
      <c r="AC47" s="128">
        <f>K47</f>
        <v>623.82768586111115</v>
      </c>
      <c r="AD47" s="128">
        <f>S47</f>
        <v>94.446000000000012</v>
      </c>
      <c r="AE47" s="128">
        <f t="shared" ref="AE47:AE55" si="36">G47/12</f>
        <v>283.5580390277778</v>
      </c>
      <c r="AF47" s="130">
        <f>AE47/AC47*100</f>
        <v>45.454545454545453</v>
      </c>
      <c r="AG47" s="131">
        <f>AD47*AF47%</f>
        <v>42.930000000000007</v>
      </c>
      <c r="AH47" s="4"/>
    </row>
    <row r="48" spans="1:34" ht="12" customHeight="1" x14ac:dyDescent="0.25">
      <c r="A48" s="1" t="s">
        <v>173</v>
      </c>
      <c r="B48" s="10">
        <v>2</v>
      </c>
      <c r="C48" s="36" t="s">
        <v>79</v>
      </c>
      <c r="D48" s="36">
        <v>2</v>
      </c>
      <c r="E48" s="168">
        <v>77.83</v>
      </c>
      <c r="F48" s="128">
        <f>E48*2652.48+0.4025+0.01</f>
        <v>206442.93090000001</v>
      </c>
      <c r="G48" s="128">
        <f t="shared" ref="G48:G55" si="37">F48/60</f>
        <v>3440.7155150000003</v>
      </c>
      <c r="H48" s="128">
        <f t="shared" ref="H48:H55" si="38">F48*1.5%</f>
        <v>3096.6439635000002</v>
      </c>
      <c r="I48" s="128">
        <f t="shared" ref="I48:I55" si="39">F48*0.5%</f>
        <v>1032.2146545000001</v>
      </c>
      <c r="J48" s="128">
        <f t="shared" ref="J48:J55" si="40">G48+H48+I48</f>
        <v>7569.5741330000001</v>
      </c>
      <c r="K48" s="128">
        <f t="shared" ref="K48:K55" si="41">+J48/12</f>
        <v>630.79784441666663</v>
      </c>
      <c r="L48" s="128"/>
      <c r="M48" s="128">
        <f t="shared" ref="M48:M55" si="42">+J48*(100%*5.65%)</f>
        <v>427.68093851450004</v>
      </c>
      <c r="N48" s="128">
        <f>+K48*N45</f>
        <v>441.55849109166661</v>
      </c>
      <c r="O48" s="128">
        <f>+N48*O45</f>
        <v>353.24679287333333</v>
      </c>
      <c r="P48" s="128">
        <f>+N48*P45</f>
        <v>397.40264198249997</v>
      </c>
      <c r="Q48" s="128">
        <f>+N48*Q45</f>
        <v>441.55849109166661</v>
      </c>
      <c r="R48" s="145" t="s">
        <v>245</v>
      </c>
      <c r="S48" s="145">
        <v>0</v>
      </c>
      <c r="T48" s="145">
        <v>0</v>
      </c>
      <c r="U48" s="145">
        <v>0</v>
      </c>
      <c r="V48" s="145">
        <v>257.39999999999998</v>
      </c>
      <c r="W48" s="145">
        <v>257.39999999999998</v>
      </c>
      <c r="X48" s="145">
        <f>W48*12</f>
        <v>3088.7999999999997</v>
      </c>
      <c r="Y48" s="145">
        <v>0</v>
      </c>
      <c r="Z48" s="145">
        <f t="shared" si="34"/>
        <v>3261.7727999999997</v>
      </c>
      <c r="AA48" s="145">
        <f>Z48*(100+7.3)%</f>
        <v>3499.8822143999996</v>
      </c>
      <c r="AB48" s="145">
        <f t="shared" si="35"/>
        <v>291.65685119999995</v>
      </c>
      <c r="AC48" s="145">
        <f>K48</f>
        <v>630.79784441666663</v>
      </c>
      <c r="AD48" s="145">
        <f>W48</f>
        <v>257.39999999999998</v>
      </c>
      <c r="AE48" s="145">
        <f t="shared" si="36"/>
        <v>286.72629291666669</v>
      </c>
      <c r="AF48" s="146">
        <f t="shared" ref="AF48:AF55" si="43">AE48/AC48*100</f>
        <v>45.45454545454546</v>
      </c>
      <c r="AG48" s="147">
        <f>AD48*AF48%-0.01</f>
        <v>116.99</v>
      </c>
      <c r="AH48" s="4"/>
    </row>
    <row r="49" spans="1:34" ht="12" customHeight="1" x14ac:dyDescent="0.25">
      <c r="A49" s="1" t="s">
        <v>174</v>
      </c>
      <c r="B49" s="10">
        <v>3</v>
      </c>
      <c r="C49" s="36" t="s">
        <v>80</v>
      </c>
      <c r="D49" s="36">
        <v>2</v>
      </c>
      <c r="E49" s="168">
        <v>76.97</v>
      </c>
      <c r="F49" s="128">
        <f>E49*2652.48+0.4025+0.01</f>
        <v>204161.79810000001</v>
      </c>
      <c r="G49" s="128">
        <f t="shared" si="37"/>
        <v>3402.6966350000002</v>
      </c>
      <c r="H49" s="128">
        <f t="shared" si="38"/>
        <v>3062.4269715</v>
      </c>
      <c r="I49" s="128">
        <f t="shared" si="39"/>
        <v>1020.8089905</v>
      </c>
      <c r="J49" s="128">
        <f t="shared" si="40"/>
        <v>7485.932597</v>
      </c>
      <c r="K49" s="128">
        <f t="shared" si="41"/>
        <v>623.8277164166667</v>
      </c>
      <c r="L49" s="128"/>
      <c r="M49" s="128">
        <f t="shared" si="42"/>
        <v>422.95519173050002</v>
      </c>
      <c r="N49" s="128">
        <f>+K49*N45</f>
        <v>436.67940149166668</v>
      </c>
      <c r="O49" s="128">
        <f>+N49*O45</f>
        <v>349.34352119333334</v>
      </c>
      <c r="P49" s="128">
        <f>+N49*P45</f>
        <v>393.01146134250001</v>
      </c>
      <c r="Q49" s="128">
        <f>+N49*Q45</f>
        <v>436.67940149166668</v>
      </c>
      <c r="R49" s="128">
        <v>977.47</v>
      </c>
      <c r="S49" s="128">
        <f>R49*S45</f>
        <v>97.747000000000014</v>
      </c>
      <c r="T49" s="128">
        <v>0</v>
      </c>
      <c r="U49" s="128">
        <v>0</v>
      </c>
      <c r="V49" s="128">
        <v>0</v>
      </c>
      <c r="W49" s="128">
        <f t="shared" ref="W49:W55" si="44">O49</f>
        <v>349.34352119333334</v>
      </c>
      <c r="X49" s="128">
        <f>W49*12-0.04</f>
        <v>4192.0822543200002</v>
      </c>
      <c r="Y49" s="128">
        <v>0</v>
      </c>
      <c r="Z49" s="128">
        <f t="shared" si="34"/>
        <v>4426.8388605619202</v>
      </c>
      <c r="AA49" s="128">
        <f>Z49*(100+7.3)%</f>
        <v>4749.9980973829406</v>
      </c>
      <c r="AB49" s="128">
        <f t="shared" si="35"/>
        <v>395.83317478191174</v>
      </c>
      <c r="AC49" s="128">
        <f>+K49</f>
        <v>623.8277164166667</v>
      </c>
      <c r="AD49" s="128">
        <v>97.75</v>
      </c>
      <c r="AE49" s="128">
        <f t="shared" si="36"/>
        <v>283.55805291666667</v>
      </c>
      <c r="AF49" s="130">
        <f t="shared" si="43"/>
        <v>45.454545454545453</v>
      </c>
      <c r="AG49" s="131">
        <f>AD49*AF49%</f>
        <v>44.43181818181818</v>
      </c>
      <c r="AH49" s="4"/>
    </row>
    <row r="50" spans="1:34" ht="12" customHeight="1" x14ac:dyDescent="0.25">
      <c r="A50" s="1" t="s">
        <v>175</v>
      </c>
      <c r="B50" s="10">
        <v>4</v>
      </c>
      <c r="C50" s="36" t="s">
        <v>81</v>
      </c>
      <c r="D50" s="36">
        <v>2</v>
      </c>
      <c r="E50" s="168">
        <v>76.83</v>
      </c>
      <c r="F50" s="128">
        <f t="shared" ref="F50:F55" si="45">E50*2652.48+0.4025</f>
        <v>203790.44089999999</v>
      </c>
      <c r="G50" s="128">
        <f t="shared" si="37"/>
        <v>3396.5073483333331</v>
      </c>
      <c r="H50" s="128">
        <f t="shared" si="38"/>
        <v>3056.8566134999996</v>
      </c>
      <c r="I50" s="128">
        <f t="shared" si="39"/>
        <v>1018.9522045</v>
      </c>
      <c r="J50" s="128">
        <f t="shared" si="40"/>
        <v>7472.3161663333331</v>
      </c>
      <c r="K50" s="128">
        <f t="shared" si="41"/>
        <v>622.69301386111113</v>
      </c>
      <c r="L50" s="128"/>
      <c r="M50" s="128">
        <f t="shared" si="42"/>
        <v>422.18586339783332</v>
      </c>
      <c r="N50" s="128">
        <f>+K50*N45</f>
        <v>435.88510970277775</v>
      </c>
      <c r="O50" s="128">
        <f>+N50*O45</f>
        <v>348.70808776222225</v>
      </c>
      <c r="P50" s="128">
        <f>+N50*P45</f>
        <v>392.2965987325</v>
      </c>
      <c r="Q50" s="128">
        <f>+N50*Q45</f>
        <v>435.88510970277775</v>
      </c>
      <c r="R50" s="128">
        <v>776.76</v>
      </c>
      <c r="S50" s="128">
        <f>R50*S45</f>
        <v>77.676000000000002</v>
      </c>
      <c r="T50" s="128">
        <v>0</v>
      </c>
      <c r="U50" s="128">
        <v>0</v>
      </c>
      <c r="V50" s="128">
        <v>0</v>
      </c>
      <c r="W50" s="128">
        <f t="shared" si="44"/>
        <v>348.70808776222225</v>
      </c>
      <c r="X50" s="128">
        <f>W50*12+0.02</f>
        <v>4184.5170531466674</v>
      </c>
      <c r="Y50" s="128">
        <v>0</v>
      </c>
      <c r="Z50" s="128">
        <f t="shared" si="34"/>
        <v>4418.8500081228813</v>
      </c>
      <c r="AA50" s="128">
        <f>Z50*(100+7.3)%</f>
        <v>4741.4260587158515</v>
      </c>
      <c r="AB50" s="128">
        <f t="shared" si="35"/>
        <v>395.11883822632097</v>
      </c>
      <c r="AC50" s="128">
        <f t="shared" ref="AC50:AC55" si="46">K50</f>
        <v>622.69301386111113</v>
      </c>
      <c r="AD50" s="128">
        <v>85</v>
      </c>
      <c r="AE50" s="128">
        <f t="shared" si="36"/>
        <v>283.04227902777774</v>
      </c>
      <c r="AF50" s="130">
        <f t="shared" si="43"/>
        <v>45.454545454545446</v>
      </c>
      <c r="AG50" s="131">
        <f>AD50*AF50%-0.01</f>
        <v>38.626363636363635</v>
      </c>
      <c r="AH50" s="4"/>
    </row>
    <row r="51" spans="1:34" ht="12" customHeight="1" x14ac:dyDescent="0.25">
      <c r="A51" s="1" t="s">
        <v>176</v>
      </c>
      <c r="B51" s="10">
        <v>5</v>
      </c>
      <c r="C51" s="113" t="s">
        <v>68</v>
      </c>
      <c r="D51" s="36">
        <v>2</v>
      </c>
      <c r="E51" s="169">
        <v>83.9</v>
      </c>
      <c r="F51" s="128">
        <f t="shared" si="45"/>
        <v>222543.47450000001</v>
      </c>
      <c r="G51" s="128">
        <f t="shared" si="37"/>
        <v>3709.0579083333337</v>
      </c>
      <c r="H51" s="128">
        <f t="shared" si="38"/>
        <v>3338.1521175000003</v>
      </c>
      <c r="I51" s="128">
        <f t="shared" si="39"/>
        <v>1112.7173725</v>
      </c>
      <c r="J51" s="128">
        <f t="shared" si="40"/>
        <v>8159.9273983333342</v>
      </c>
      <c r="K51" s="128">
        <f t="shared" si="41"/>
        <v>679.99394986111122</v>
      </c>
      <c r="L51" s="128"/>
      <c r="M51" s="128"/>
      <c r="N51" s="128">
        <f>K51*N45</f>
        <v>475.99576490277781</v>
      </c>
      <c r="O51" s="128">
        <f>N51*O45</f>
        <v>380.79661192222227</v>
      </c>
      <c r="P51" s="128">
        <f>N51*P45</f>
        <v>428.39618841250001</v>
      </c>
      <c r="Q51" s="128">
        <f>N51*Q45</f>
        <v>475.99576490277781</v>
      </c>
      <c r="R51" s="128">
        <v>1358.25</v>
      </c>
      <c r="S51" s="128">
        <f>R51*S45</f>
        <v>135.82500000000002</v>
      </c>
      <c r="T51" s="128">
        <v>0</v>
      </c>
      <c r="U51" s="128">
        <v>0</v>
      </c>
      <c r="V51" s="128">
        <v>0</v>
      </c>
      <c r="W51" s="128">
        <f t="shared" si="44"/>
        <v>380.79661192222227</v>
      </c>
      <c r="X51" s="128">
        <f>W51*12+0.04</f>
        <v>4569.5993430666667</v>
      </c>
      <c r="Y51" s="128">
        <v>0</v>
      </c>
      <c r="Z51" s="128">
        <f t="shared" si="34"/>
        <v>4825.4969062784003</v>
      </c>
      <c r="AA51" s="128">
        <f>Z51*(100+7.3)%</f>
        <v>5177.7581804367237</v>
      </c>
      <c r="AB51" s="128">
        <f t="shared" si="35"/>
        <v>431.47984836972699</v>
      </c>
      <c r="AC51" s="128">
        <f t="shared" si="46"/>
        <v>679.99394986111122</v>
      </c>
      <c r="AD51" s="128">
        <v>135.83000000000001</v>
      </c>
      <c r="AE51" s="128">
        <f t="shared" si="36"/>
        <v>309.08815902777781</v>
      </c>
      <c r="AF51" s="130">
        <f>AE51/AC51*100</f>
        <v>45.454545454545453</v>
      </c>
      <c r="AG51" s="131">
        <f>AD51*AF51%-0.01</f>
        <v>61.730909090909094</v>
      </c>
      <c r="AH51" s="4"/>
    </row>
    <row r="52" spans="1:34" ht="12" customHeight="1" x14ac:dyDescent="0.25">
      <c r="A52" s="1" t="s">
        <v>177</v>
      </c>
      <c r="B52" s="10">
        <v>6</v>
      </c>
      <c r="C52" s="35" t="s">
        <v>82</v>
      </c>
      <c r="D52" s="36">
        <v>2</v>
      </c>
      <c r="E52" s="168">
        <v>82.98</v>
      </c>
      <c r="F52" s="128">
        <f t="shared" si="45"/>
        <v>220103.19289999999</v>
      </c>
      <c r="G52" s="128">
        <f t="shared" si="37"/>
        <v>3668.3865483333334</v>
      </c>
      <c r="H52" s="128">
        <f t="shared" si="38"/>
        <v>3301.5478934999996</v>
      </c>
      <c r="I52" s="128">
        <f t="shared" si="39"/>
        <v>1100.5159645000001</v>
      </c>
      <c r="J52" s="128">
        <f t="shared" si="40"/>
        <v>8070.4504063333334</v>
      </c>
      <c r="K52" s="128">
        <f t="shared" si="41"/>
        <v>672.53753386111111</v>
      </c>
      <c r="L52" s="128"/>
      <c r="M52" s="128">
        <f t="shared" si="42"/>
        <v>455.98044795783335</v>
      </c>
      <c r="N52" s="128">
        <v>466.1</v>
      </c>
      <c r="O52" s="128">
        <f>+N52*O45</f>
        <v>372.88000000000005</v>
      </c>
      <c r="P52" s="128">
        <f>+N52*P45</f>
        <v>419.49</v>
      </c>
      <c r="Q52" s="128">
        <f>+N52*Q45</f>
        <v>466.1</v>
      </c>
      <c r="R52" s="128">
        <v>2486.2800000000002</v>
      </c>
      <c r="S52" s="128">
        <f>R52*S45</f>
        <v>248.62800000000004</v>
      </c>
      <c r="T52" s="128">
        <v>0</v>
      </c>
      <c r="U52" s="128">
        <v>0</v>
      </c>
      <c r="V52" s="128">
        <v>0</v>
      </c>
      <c r="W52" s="128">
        <f t="shared" si="44"/>
        <v>372.88000000000005</v>
      </c>
      <c r="X52" s="128">
        <f>W52*12</f>
        <v>4474.5600000000004</v>
      </c>
      <c r="Y52" s="128">
        <v>0</v>
      </c>
      <c r="Z52" s="128">
        <f t="shared" si="34"/>
        <v>4725.1353600000002</v>
      </c>
      <c r="AA52" s="128">
        <f>Z52*(100+7.3)%+0.01</f>
        <v>5070.0802412800003</v>
      </c>
      <c r="AB52" s="128">
        <f t="shared" si="35"/>
        <v>422.50668677333334</v>
      </c>
      <c r="AC52" s="128">
        <f>K52</f>
        <v>672.53753386111111</v>
      </c>
      <c r="AD52" s="128">
        <f>S52</f>
        <v>248.62800000000004</v>
      </c>
      <c r="AE52" s="128">
        <f t="shared" si="36"/>
        <v>305.69887902777776</v>
      </c>
      <c r="AF52" s="130">
        <f>AE52/AC52*100</f>
        <v>45.454545454545453</v>
      </c>
      <c r="AG52" s="131">
        <f>AD52*AF52%-0.01</f>
        <v>113.00272727272728</v>
      </c>
      <c r="AH52" s="4"/>
    </row>
    <row r="53" spans="1:34" ht="12" customHeight="1" x14ac:dyDescent="0.25">
      <c r="A53" s="1" t="s">
        <v>178</v>
      </c>
      <c r="B53" s="10">
        <v>7</v>
      </c>
      <c r="C53" s="113" t="s">
        <v>71</v>
      </c>
      <c r="D53" s="36">
        <v>2</v>
      </c>
      <c r="E53" s="169">
        <v>84.43</v>
      </c>
      <c r="F53" s="128">
        <f t="shared" si="45"/>
        <v>223949.28890000001</v>
      </c>
      <c r="G53" s="128">
        <f t="shared" si="37"/>
        <v>3732.4881483333334</v>
      </c>
      <c r="H53" s="128">
        <f t="shared" si="38"/>
        <v>3359.2393335000002</v>
      </c>
      <c r="I53" s="128">
        <f t="shared" si="39"/>
        <v>1119.7464445000001</v>
      </c>
      <c r="J53" s="128">
        <f t="shared" si="40"/>
        <v>8211.473926333334</v>
      </c>
      <c r="K53" s="128">
        <f t="shared" si="41"/>
        <v>684.28949386111117</v>
      </c>
      <c r="L53" s="128"/>
      <c r="M53" s="128"/>
      <c r="N53" s="128">
        <f>K53*N45</f>
        <v>479.00264570277778</v>
      </c>
      <c r="O53" s="128">
        <f>N53*O45</f>
        <v>383.20211656222227</v>
      </c>
      <c r="P53" s="128">
        <f>N53*P45</f>
        <v>431.1023811325</v>
      </c>
      <c r="Q53" s="128">
        <f>N53*Q45</f>
        <v>479.00264570277778</v>
      </c>
      <c r="R53" s="128">
        <v>459.28</v>
      </c>
      <c r="S53" s="128">
        <f>R53*S45</f>
        <v>45.927999999999997</v>
      </c>
      <c r="T53" s="128">
        <v>0</v>
      </c>
      <c r="U53" s="128">
        <v>0</v>
      </c>
      <c r="V53" s="128">
        <v>0</v>
      </c>
      <c r="W53" s="128">
        <f t="shared" si="44"/>
        <v>383.20211656222227</v>
      </c>
      <c r="X53" s="128">
        <f>W53*12-0.03</f>
        <v>4598.3953987466675</v>
      </c>
      <c r="Y53" s="128">
        <v>0</v>
      </c>
      <c r="Z53" s="128">
        <f t="shared" si="34"/>
        <v>4855.9055410764813</v>
      </c>
      <c r="AA53" s="128">
        <f>Z53*(100+7.3)%</f>
        <v>5210.386645575064</v>
      </c>
      <c r="AB53" s="128">
        <f t="shared" si="35"/>
        <v>434.19888713125533</v>
      </c>
      <c r="AC53" s="128">
        <f t="shared" si="46"/>
        <v>684.28949386111117</v>
      </c>
      <c r="AD53" s="128">
        <v>85</v>
      </c>
      <c r="AE53" s="128">
        <f t="shared" si="36"/>
        <v>311.0406790277778</v>
      </c>
      <c r="AF53" s="130">
        <f t="shared" si="43"/>
        <v>45.454545454545453</v>
      </c>
      <c r="AG53" s="131">
        <f>AD53*AF53%-0.01</f>
        <v>38.626363636363635</v>
      </c>
      <c r="AH53" s="4"/>
    </row>
    <row r="54" spans="1:34" ht="12" customHeight="1" x14ac:dyDescent="0.25">
      <c r="A54" s="1" t="s">
        <v>179</v>
      </c>
      <c r="B54" s="10">
        <v>8</v>
      </c>
      <c r="C54" s="36" t="s">
        <v>83</v>
      </c>
      <c r="D54" s="36">
        <v>2</v>
      </c>
      <c r="E54" s="168">
        <v>84.54</v>
      </c>
      <c r="F54" s="128">
        <f t="shared" si="45"/>
        <v>224241.06170000002</v>
      </c>
      <c r="G54" s="128">
        <f t="shared" si="37"/>
        <v>3737.3510283333335</v>
      </c>
      <c r="H54" s="128">
        <f t="shared" si="38"/>
        <v>3363.6159255000002</v>
      </c>
      <c r="I54" s="128">
        <f t="shared" si="39"/>
        <v>1121.2053085000002</v>
      </c>
      <c r="J54" s="128">
        <f t="shared" si="40"/>
        <v>8222.1722623333335</v>
      </c>
      <c r="K54" s="128">
        <f t="shared" si="41"/>
        <v>685.18102186111116</v>
      </c>
      <c r="L54" s="128"/>
      <c r="M54" s="128">
        <f t="shared" si="42"/>
        <v>464.55273282183333</v>
      </c>
      <c r="N54" s="128">
        <f>+K54*N45</f>
        <v>479.62671530277777</v>
      </c>
      <c r="O54" s="128">
        <f>+N54*O45</f>
        <v>383.70137224222225</v>
      </c>
      <c r="P54" s="128">
        <f>+N54*P45</f>
        <v>431.66404377250001</v>
      </c>
      <c r="Q54" s="128">
        <f>+N54*Q45</f>
        <v>479.62671530277777</v>
      </c>
      <c r="R54" s="128">
        <v>1120.31</v>
      </c>
      <c r="S54" s="128">
        <f>R54*S45</f>
        <v>112.03100000000001</v>
      </c>
      <c r="T54" s="128">
        <v>0</v>
      </c>
      <c r="U54" s="128">
        <v>0</v>
      </c>
      <c r="V54" s="128">
        <v>0</v>
      </c>
      <c r="W54" s="128">
        <f t="shared" si="44"/>
        <v>383.70137224222225</v>
      </c>
      <c r="X54" s="128">
        <f>W54*12-0.02</f>
        <v>4604.3964669066663</v>
      </c>
      <c r="Y54" s="128">
        <v>0</v>
      </c>
      <c r="Z54" s="128">
        <f>X54*(100+5.6)%+0.01</f>
        <v>4862.2526690534405</v>
      </c>
      <c r="AA54" s="128">
        <f>Z54*(100+7.3)%-0.01</f>
        <v>5217.1871138943416</v>
      </c>
      <c r="AB54" s="128">
        <f t="shared" si="35"/>
        <v>434.76559282452848</v>
      </c>
      <c r="AC54" s="128">
        <f t="shared" si="46"/>
        <v>685.18102186111116</v>
      </c>
      <c r="AD54" s="128">
        <f>S54</f>
        <v>112.03100000000001</v>
      </c>
      <c r="AE54" s="128">
        <f t="shared" si="36"/>
        <v>311.44591902777779</v>
      </c>
      <c r="AF54" s="130">
        <f t="shared" si="43"/>
        <v>45.454545454545453</v>
      </c>
      <c r="AG54" s="131">
        <f>AD54*AF54%</f>
        <v>50.923181818181817</v>
      </c>
      <c r="AH54" s="4"/>
    </row>
    <row r="55" spans="1:34" ht="12" customHeight="1" x14ac:dyDescent="0.25">
      <c r="A55" s="1" t="s">
        <v>180</v>
      </c>
      <c r="B55" s="10">
        <v>9</v>
      </c>
      <c r="C55" s="36" t="s">
        <v>84</v>
      </c>
      <c r="D55" s="36">
        <v>2</v>
      </c>
      <c r="E55" s="168">
        <v>84.55</v>
      </c>
      <c r="F55" s="128">
        <f t="shared" si="45"/>
        <v>224267.5865</v>
      </c>
      <c r="G55" s="128">
        <f t="shared" si="37"/>
        <v>3737.7931083333333</v>
      </c>
      <c r="H55" s="128">
        <f t="shared" si="38"/>
        <v>3364.0137974999998</v>
      </c>
      <c r="I55" s="128">
        <f t="shared" si="39"/>
        <v>1121.3379325000001</v>
      </c>
      <c r="J55" s="128">
        <f t="shared" si="40"/>
        <v>8223.1448383333336</v>
      </c>
      <c r="K55" s="128">
        <f t="shared" si="41"/>
        <v>685.26206986111117</v>
      </c>
      <c r="L55" s="128"/>
      <c r="M55" s="128">
        <f t="shared" si="42"/>
        <v>464.60768336583334</v>
      </c>
      <c r="N55" s="128">
        <f>+K55*N45</f>
        <v>479.6834489027778</v>
      </c>
      <c r="O55" s="128">
        <f>+N55*O45</f>
        <v>383.74675912222227</v>
      </c>
      <c r="P55" s="128">
        <f>+N55*P45</f>
        <v>431.71510401250003</v>
      </c>
      <c r="Q55" s="128">
        <f>+N55*Q45</f>
        <v>479.6834489027778</v>
      </c>
      <c r="R55" s="128">
        <v>1038.78</v>
      </c>
      <c r="S55" s="128">
        <f>R55*S45</f>
        <v>103.878</v>
      </c>
      <c r="T55" s="128">
        <v>0</v>
      </c>
      <c r="U55" s="128">
        <v>0</v>
      </c>
      <c r="V55" s="128">
        <v>0</v>
      </c>
      <c r="W55" s="128">
        <f t="shared" si="44"/>
        <v>383.74675912222227</v>
      </c>
      <c r="X55" s="128">
        <f>W55*12+0.04</f>
        <v>4605.001109466667</v>
      </c>
      <c r="Y55" s="128">
        <v>0</v>
      </c>
      <c r="Z55" s="128">
        <f>X55*(100+5.6)%</f>
        <v>4862.8811715968004</v>
      </c>
      <c r="AA55" s="128">
        <f>Z55*(100+7.3)%</f>
        <v>5217.8714971233667</v>
      </c>
      <c r="AB55" s="128">
        <f t="shared" si="35"/>
        <v>434.82262476028058</v>
      </c>
      <c r="AC55" s="128">
        <f t="shared" si="46"/>
        <v>685.26206986111117</v>
      </c>
      <c r="AD55" s="128">
        <f>S55</f>
        <v>103.878</v>
      </c>
      <c r="AE55" s="128">
        <f t="shared" si="36"/>
        <v>311.48275902777777</v>
      </c>
      <c r="AF55" s="130">
        <f t="shared" si="43"/>
        <v>45.454545454545446</v>
      </c>
      <c r="AG55" s="131">
        <f>AD55*AF55%-0.01</f>
        <v>47.207272727272724</v>
      </c>
      <c r="AH55" s="4"/>
    </row>
    <row r="56" spans="1:34" x14ac:dyDescent="0.25">
      <c r="A56" s="1" t="s">
        <v>181</v>
      </c>
      <c r="B56" s="10">
        <v>10</v>
      </c>
      <c r="C56" s="112" t="s">
        <v>86</v>
      </c>
      <c r="D56" s="36">
        <v>1</v>
      </c>
      <c r="E56" s="37">
        <v>74.47</v>
      </c>
      <c r="F56" s="149">
        <f>E56*1620.66</f>
        <v>120690.5502</v>
      </c>
      <c r="G56" s="149">
        <f>F56/60</f>
        <v>2011.50917</v>
      </c>
      <c r="H56" s="149">
        <f>F56*1.5%</f>
        <v>1810.3582529999999</v>
      </c>
      <c r="I56" s="149">
        <f>F56*0.5%</f>
        <v>603.45275100000003</v>
      </c>
      <c r="J56" s="149">
        <f>I56+H56+G56</f>
        <v>4425.3201740000004</v>
      </c>
      <c r="K56" s="149">
        <f>J56/12</f>
        <v>368.77668116666672</v>
      </c>
      <c r="L56" s="149"/>
      <c r="M56" s="149"/>
      <c r="N56" s="149">
        <f>K56*N107</f>
        <v>258.1436768166667</v>
      </c>
      <c r="O56" s="149">
        <f>N56*O107</f>
        <v>206.51494145333336</v>
      </c>
      <c r="P56" s="149">
        <f>N56*P107</f>
        <v>232.32930913500005</v>
      </c>
      <c r="Q56" s="149">
        <f>N56*Q107</f>
        <v>258.1436768166667</v>
      </c>
      <c r="R56" s="149">
        <v>1270.56</v>
      </c>
      <c r="S56" s="149">
        <f>R56*S107</f>
        <v>127.056</v>
      </c>
      <c r="T56" s="149">
        <v>0</v>
      </c>
      <c r="U56" s="149">
        <v>0</v>
      </c>
      <c r="V56" s="149">
        <v>0</v>
      </c>
      <c r="W56" s="149">
        <f>O56</f>
        <v>206.51494145333336</v>
      </c>
      <c r="X56" s="149">
        <f>W56*12-0.06</f>
        <v>2478.1192974400005</v>
      </c>
      <c r="Y56" s="149">
        <f t="shared" ref="Y56:Y64" si="47">X56*(100+10.4)%</f>
        <v>2735.8437043737608</v>
      </c>
      <c r="Z56" s="149">
        <f>Y56*(100+5.6)%</f>
        <v>2889.0509518186914</v>
      </c>
      <c r="AA56" s="149">
        <f t="shared" ref="AA56:AA61" si="48">Z56*(100+7.3)%</f>
        <v>3099.9516713014559</v>
      </c>
      <c r="AB56" s="149">
        <f t="shared" ref="AB56:AB64" si="49">AA56/12</f>
        <v>258.32930594178799</v>
      </c>
      <c r="AC56" s="149">
        <f>K56</f>
        <v>368.77668116666672</v>
      </c>
      <c r="AD56" s="149">
        <f>S56</f>
        <v>127.056</v>
      </c>
      <c r="AE56" s="149">
        <f>G56/12</f>
        <v>167.62576416666667</v>
      </c>
      <c r="AF56" s="149">
        <f>AE56/AC56*100</f>
        <v>45.454545454545446</v>
      </c>
      <c r="AG56" s="150">
        <f t="shared" ref="AG56:AG63" si="50">AD56*AF56%</f>
        <v>57.752727272727263</v>
      </c>
      <c r="AH56" s="4"/>
    </row>
    <row r="57" spans="1:34" x14ac:dyDescent="0.25">
      <c r="A57" s="1" t="s">
        <v>179</v>
      </c>
      <c r="B57" s="10">
        <v>11</v>
      </c>
      <c r="C57" s="35" t="s">
        <v>88</v>
      </c>
      <c r="D57" s="36">
        <v>2</v>
      </c>
      <c r="E57" s="35">
        <v>75.56</v>
      </c>
      <c r="F57" s="128">
        <f>+E57*1620.66</f>
        <v>122457.06960000002</v>
      </c>
      <c r="G57" s="128">
        <f>+F57/60</f>
        <v>2040.9511600000003</v>
      </c>
      <c r="H57" s="128">
        <f>+F57*1.5%</f>
        <v>1836.8560440000001</v>
      </c>
      <c r="I57" s="128">
        <f>F57*0.5%</f>
        <v>612.28534800000011</v>
      </c>
      <c r="J57" s="128">
        <f>G57+H57+I57</f>
        <v>4490.092552000001</v>
      </c>
      <c r="K57" s="128">
        <f>+J57/12</f>
        <v>374.17437933333343</v>
      </c>
      <c r="L57" s="128"/>
      <c r="M57" s="128">
        <f>J57*(100%+5.6%)</f>
        <v>4741.5377349120008</v>
      </c>
      <c r="N57" s="128">
        <f>+K57*N107</f>
        <v>261.92206553333341</v>
      </c>
      <c r="O57" s="128">
        <f>+N57*O107</f>
        <v>209.53765242666674</v>
      </c>
      <c r="P57" s="128">
        <f>+N57*P107</f>
        <v>235.72985898000007</v>
      </c>
      <c r="Q57" s="128">
        <f>+N57*Q107</f>
        <v>261.92206553333341</v>
      </c>
      <c r="R57" s="145" t="s">
        <v>245</v>
      </c>
      <c r="S57" s="145">
        <v>0</v>
      </c>
      <c r="T57" s="145">
        <v>0</v>
      </c>
      <c r="U57" s="145">
        <v>0</v>
      </c>
      <c r="V57" s="145">
        <v>257.39999999999998</v>
      </c>
      <c r="W57" s="145">
        <v>257.39999999999998</v>
      </c>
      <c r="X57" s="145">
        <f>W57*12</f>
        <v>3088.7999999999997</v>
      </c>
      <c r="Y57" s="145">
        <f t="shared" si="47"/>
        <v>3410.0351999999998</v>
      </c>
      <c r="Z57" s="145">
        <f>Y57*(100+5.6)%</f>
        <v>3600.9971712000001</v>
      </c>
      <c r="AA57" s="145">
        <f t="shared" si="48"/>
        <v>3863.8699646976002</v>
      </c>
      <c r="AB57" s="145">
        <f t="shared" si="49"/>
        <v>321.98916372479999</v>
      </c>
      <c r="AC57" s="151">
        <f t="shared" ref="AC57:AC64" si="51">K57</f>
        <v>374.17437933333343</v>
      </c>
      <c r="AD57" s="145">
        <f>V57</f>
        <v>257.39999999999998</v>
      </c>
      <c r="AE57" s="151">
        <f t="shared" ref="AE57:AE64" si="52">G57/12</f>
        <v>170.07926333333336</v>
      </c>
      <c r="AF57" s="151">
        <f t="shared" ref="AF57:AF64" si="53">AE57/AC57*100</f>
        <v>45.454545454545446</v>
      </c>
      <c r="AG57" s="147">
        <f>AD57*AF57%-0.01</f>
        <v>116.98999999999997</v>
      </c>
      <c r="AH57" s="4"/>
    </row>
    <row r="58" spans="1:34" x14ac:dyDescent="0.25">
      <c r="A58" s="1" t="s">
        <v>182</v>
      </c>
      <c r="B58" s="10">
        <v>12</v>
      </c>
      <c r="C58" s="35" t="s">
        <v>89</v>
      </c>
      <c r="D58" s="36">
        <v>2</v>
      </c>
      <c r="E58" s="35">
        <v>82.34</v>
      </c>
      <c r="F58" s="128">
        <f t="shared" ref="F58:F64" si="54">+E58*1620.66</f>
        <v>133445.14440000002</v>
      </c>
      <c r="G58" s="128">
        <f t="shared" ref="G58:G64" si="55">+F58/60</f>
        <v>2224.0857400000004</v>
      </c>
      <c r="H58" s="128">
        <f t="shared" ref="H58:H64" si="56">+F58*1.5%</f>
        <v>2001.6771660000002</v>
      </c>
      <c r="I58" s="128">
        <f t="shared" ref="I58:I64" si="57">F58*0.5%</f>
        <v>667.22572200000013</v>
      </c>
      <c r="J58" s="128">
        <v>4893</v>
      </c>
      <c r="K58" s="128">
        <f t="shared" ref="K58:K64" si="58">+J58/12</f>
        <v>407.75</v>
      </c>
      <c r="L58" s="128"/>
      <c r="M58" s="128">
        <f t="shared" ref="M58:M64" si="59">J58*(100%+5.6%)</f>
        <v>5167.0079999999998</v>
      </c>
      <c r="N58" s="128">
        <f>+K58*N107</f>
        <v>285.42499999999995</v>
      </c>
      <c r="O58" s="128">
        <f>+N58*O107</f>
        <v>228.33999999999997</v>
      </c>
      <c r="P58" s="128">
        <f>+N58*P107</f>
        <v>256.88249999999999</v>
      </c>
      <c r="Q58" s="128">
        <f>+N58*Q107</f>
        <v>285.42499999999995</v>
      </c>
      <c r="R58" s="128">
        <v>1847.42</v>
      </c>
      <c r="S58" s="128">
        <f>R58*S107</f>
        <v>184.74200000000002</v>
      </c>
      <c r="T58" s="128">
        <v>0</v>
      </c>
      <c r="U58" s="128">
        <v>0</v>
      </c>
      <c r="V58" s="128">
        <v>0</v>
      </c>
      <c r="W58" s="128">
        <f t="shared" ref="W58:W64" si="60">O58</f>
        <v>228.33999999999997</v>
      </c>
      <c r="X58" s="128">
        <f>W58*12</f>
        <v>2740.08</v>
      </c>
      <c r="Y58" s="128">
        <f t="shared" si="47"/>
        <v>3025.0483200000003</v>
      </c>
      <c r="Z58" s="128">
        <f>Y58*(100+5.6)%</f>
        <v>3194.4510259200006</v>
      </c>
      <c r="AA58" s="128">
        <f>Z58*(100+7.3)%-0.01</f>
        <v>3427.6359508121604</v>
      </c>
      <c r="AB58" s="128">
        <f t="shared" si="49"/>
        <v>285.6363292343467</v>
      </c>
      <c r="AC58" s="149">
        <f t="shared" si="51"/>
        <v>407.75</v>
      </c>
      <c r="AD58" s="128">
        <f>S58</f>
        <v>184.74200000000002</v>
      </c>
      <c r="AE58" s="149">
        <f t="shared" si="52"/>
        <v>185.34047833333338</v>
      </c>
      <c r="AF58" s="149">
        <f t="shared" si="53"/>
        <v>45.454439811976307</v>
      </c>
      <c r="AG58" s="131">
        <f>AD58*AF58%-0.01</f>
        <v>83.96344119744127</v>
      </c>
      <c r="AH58" s="4"/>
    </row>
    <row r="59" spans="1:34" x14ac:dyDescent="0.25">
      <c r="A59" s="1" t="s">
        <v>183</v>
      </c>
      <c r="B59" s="10">
        <v>13</v>
      </c>
      <c r="C59" s="35" t="s">
        <v>90</v>
      </c>
      <c r="D59" s="36">
        <v>2</v>
      </c>
      <c r="E59" s="35">
        <v>83.13</v>
      </c>
      <c r="F59" s="128">
        <f t="shared" si="54"/>
        <v>134725.46580000001</v>
      </c>
      <c r="G59" s="128">
        <f t="shared" si="55"/>
        <v>2245.42443</v>
      </c>
      <c r="H59" s="128">
        <f t="shared" si="56"/>
        <v>2020.881987</v>
      </c>
      <c r="I59" s="128">
        <f t="shared" si="57"/>
        <v>673.62732900000003</v>
      </c>
      <c r="J59" s="128">
        <f t="shared" ref="J59:J64" si="61">G59+H59+I59</f>
        <v>4939.9337459999997</v>
      </c>
      <c r="K59" s="128">
        <f t="shared" si="58"/>
        <v>411.66114549999998</v>
      </c>
      <c r="L59" s="128"/>
      <c r="M59" s="128">
        <f t="shared" si="59"/>
        <v>5216.5700357759997</v>
      </c>
      <c r="N59" s="128">
        <f>+K59*N107</f>
        <v>288.16280184999994</v>
      </c>
      <c r="O59" s="128">
        <f>+N59*O107</f>
        <v>230.53024147999997</v>
      </c>
      <c r="P59" s="128">
        <f>+N59*P107</f>
        <v>259.34652166499995</v>
      </c>
      <c r="Q59" s="128">
        <f>+N59*Q107</f>
        <v>288.16280184999994</v>
      </c>
      <c r="R59" s="128">
        <v>1332.14</v>
      </c>
      <c r="S59" s="128">
        <f>R59*S107</f>
        <v>133.21400000000003</v>
      </c>
      <c r="T59" s="128">
        <v>0</v>
      </c>
      <c r="U59" s="128">
        <v>0</v>
      </c>
      <c r="V59" s="128">
        <v>0</v>
      </c>
      <c r="W59" s="128">
        <f t="shared" si="60"/>
        <v>230.53024147999997</v>
      </c>
      <c r="X59" s="128">
        <f>W59*12</f>
        <v>2766.3628977599997</v>
      </c>
      <c r="Y59" s="128">
        <f t="shared" si="47"/>
        <v>3054.0646391270398</v>
      </c>
      <c r="Z59" s="128">
        <f>Y59*(100+5.6)%</f>
        <v>3225.0922589181541</v>
      </c>
      <c r="AA59" s="128">
        <f t="shared" si="48"/>
        <v>3460.5239938191794</v>
      </c>
      <c r="AB59" s="128">
        <f t="shared" si="49"/>
        <v>288.37699948493162</v>
      </c>
      <c r="AC59" s="149">
        <f t="shared" si="51"/>
        <v>411.66114549999998</v>
      </c>
      <c r="AD59" s="128">
        <f>S59</f>
        <v>133.21400000000003</v>
      </c>
      <c r="AE59" s="149">
        <f t="shared" si="52"/>
        <v>187.11870250000001</v>
      </c>
      <c r="AF59" s="149">
        <f t="shared" si="53"/>
        <v>45.45454545454546</v>
      </c>
      <c r="AG59" s="131">
        <f>AD59*AF59%-0.01</f>
        <v>60.541818181818201</v>
      </c>
      <c r="AH59" s="4"/>
    </row>
    <row r="60" spans="1:34" x14ac:dyDescent="0.25">
      <c r="A60" s="1" t="s">
        <v>184</v>
      </c>
      <c r="B60" s="10">
        <v>14</v>
      </c>
      <c r="C60" s="35" t="s">
        <v>91</v>
      </c>
      <c r="D60" s="36">
        <v>2</v>
      </c>
      <c r="E60" s="37">
        <v>81.680000000000007</v>
      </c>
      <c r="F60" s="128">
        <f t="shared" si="54"/>
        <v>132375.50880000001</v>
      </c>
      <c r="G60" s="128">
        <f t="shared" si="55"/>
        <v>2206.25848</v>
      </c>
      <c r="H60" s="128">
        <f t="shared" si="56"/>
        <v>1985.6326320000001</v>
      </c>
      <c r="I60" s="128">
        <f t="shared" si="57"/>
        <v>661.87754400000006</v>
      </c>
      <c r="J60" s="128">
        <f t="shared" si="61"/>
        <v>4853.7686560000002</v>
      </c>
      <c r="K60" s="128">
        <f t="shared" si="58"/>
        <v>404.48072133333335</v>
      </c>
      <c r="L60" s="128"/>
      <c r="M60" s="128">
        <f t="shared" si="59"/>
        <v>5125.5797007360006</v>
      </c>
      <c r="N60" s="128">
        <f>+K60*N107</f>
        <v>283.1365049333333</v>
      </c>
      <c r="O60" s="128">
        <f>+N60*O107</f>
        <v>226.50920394666664</v>
      </c>
      <c r="P60" s="128">
        <f>N60*P107</f>
        <v>254.82285443999999</v>
      </c>
      <c r="Q60" s="128">
        <f>+N60*Q107</f>
        <v>283.1365049333333</v>
      </c>
      <c r="R60" s="128">
        <v>2509.36</v>
      </c>
      <c r="S60" s="128">
        <f>R60*S107</f>
        <v>250.93600000000004</v>
      </c>
      <c r="T60" s="128">
        <v>0</v>
      </c>
      <c r="U60" s="128">
        <v>0</v>
      </c>
      <c r="V60" s="128">
        <v>0</v>
      </c>
      <c r="W60" s="128">
        <f t="shared" si="60"/>
        <v>226.50920394666664</v>
      </c>
      <c r="X60" s="128">
        <f>O60*12+0.01</f>
        <v>2718.1204473600001</v>
      </c>
      <c r="Y60" s="128">
        <f t="shared" si="47"/>
        <v>3000.8049738854402</v>
      </c>
      <c r="Z60" s="128">
        <f>Y60*(100+5.6)%-0.01</f>
        <v>3168.8400524230246</v>
      </c>
      <c r="AA60" s="128">
        <f t="shared" si="48"/>
        <v>3400.1653762499054</v>
      </c>
      <c r="AB60" s="128">
        <f t="shared" si="49"/>
        <v>283.34711468749214</v>
      </c>
      <c r="AC60" s="149">
        <f t="shared" si="51"/>
        <v>404.48072133333335</v>
      </c>
      <c r="AD60" s="128">
        <f>S60</f>
        <v>250.93600000000004</v>
      </c>
      <c r="AE60" s="149">
        <f t="shared" si="52"/>
        <v>183.85487333333333</v>
      </c>
      <c r="AF60" s="149">
        <f t="shared" si="53"/>
        <v>45.454545454545453</v>
      </c>
      <c r="AG60" s="131">
        <f>AD60*AF60%-0.01</f>
        <v>114.05181818181819</v>
      </c>
      <c r="AH60" s="4"/>
    </row>
    <row r="61" spans="1:34" x14ac:dyDescent="0.25">
      <c r="A61" s="1" t="s">
        <v>185</v>
      </c>
      <c r="B61" s="10">
        <v>15</v>
      </c>
      <c r="C61" s="35" t="s">
        <v>92</v>
      </c>
      <c r="D61" s="36">
        <v>2</v>
      </c>
      <c r="E61" s="37">
        <v>80.900000000000006</v>
      </c>
      <c r="F61" s="128">
        <f t="shared" si="54"/>
        <v>131111.39400000003</v>
      </c>
      <c r="G61" s="128">
        <f t="shared" si="55"/>
        <v>2185.1899000000003</v>
      </c>
      <c r="H61" s="128">
        <f t="shared" si="56"/>
        <v>1966.6709100000003</v>
      </c>
      <c r="I61" s="128">
        <f t="shared" si="57"/>
        <v>655.55697000000021</v>
      </c>
      <c r="J61" s="128">
        <f t="shared" si="61"/>
        <v>4807.4177800000007</v>
      </c>
      <c r="K61" s="128">
        <f t="shared" si="58"/>
        <v>400.61814833333341</v>
      </c>
      <c r="L61" s="128"/>
      <c r="M61" s="128">
        <f t="shared" si="59"/>
        <v>5076.6331756800009</v>
      </c>
      <c r="N61" s="128">
        <f>+K61*N107</f>
        <v>280.43270383333339</v>
      </c>
      <c r="O61" s="128">
        <f>N61*O107</f>
        <v>224.34616306666672</v>
      </c>
      <c r="P61" s="128">
        <f>+N61*P107</f>
        <v>252.38943345000007</v>
      </c>
      <c r="Q61" s="128">
        <f>+N61*Q107</f>
        <v>280.43270383333339</v>
      </c>
      <c r="R61" s="128">
        <v>650.38</v>
      </c>
      <c r="S61" s="128">
        <f>R61*S107</f>
        <v>65.037999999999997</v>
      </c>
      <c r="T61" s="128">
        <v>0</v>
      </c>
      <c r="U61" s="128">
        <v>0</v>
      </c>
      <c r="V61" s="128">
        <v>0</v>
      </c>
      <c r="W61" s="128">
        <f t="shared" si="60"/>
        <v>224.34616306666672</v>
      </c>
      <c r="X61" s="128">
        <f>W61*12</f>
        <v>2692.1539568000007</v>
      </c>
      <c r="Y61" s="128">
        <f t="shared" si="47"/>
        <v>2972.1379683072009</v>
      </c>
      <c r="Z61" s="128">
        <f>Y61*(100+5.6)%+0.01</f>
        <v>3138.5876945324044</v>
      </c>
      <c r="AA61" s="128">
        <f t="shared" si="48"/>
        <v>3367.70459623327</v>
      </c>
      <c r="AB61" s="128">
        <f t="shared" si="49"/>
        <v>280.64204968610585</v>
      </c>
      <c r="AC61" s="149">
        <f t="shared" si="51"/>
        <v>400.61814833333341</v>
      </c>
      <c r="AD61" s="128">
        <v>85</v>
      </c>
      <c r="AE61" s="149">
        <f t="shared" si="52"/>
        <v>182.09915833333335</v>
      </c>
      <c r="AF61" s="149">
        <f t="shared" si="53"/>
        <v>45.454545454545446</v>
      </c>
      <c r="AG61" s="131">
        <f>AD61*AF61%-0.01</f>
        <v>38.626363636363635</v>
      </c>
      <c r="AH61" s="4"/>
    </row>
    <row r="62" spans="1:34" x14ac:dyDescent="0.25">
      <c r="A62" s="1" t="s">
        <v>186</v>
      </c>
      <c r="B62" s="10">
        <v>16</v>
      </c>
      <c r="C62" s="35" t="s">
        <v>93</v>
      </c>
      <c r="D62" s="36">
        <v>2</v>
      </c>
      <c r="E62" s="35">
        <v>82.34</v>
      </c>
      <c r="F62" s="128">
        <f t="shared" si="54"/>
        <v>133445.14440000002</v>
      </c>
      <c r="G62" s="128">
        <f t="shared" si="55"/>
        <v>2224.0857400000004</v>
      </c>
      <c r="H62" s="128">
        <f t="shared" si="56"/>
        <v>2001.6771660000002</v>
      </c>
      <c r="I62" s="128">
        <f t="shared" si="57"/>
        <v>667.22572200000013</v>
      </c>
      <c r="J62" s="128">
        <v>4893</v>
      </c>
      <c r="K62" s="128">
        <f t="shared" si="58"/>
        <v>407.75</v>
      </c>
      <c r="L62" s="128"/>
      <c r="M62" s="128">
        <f t="shared" si="59"/>
        <v>5167.0079999999998</v>
      </c>
      <c r="N62" s="128">
        <f>+K62*N107</f>
        <v>285.42499999999995</v>
      </c>
      <c r="O62" s="128">
        <f>+N62*O107</f>
        <v>228.33999999999997</v>
      </c>
      <c r="P62" s="128">
        <f>N62*P107</f>
        <v>256.88249999999999</v>
      </c>
      <c r="Q62" s="128">
        <f>+N62*Q107</f>
        <v>285.42499999999995</v>
      </c>
      <c r="R62" s="128">
        <v>964.31</v>
      </c>
      <c r="S62" s="128">
        <f>R62*S107</f>
        <v>96.430999999999997</v>
      </c>
      <c r="T62" s="128">
        <v>0</v>
      </c>
      <c r="U62" s="128">
        <v>0</v>
      </c>
      <c r="V62" s="128">
        <v>0</v>
      </c>
      <c r="W62" s="128">
        <f t="shared" si="60"/>
        <v>228.33999999999997</v>
      </c>
      <c r="X62" s="128">
        <f>W62*12</f>
        <v>2740.08</v>
      </c>
      <c r="Y62" s="128">
        <f t="shared" si="47"/>
        <v>3025.0483200000003</v>
      </c>
      <c r="Z62" s="128">
        <f>Y62*(100+5.6)%</f>
        <v>3194.4510259200006</v>
      </c>
      <c r="AA62" s="128">
        <f>Z62*(100+7.3)%-0.01</f>
        <v>3427.6359508121604</v>
      </c>
      <c r="AB62" s="128">
        <f t="shared" si="49"/>
        <v>285.6363292343467</v>
      </c>
      <c r="AC62" s="149">
        <f t="shared" si="51"/>
        <v>407.75</v>
      </c>
      <c r="AD62" s="128">
        <f>S62</f>
        <v>96.430999999999997</v>
      </c>
      <c r="AE62" s="149">
        <f t="shared" si="52"/>
        <v>185.34047833333338</v>
      </c>
      <c r="AF62" s="149">
        <f t="shared" si="53"/>
        <v>45.454439811976307</v>
      </c>
      <c r="AG62" s="131">
        <f t="shared" si="50"/>
        <v>43.832170855086872</v>
      </c>
      <c r="AH62" s="4"/>
    </row>
    <row r="63" spans="1:34" x14ac:dyDescent="0.25">
      <c r="A63" s="1" t="s">
        <v>187</v>
      </c>
      <c r="B63" s="10">
        <v>17</v>
      </c>
      <c r="C63" s="112" t="s">
        <v>87</v>
      </c>
      <c r="D63" s="36">
        <v>1</v>
      </c>
      <c r="E63" s="37">
        <v>83.13</v>
      </c>
      <c r="F63" s="128">
        <f>E63*1620.66</f>
        <v>134725.46580000001</v>
      </c>
      <c r="G63" s="128">
        <f t="shared" si="55"/>
        <v>2245.42443</v>
      </c>
      <c r="H63" s="128">
        <f t="shared" si="56"/>
        <v>2020.881987</v>
      </c>
      <c r="I63" s="128">
        <f t="shared" si="57"/>
        <v>673.62732900000003</v>
      </c>
      <c r="J63" s="128">
        <f>I63+H63+G63</f>
        <v>4939.9337460000006</v>
      </c>
      <c r="K63" s="128">
        <f>J63/12</f>
        <v>411.66114550000003</v>
      </c>
      <c r="L63" s="128"/>
      <c r="M63" s="128"/>
      <c r="N63" s="128">
        <f>K63*N107</f>
        <v>288.16280184999999</v>
      </c>
      <c r="O63" s="128">
        <f>N63*O107</f>
        <v>230.53024148</v>
      </c>
      <c r="P63" s="128">
        <f>N63*P107</f>
        <v>259.34652166500001</v>
      </c>
      <c r="Q63" s="128">
        <f>N63*Q107</f>
        <v>288.16280184999999</v>
      </c>
      <c r="R63" s="128">
        <v>1025.08</v>
      </c>
      <c r="S63" s="128">
        <f>R63*S107</f>
        <v>102.508</v>
      </c>
      <c r="T63" s="128">
        <v>0</v>
      </c>
      <c r="U63" s="128">
        <v>0</v>
      </c>
      <c r="V63" s="128">
        <v>0</v>
      </c>
      <c r="W63" s="128">
        <f t="shared" si="60"/>
        <v>230.53024148</v>
      </c>
      <c r="X63" s="128">
        <f>W63*12</f>
        <v>2766.3628977600001</v>
      </c>
      <c r="Y63" s="128">
        <f t="shared" si="47"/>
        <v>3054.0646391270402</v>
      </c>
      <c r="Z63" s="128">
        <f>Y63*(100+5.6)%</f>
        <v>3225.0922589181546</v>
      </c>
      <c r="AA63" s="128">
        <f>Z63*(100+7.3)%</f>
        <v>3460.5239938191799</v>
      </c>
      <c r="AB63" s="128">
        <f t="shared" si="49"/>
        <v>288.37699948493167</v>
      </c>
      <c r="AC63" s="149">
        <f t="shared" si="51"/>
        <v>411.66114550000003</v>
      </c>
      <c r="AD63" s="128">
        <f>S63</f>
        <v>102.508</v>
      </c>
      <c r="AE63" s="149">
        <f t="shared" si="52"/>
        <v>187.11870250000001</v>
      </c>
      <c r="AF63" s="149">
        <f t="shared" si="53"/>
        <v>45.454545454545453</v>
      </c>
      <c r="AG63" s="131">
        <f t="shared" si="50"/>
        <v>46.594545454545454</v>
      </c>
      <c r="AH63" s="4"/>
    </row>
    <row r="64" spans="1:34" x14ac:dyDescent="0.25">
      <c r="A64" s="1" t="s">
        <v>188</v>
      </c>
      <c r="B64" s="10">
        <v>18</v>
      </c>
      <c r="C64" s="35" t="s">
        <v>94</v>
      </c>
      <c r="D64" s="36">
        <v>2</v>
      </c>
      <c r="E64" s="35">
        <v>81.680000000000007</v>
      </c>
      <c r="F64" s="128">
        <f t="shared" si="54"/>
        <v>132375.50880000001</v>
      </c>
      <c r="G64" s="128">
        <f t="shared" si="55"/>
        <v>2206.25848</v>
      </c>
      <c r="H64" s="128">
        <f t="shared" si="56"/>
        <v>1985.6326320000001</v>
      </c>
      <c r="I64" s="128">
        <f t="shared" si="57"/>
        <v>661.87754400000006</v>
      </c>
      <c r="J64" s="128">
        <f t="shared" si="61"/>
        <v>4853.7686560000002</v>
      </c>
      <c r="K64" s="128">
        <f t="shared" si="58"/>
        <v>404.48072133333335</v>
      </c>
      <c r="L64" s="128"/>
      <c r="M64" s="128">
        <f t="shared" si="59"/>
        <v>5125.5797007360006</v>
      </c>
      <c r="N64" s="128">
        <f>+K64*N107</f>
        <v>283.1365049333333</v>
      </c>
      <c r="O64" s="128">
        <f>+N64*O107</f>
        <v>226.50920394666664</v>
      </c>
      <c r="P64" s="128">
        <f>N64*P107</f>
        <v>254.82285443999999</v>
      </c>
      <c r="Q64" s="128">
        <f>+N64*Q107</f>
        <v>283.1365049333333</v>
      </c>
      <c r="R64" s="128">
        <v>2001.21</v>
      </c>
      <c r="S64" s="128">
        <f>R64*S107</f>
        <v>200.12100000000001</v>
      </c>
      <c r="T64" s="128">
        <v>0</v>
      </c>
      <c r="U64" s="128">
        <v>0</v>
      </c>
      <c r="V64" s="128">
        <v>0</v>
      </c>
      <c r="W64" s="128">
        <f t="shared" si="60"/>
        <v>226.50920394666664</v>
      </c>
      <c r="X64" s="128">
        <f>W64*12+0.01</f>
        <v>2718.1204473600001</v>
      </c>
      <c r="Y64" s="128">
        <f t="shared" si="47"/>
        <v>3000.8049738854402</v>
      </c>
      <c r="Z64" s="128">
        <f>Y64*(100+5.6)%-0.01</f>
        <v>3168.8400524230246</v>
      </c>
      <c r="AA64" s="128">
        <f>Z64*(100+7.3)%</f>
        <v>3400.1653762499054</v>
      </c>
      <c r="AB64" s="128">
        <f t="shared" si="49"/>
        <v>283.34711468749214</v>
      </c>
      <c r="AC64" s="149">
        <f t="shared" si="51"/>
        <v>404.48072133333335</v>
      </c>
      <c r="AD64" s="128">
        <f>S64</f>
        <v>200.12100000000001</v>
      </c>
      <c r="AE64" s="149">
        <f t="shared" si="52"/>
        <v>183.85487333333333</v>
      </c>
      <c r="AF64" s="149">
        <f t="shared" si="53"/>
        <v>45.454545454545453</v>
      </c>
      <c r="AG64" s="131">
        <f t="shared" ref="AG64:AG69" si="62">AD64*AF64%-0.01</f>
        <v>90.954090909090908</v>
      </c>
      <c r="AH64" s="4"/>
    </row>
    <row r="65" spans="1:34" x14ac:dyDescent="0.25">
      <c r="A65" s="1" t="s">
        <v>189</v>
      </c>
      <c r="B65" s="10">
        <v>19</v>
      </c>
      <c r="C65" s="112" t="s">
        <v>86</v>
      </c>
      <c r="D65" s="36">
        <v>1</v>
      </c>
      <c r="E65" s="128">
        <v>56.55</v>
      </c>
      <c r="F65" s="128">
        <f>+E65*1620.66</f>
        <v>91648.323000000004</v>
      </c>
      <c r="G65" s="128">
        <f>+F65/60</f>
        <v>1527.4720500000001</v>
      </c>
      <c r="H65" s="128">
        <f>+F65*1.5%</f>
        <v>1374.724845</v>
      </c>
      <c r="I65" s="128">
        <f>F65*0.5%</f>
        <v>458.24161500000002</v>
      </c>
      <c r="J65" s="128">
        <f>G65+H65+I65-0.01</f>
        <v>3360.4285099999997</v>
      </c>
      <c r="K65" s="128">
        <f>+J65/12</f>
        <v>280.03570916666666</v>
      </c>
      <c r="L65" s="128"/>
      <c r="M65" s="128">
        <f>+J65*(100%+5.6%)</f>
        <v>3548.6125065599999</v>
      </c>
      <c r="N65" s="128">
        <f>K65*N135</f>
        <v>196.02499641666665</v>
      </c>
      <c r="O65" s="128">
        <f>N65*O135</f>
        <v>156.81999713333335</v>
      </c>
      <c r="P65" s="128">
        <f>N65*P135</f>
        <v>176.42249677499998</v>
      </c>
      <c r="Q65" s="128">
        <f>+N65*Q135</f>
        <v>196.02499641666665</v>
      </c>
      <c r="R65" s="128">
        <v>449.92</v>
      </c>
      <c r="S65" s="128">
        <f>R65*S135</f>
        <v>44.992000000000004</v>
      </c>
      <c r="T65" s="128">
        <v>0</v>
      </c>
      <c r="U65" s="128">
        <v>0</v>
      </c>
      <c r="V65" s="128">
        <v>0</v>
      </c>
      <c r="W65" s="128">
        <f>O65</f>
        <v>156.81999713333335</v>
      </c>
      <c r="X65" s="128">
        <f>W65*12</f>
        <v>1881.8399656000001</v>
      </c>
      <c r="Y65" s="128">
        <f>X65*(100+10.4)%</f>
        <v>2077.5513220224002</v>
      </c>
      <c r="Z65" s="128">
        <f>Y65*(100+5.6)%-0.01</f>
        <v>2193.8841960556547</v>
      </c>
      <c r="AA65" s="128">
        <f>Z65*(100+7.3)%</f>
        <v>2354.0377423677173</v>
      </c>
      <c r="AB65" s="128">
        <f>AA65/12</f>
        <v>196.16981186397643</v>
      </c>
      <c r="AC65" s="128">
        <f>K65</f>
        <v>280.03570916666666</v>
      </c>
      <c r="AD65" s="128">
        <v>61</v>
      </c>
      <c r="AE65" s="128">
        <f>G65/12</f>
        <v>127.2893375</v>
      </c>
      <c r="AF65" s="128">
        <f>AE65/AC65*100</f>
        <v>45.45468071868013</v>
      </c>
      <c r="AG65" s="128">
        <f t="shared" si="62"/>
        <v>27.717355238394877</v>
      </c>
      <c r="AH65" s="4"/>
    </row>
    <row r="66" spans="1:34" x14ac:dyDescent="0.25">
      <c r="A66" s="1" t="s">
        <v>194</v>
      </c>
      <c r="B66" s="10">
        <v>20</v>
      </c>
      <c r="C66" s="116" t="s">
        <v>89</v>
      </c>
      <c r="D66" s="117">
        <v>1</v>
      </c>
      <c r="E66" s="153">
        <v>60.83</v>
      </c>
      <c r="F66" s="153">
        <f>+E66*1620.66</f>
        <v>98584.747799999997</v>
      </c>
      <c r="G66" s="153">
        <f>+F66/60</f>
        <v>1643.0791299999999</v>
      </c>
      <c r="H66" s="153">
        <f>F66*1.5%</f>
        <v>1478.771217</v>
      </c>
      <c r="I66" s="153">
        <f>F66*0.5%</f>
        <v>492.92373900000001</v>
      </c>
      <c r="J66" s="153">
        <f>G66+H66+I66</f>
        <v>3614.7740859999994</v>
      </c>
      <c r="K66" s="153">
        <f>+J66/12</f>
        <v>301.23117383333329</v>
      </c>
      <c r="L66" s="153"/>
      <c r="M66" s="153">
        <f>+J66*(100%+5.6%)</f>
        <v>3817.2014348159996</v>
      </c>
      <c r="N66" s="153">
        <f>+K66*N135</f>
        <v>210.86182168333329</v>
      </c>
      <c r="O66" s="153">
        <f>+N66*O135</f>
        <v>168.68945734666664</v>
      </c>
      <c r="P66" s="153">
        <f>N66*P135</f>
        <v>189.77563951499997</v>
      </c>
      <c r="Q66" s="153">
        <f>+N66*Q135</f>
        <v>210.86182168333329</v>
      </c>
      <c r="R66" s="139" t="s">
        <v>251</v>
      </c>
      <c r="S66" s="153">
        <v>0</v>
      </c>
      <c r="T66" s="153">
        <v>0</v>
      </c>
      <c r="U66" s="153">
        <v>0</v>
      </c>
      <c r="V66" s="153">
        <v>0</v>
      </c>
      <c r="W66" s="153">
        <f>N66</f>
        <v>210.86182168333329</v>
      </c>
      <c r="X66" s="153">
        <f>W66*12-0.02</f>
        <v>2530.3218601999993</v>
      </c>
      <c r="Y66" s="153">
        <v>0</v>
      </c>
      <c r="Z66" s="153">
        <v>0</v>
      </c>
      <c r="AA66" s="153">
        <f>X66*(100+7.3)%-0.01</f>
        <v>2715.0253559945991</v>
      </c>
      <c r="AB66" s="153">
        <f>AA66/12</f>
        <v>226.25211299954992</v>
      </c>
      <c r="AC66" s="153">
        <f t="shared" ref="AC66:AC69" si="63">K66</f>
        <v>301.23117383333329</v>
      </c>
      <c r="AD66" s="153">
        <f>AB66</f>
        <v>226.25211299954992</v>
      </c>
      <c r="AE66" s="153">
        <f t="shared" ref="AE66:AE69" si="64">G66/12</f>
        <v>136.92326083333333</v>
      </c>
      <c r="AF66" s="153">
        <f t="shared" ref="AF66:AF69" si="65">AE66/AC66*100</f>
        <v>45.45454545454546</v>
      </c>
      <c r="AG66" s="153">
        <f t="shared" si="62"/>
        <v>102.83186954524997</v>
      </c>
      <c r="AH66" s="4"/>
    </row>
    <row r="67" spans="1:34" x14ac:dyDescent="0.25">
      <c r="A67" s="1" t="s">
        <v>195</v>
      </c>
      <c r="B67" s="10">
        <v>21</v>
      </c>
      <c r="C67" s="35" t="s">
        <v>90</v>
      </c>
      <c r="D67" s="36">
        <v>1</v>
      </c>
      <c r="E67" s="128">
        <v>61.35</v>
      </c>
      <c r="F67" s="128">
        <f>+E67*1620.66</f>
        <v>99427.491000000009</v>
      </c>
      <c r="G67" s="128">
        <f>+F67/60</f>
        <v>1657.1248500000002</v>
      </c>
      <c r="H67" s="128">
        <f>F67*1.5%</f>
        <v>1491.4123650000001</v>
      </c>
      <c r="I67" s="128">
        <f>F67*0.5%</f>
        <v>497.13745500000005</v>
      </c>
      <c r="J67" s="128">
        <f>G67+H67+I67</f>
        <v>3645.6746700000003</v>
      </c>
      <c r="K67" s="128">
        <f>+J67/12</f>
        <v>303.80622250000005</v>
      </c>
      <c r="L67" s="128"/>
      <c r="M67" s="128">
        <f>+J67*(100%+5.6%)</f>
        <v>3849.8324515200006</v>
      </c>
      <c r="N67" s="128">
        <v>212.67</v>
      </c>
      <c r="O67" s="128">
        <f>+N67*O135</f>
        <v>170.136</v>
      </c>
      <c r="P67" s="128">
        <f>+N67*P135</f>
        <v>191.40299999999999</v>
      </c>
      <c r="Q67" s="128">
        <f>+N67*Q135</f>
        <v>212.67</v>
      </c>
      <c r="R67" s="128">
        <v>2082.31</v>
      </c>
      <c r="S67" s="128">
        <f>R67*S135</f>
        <v>208.23099999999999</v>
      </c>
      <c r="T67" s="128">
        <v>0</v>
      </c>
      <c r="U67" s="128">
        <v>0</v>
      </c>
      <c r="V67" s="128">
        <v>0</v>
      </c>
      <c r="W67" s="128">
        <f>O67</f>
        <v>170.136</v>
      </c>
      <c r="X67" s="128">
        <f>W67*12+0.05</f>
        <v>2041.682</v>
      </c>
      <c r="Y67" s="128">
        <f>X67*(100+10.4)%-0.01</f>
        <v>2254.0069279999998</v>
      </c>
      <c r="Z67" s="128">
        <f>Y67*(100+5.6)%</f>
        <v>2380.2313159679998</v>
      </c>
      <c r="AA67" s="128">
        <f>Z67*(100+7.3)%</f>
        <v>2553.9882020336636</v>
      </c>
      <c r="AB67" s="128">
        <f>AA67/12</f>
        <v>212.83235016947197</v>
      </c>
      <c r="AC67" s="128">
        <f t="shared" si="63"/>
        <v>303.80622250000005</v>
      </c>
      <c r="AD67" s="128">
        <f>S67</f>
        <v>208.23099999999999</v>
      </c>
      <c r="AE67" s="128">
        <f t="shared" si="64"/>
        <v>138.0937375</v>
      </c>
      <c r="AF67" s="128">
        <f t="shared" si="65"/>
        <v>45.454545454545446</v>
      </c>
      <c r="AG67" s="128">
        <f t="shared" si="62"/>
        <v>94.640454545454517</v>
      </c>
      <c r="AH67" s="4"/>
    </row>
    <row r="68" spans="1:34" x14ac:dyDescent="0.25">
      <c r="A68" s="1" t="s">
        <v>196</v>
      </c>
      <c r="B68" s="10">
        <v>22</v>
      </c>
      <c r="C68" s="35" t="s">
        <v>91</v>
      </c>
      <c r="D68" s="36">
        <v>1</v>
      </c>
      <c r="E68" s="128">
        <v>63.14</v>
      </c>
      <c r="F68" s="128">
        <f>+E68*1620.66</f>
        <v>102328.47240000001</v>
      </c>
      <c r="G68" s="128">
        <f>F68/60</f>
        <v>1705.4745400000002</v>
      </c>
      <c r="H68" s="128">
        <f>F68*1.5%</f>
        <v>1534.9270860000001</v>
      </c>
      <c r="I68" s="128">
        <f>F68*0.5%</f>
        <v>511.64236200000011</v>
      </c>
      <c r="J68" s="128">
        <f>G68+H68+I68</f>
        <v>3752.0439880000004</v>
      </c>
      <c r="K68" s="128">
        <f>+J68/12</f>
        <v>312.67033233333336</v>
      </c>
      <c r="L68" s="128"/>
      <c r="M68" s="128">
        <f>+J68*(100%+5.6%)</f>
        <v>3962.1584513280004</v>
      </c>
      <c r="N68" s="128">
        <f>+K68*N135</f>
        <v>218.86923263333335</v>
      </c>
      <c r="O68" s="128">
        <f>+N68*O135</f>
        <v>175.09538610666669</v>
      </c>
      <c r="P68" s="128">
        <f>+N68*P135</f>
        <v>196.98230937000002</v>
      </c>
      <c r="Q68" s="128">
        <f>+N68*Q135</f>
        <v>218.86923263333335</v>
      </c>
      <c r="R68" s="128">
        <v>5249.25</v>
      </c>
      <c r="S68" s="128">
        <v>0</v>
      </c>
      <c r="T68" s="128">
        <v>0</v>
      </c>
      <c r="U68" s="128">
        <f>R68*U135</f>
        <v>1574.7749999999999</v>
      </c>
      <c r="V68" s="128">
        <v>0</v>
      </c>
      <c r="W68" s="128">
        <f>Q68</f>
        <v>218.86923263333335</v>
      </c>
      <c r="X68" s="128">
        <f>W68*12+0.01</f>
        <v>2626.4407916000005</v>
      </c>
      <c r="Y68" s="128">
        <f>X68*(100+10.4)%</f>
        <v>2899.5906339264006</v>
      </c>
      <c r="Z68" s="128">
        <f>Y68*(100+5.6)%</f>
        <v>3061.9677094262793</v>
      </c>
      <c r="AA68" s="128">
        <f>Z68*(100+7.3)%</f>
        <v>3285.4913522143975</v>
      </c>
      <c r="AB68" s="128">
        <f>AA68/12</f>
        <v>273.79094601786647</v>
      </c>
      <c r="AC68" s="128">
        <f t="shared" si="63"/>
        <v>312.67033233333336</v>
      </c>
      <c r="AD68" s="128">
        <f>AB68</f>
        <v>273.79094601786647</v>
      </c>
      <c r="AE68" s="128">
        <f t="shared" si="64"/>
        <v>142.12287833333335</v>
      </c>
      <c r="AF68" s="128">
        <f t="shared" si="65"/>
        <v>45.454545454545453</v>
      </c>
      <c r="AG68" s="128">
        <f t="shared" si="62"/>
        <v>124.44043000812111</v>
      </c>
      <c r="AH68" s="4"/>
    </row>
    <row r="69" spans="1:34" x14ac:dyDescent="0.25">
      <c r="A69" s="1" t="s">
        <v>197</v>
      </c>
      <c r="B69" s="10">
        <v>23</v>
      </c>
      <c r="C69" s="35" t="s">
        <v>97</v>
      </c>
      <c r="D69" s="36">
        <v>1</v>
      </c>
      <c r="E69" s="128">
        <v>61.35</v>
      </c>
      <c r="F69" s="128">
        <f>+E69*1620.66</f>
        <v>99427.491000000009</v>
      </c>
      <c r="G69" s="128">
        <f>F69/60</f>
        <v>1657.1248500000002</v>
      </c>
      <c r="H69" s="128">
        <f>F69*1.5%</f>
        <v>1491.4123650000001</v>
      </c>
      <c r="I69" s="128">
        <f>F69*0.5%</f>
        <v>497.13745500000005</v>
      </c>
      <c r="J69" s="128">
        <f>G69+H69+I69</f>
        <v>3645.6746700000003</v>
      </c>
      <c r="K69" s="128">
        <f>+J69/12</f>
        <v>303.80622250000005</v>
      </c>
      <c r="L69" s="128"/>
      <c r="M69" s="128">
        <f>+J69*(100%+5.6%)</f>
        <v>3849.8324515200006</v>
      </c>
      <c r="N69" s="128">
        <v>212.67</v>
      </c>
      <c r="O69" s="128">
        <f>+N69*O135</f>
        <v>170.136</v>
      </c>
      <c r="P69" s="128">
        <f>+N69*P135</f>
        <v>191.40299999999999</v>
      </c>
      <c r="Q69" s="128">
        <f>+N69*Q135</f>
        <v>212.67</v>
      </c>
      <c r="R69" s="128">
        <v>50.87</v>
      </c>
      <c r="S69" s="128">
        <f>R69*S135</f>
        <v>5.0869999999999997</v>
      </c>
      <c r="T69" s="128">
        <v>0</v>
      </c>
      <c r="U69" s="128">
        <v>0</v>
      </c>
      <c r="V69" s="128">
        <v>0</v>
      </c>
      <c r="W69" s="128">
        <f>O69</f>
        <v>170.136</v>
      </c>
      <c r="X69" s="128">
        <f>W69*12+0.05</f>
        <v>2041.682</v>
      </c>
      <c r="Y69" s="128">
        <f>X69*(100+10.4)%-0.01</f>
        <v>2254.0069279999998</v>
      </c>
      <c r="Z69" s="128">
        <f>Y69*(100+5.6)%</f>
        <v>2380.2313159679998</v>
      </c>
      <c r="AA69" s="128">
        <f>Z69*(100+7.3)%</f>
        <v>2553.9882020336636</v>
      </c>
      <c r="AB69" s="128">
        <f>AA69/12</f>
        <v>212.83235016947197</v>
      </c>
      <c r="AC69" s="128">
        <f t="shared" si="63"/>
        <v>303.80622250000005</v>
      </c>
      <c r="AD69" s="128">
        <v>61</v>
      </c>
      <c r="AE69" s="128">
        <f t="shared" si="64"/>
        <v>138.0937375</v>
      </c>
      <c r="AF69" s="128">
        <f t="shared" si="65"/>
        <v>45.454545454545446</v>
      </c>
      <c r="AG69" s="128">
        <f t="shared" si="62"/>
        <v>27.717272727272722</v>
      </c>
      <c r="AH69" s="4"/>
    </row>
    <row r="70" spans="1:34" ht="15" x14ac:dyDescent="0.25">
      <c r="A70" s="1" t="s">
        <v>200</v>
      </c>
      <c r="B70" s="10">
        <v>24</v>
      </c>
      <c r="C70" s="35" t="s">
        <v>102</v>
      </c>
      <c r="D70" s="36">
        <v>2</v>
      </c>
      <c r="E70" s="43">
        <v>98.59</v>
      </c>
      <c r="F70" s="128">
        <f t="shared" ref="F70:F75" si="66">+E70*952.363958</f>
        <v>93893.56261922</v>
      </c>
      <c r="G70" s="128">
        <f t="shared" ref="G70:G75" si="67">+F70/60</f>
        <v>1564.8927103203334</v>
      </c>
      <c r="H70" s="128">
        <f t="shared" ref="H70:H71" si="68">+F70*1.5%</f>
        <v>1408.4034392883</v>
      </c>
      <c r="I70" s="128">
        <f t="shared" ref="I70:I75" si="69">+F70*0.5%</f>
        <v>469.46781309610003</v>
      </c>
      <c r="J70" s="128">
        <f t="shared" ref="J70:J74" si="70">+G70+H70+I70</f>
        <v>3442.7639627047338</v>
      </c>
      <c r="K70" s="128">
        <f t="shared" ref="K70:K75" si="71">+J70/12</f>
        <v>286.89699689206117</v>
      </c>
      <c r="L70" s="128"/>
      <c r="M70" s="128">
        <f t="shared" ref="M70:M75" si="72">+J70*(100%+5.6%)</f>
        <v>3635.558744616199</v>
      </c>
      <c r="N70" s="128">
        <f>+K70*N163</f>
        <v>200.8278978244428</v>
      </c>
      <c r="O70" s="128">
        <f>+N70*O163</f>
        <v>160.66231825955424</v>
      </c>
      <c r="P70" s="128">
        <f>+N70*P163</f>
        <v>180.74510804199852</v>
      </c>
      <c r="Q70" s="128">
        <f>+N70*Q163</f>
        <v>200.8278978244428</v>
      </c>
      <c r="R70" s="128">
        <v>999.11</v>
      </c>
      <c r="S70" s="128">
        <f>R70*S163</f>
        <v>99.911000000000001</v>
      </c>
      <c r="T70" s="128">
        <v>0</v>
      </c>
      <c r="U70" s="128">
        <v>0</v>
      </c>
      <c r="V70" s="128">
        <v>0</v>
      </c>
      <c r="W70" s="128">
        <f>O70</f>
        <v>160.66231825955424</v>
      </c>
      <c r="X70" s="128">
        <f>W70*12-0.03</f>
        <v>1927.9178191146509</v>
      </c>
      <c r="Y70" s="128">
        <f>X70*(100+10.4)%</f>
        <v>2128.4212723025748</v>
      </c>
      <c r="Z70" s="128">
        <f>Y70*(100+5.6)%</f>
        <v>2247.6128635515192</v>
      </c>
      <c r="AA70" s="128">
        <f>Z70*(100+7.3)%</f>
        <v>2411.6886025907802</v>
      </c>
      <c r="AB70" s="128">
        <f t="shared" ref="AB70:AB75" si="73">AA70/12</f>
        <v>200.97405021589836</v>
      </c>
      <c r="AC70" s="128">
        <f>K70</f>
        <v>286.89699689206117</v>
      </c>
      <c r="AD70" s="128">
        <f>S70</f>
        <v>99.911000000000001</v>
      </c>
      <c r="AE70" s="128">
        <f>G70/12</f>
        <v>130.4077258600278</v>
      </c>
      <c r="AF70" s="130">
        <f>AE70/AC70*100</f>
        <v>45.454545454545453</v>
      </c>
      <c r="AG70" s="131">
        <f>AD70*AF70%</f>
        <v>45.414090909090909</v>
      </c>
      <c r="AH70" s="4"/>
    </row>
    <row r="71" spans="1:34" ht="15" x14ac:dyDescent="0.25">
      <c r="A71" s="1" t="s">
        <v>201</v>
      </c>
      <c r="B71" s="10">
        <v>25</v>
      </c>
      <c r="C71" s="35" t="s">
        <v>103</v>
      </c>
      <c r="D71" s="36">
        <v>2</v>
      </c>
      <c r="E71" s="43">
        <v>98.23</v>
      </c>
      <c r="F71" s="128">
        <f t="shared" si="66"/>
        <v>93550.711594340013</v>
      </c>
      <c r="G71" s="128">
        <f t="shared" si="67"/>
        <v>1559.1785265723336</v>
      </c>
      <c r="H71" s="128">
        <f t="shared" si="68"/>
        <v>1403.2606739151001</v>
      </c>
      <c r="I71" s="128">
        <f t="shared" si="69"/>
        <v>467.75355797170005</v>
      </c>
      <c r="J71" s="128">
        <f t="shared" si="70"/>
        <v>3430.1927584591335</v>
      </c>
      <c r="K71" s="128">
        <f t="shared" si="71"/>
        <v>285.84939653826115</v>
      </c>
      <c r="L71" s="128"/>
      <c r="M71" s="128">
        <f t="shared" si="72"/>
        <v>3622.2835529328454</v>
      </c>
      <c r="N71" s="128">
        <f>K71*N163</f>
        <v>200.0945775767828</v>
      </c>
      <c r="O71" s="128">
        <f>+N71*O163</f>
        <v>160.07566206142624</v>
      </c>
      <c r="P71" s="128">
        <f>+N71*P163</f>
        <v>180.08511981910453</v>
      </c>
      <c r="Q71" s="128">
        <f>+N71*Q163</f>
        <v>200.0945775767828</v>
      </c>
      <c r="R71" s="139" t="s">
        <v>251</v>
      </c>
      <c r="S71" s="139">
        <v>0</v>
      </c>
      <c r="T71" s="139">
        <v>0</v>
      </c>
      <c r="U71" s="139">
        <v>0</v>
      </c>
      <c r="V71" s="139">
        <v>0</v>
      </c>
      <c r="W71" s="139">
        <f>N71</f>
        <v>200.0945775767828</v>
      </c>
      <c r="X71" s="139">
        <f>W71*12</f>
        <v>2401.1349309213938</v>
      </c>
      <c r="Y71" s="139">
        <f>X71*(100+10.4)%</f>
        <v>2650.8529637372189</v>
      </c>
      <c r="Z71" s="139">
        <f>Y71*(100+5.6)%-0.01</f>
        <v>2799.290729706503</v>
      </c>
      <c r="AA71" s="139">
        <f>Z71*(100+7.3)%</f>
        <v>3003.6389529750777</v>
      </c>
      <c r="AB71" s="139">
        <f t="shared" si="73"/>
        <v>250.30324608125648</v>
      </c>
      <c r="AC71" s="139">
        <f t="shared" ref="AC71:AC74" si="74">K71</f>
        <v>285.84939653826115</v>
      </c>
      <c r="AD71" s="139">
        <f>AB71</f>
        <v>250.30324608125648</v>
      </c>
      <c r="AE71" s="139">
        <f t="shared" ref="AE71:AE75" si="75">G71/12</f>
        <v>129.93154388102781</v>
      </c>
      <c r="AF71" s="141">
        <f t="shared" ref="AF71:AF74" si="76">AE71/AC71*100</f>
        <v>45.45454545454546</v>
      </c>
      <c r="AG71" s="142">
        <f>AD71*AF71%-0.01</f>
        <v>113.7642027642075</v>
      </c>
      <c r="AH71" s="4"/>
    </row>
    <row r="72" spans="1:34" ht="15" x14ac:dyDescent="0.25">
      <c r="A72" s="1" t="s">
        <v>178</v>
      </c>
      <c r="B72" s="10">
        <v>26</v>
      </c>
      <c r="C72" s="35" t="s">
        <v>104</v>
      </c>
      <c r="D72" s="36">
        <v>2</v>
      </c>
      <c r="E72" s="43">
        <v>98.73</v>
      </c>
      <c r="F72" s="128">
        <f t="shared" si="66"/>
        <v>94026.893573339999</v>
      </c>
      <c r="G72" s="128">
        <f t="shared" si="67"/>
        <v>1567.114892889</v>
      </c>
      <c r="H72" s="128">
        <f>+F72*1.5%</f>
        <v>1410.4034036000999</v>
      </c>
      <c r="I72" s="128">
        <f t="shared" si="69"/>
        <v>470.13446786669999</v>
      </c>
      <c r="J72" s="128">
        <f>G72+H72+I72-0.01</f>
        <v>3447.6427643558</v>
      </c>
      <c r="K72" s="128">
        <f t="shared" si="71"/>
        <v>287.30356369631664</v>
      </c>
      <c r="L72" s="128"/>
      <c r="M72" s="128">
        <f t="shared" si="72"/>
        <v>3640.7107591597251</v>
      </c>
      <c r="N72" s="128">
        <f>+K72*N163</f>
        <v>201.11249458742165</v>
      </c>
      <c r="O72" s="128">
        <f>+N72*O163</f>
        <v>160.88999566993732</v>
      </c>
      <c r="P72" s="128">
        <f>+N72*P163</f>
        <v>181.0012451286795</v>
      </c>
      <c r="Q72" s="128">
        <f>+N72*Q163</f>
        <v>201.11249458742165</v>
      </c>
      <c r="R72" s="128">
        <v>2056.06</v>
      </c>
      <c r="S72" s="128">
        <f>R72*S163</f>
        <v>205.60599999999999</v>
      </c>
      <c r="T72" s="128">
        <v>0</v>
      </c>
      <c r="U72" s="128">
        <v>0</v>
      </c>
      <c r="V72" s="128">
        <v>0</v>
      </c>
      <c r="W72" s="128">
        <v>160.88999999999999</v>
      </c>
      <c r="X72" s="128">
        <f>W72*12</f>
        <v>1930.6799999999998</v>
      </c>
      <c r="Y72" s="128">
        <f>X72*(100+10.4)%</f>
        <v>2131.4707199999998</v>
      </c>
      <c r="Z72" s="128">
        <f>Y72*(100+5.6)%</f>
        <v>2250.8330803199997</v>
      </c>
      <c r="AA72" s="128">
        <f>Z72*107.3%</f>
        <v>2415.1438951833597</v>
      </c>
      <c r="AB72" s="128">
        <f t="shared" si="73"/>
        <v>201.26199126527999</v>
      </c>
      <c r="AC72" s="128">
        <f t="shared" si="74"/>
        <v>287.30356369631664</v>
      </c>
      <c r="AD72" s="128">
        <f>AB72</f>
        <v>201.26199126527999</v>
      </c>
      <c r="AE72" s="128">
        <f t="shared" si="75"/>
        <v>130.59290774075001</v>
      </c>
      <c r="AF72" s="130">
        <f t="shared" si="76"/>
        <v>45.454677296933319</v>
      </c>
      <c r="AG72" s="131">
        <f>AD72*AF72%-0.01</f>
        <v>91.472988651015143</v>
      </c>
      <c r="AH72" s="4"/>
    </row>
    <row r="73" spans="1:34" ht="15" x14ac:dyDescent="0.25">
      <c r="A73" s="1" t="s">
        <v>202</v>
      </c>
      <c r="B73" s="10">
        <v>27</v>
      </c>
      <c r="C73" s="35" t="s">
        <v>105</v>
      </c>
      <c r="D73" s="36">
        <v>2</v>
      </c>
      <c r="E73" s="43">
        <v>99.79</v>
      </c>
      <c r="F73" s="128">
        <f t="shared" si="66"/>
        <v>95036.399368820013</v>
      </c>
      <c r="G73" s="128">
        <f>F73/60</f>
        <v>1583.9399894803335</v>
      </c>
      <c r="H73" s="128">
        <f t="shared" ref="H73:H75" si="77">+F73*1.5%</f>
        <v>1425.5459905323</v>
      </c>
      <c r="I73" s="128">
        <f t="shared" si="69"/>
        <v>475.18199684410007</v>
      </c>
      <c r="J73" s="128">
        <f>+G73+H73+I73</f>
        <v>3484.6679768567333</v>
      </c>
      <c r="K73" s="128">
        <f t="shared" si="71"/>
        <v>290.38899807139444</v>
      </c>
      <c r="L73" s="128"/>
      <c r="M73" s="128">
        <f t="shared" si="72"/>
        <v>3679.8093835607106</v>
      </c>
      <c r="N73" s="128">
        <f>+K73*N163</f>
        <v>203.27229864997611</v>
      </c>
      <c r="O73" s="128">
        <f>+N73*O163</f>
        <v>162.6178389199809</v>
      </c>
      <c r="P73" s="128">
        <f>+N73*P163</f>
        <v>182.9450687849785</v>
      </c>
      <c r="Q73" s="128">
        <f>+N73*Q163</f>
        <v>203.27229864997611</v>
      </c>
      <c r="R73" s="128">
        <v>857.17</v>
      </c>
      <c r="S73" s="128">
        <f>R73*S163</f>
        <v>85.716999999999999</v>
      </c>
      <c r="T73" s="128">
        <v>0</v>
      </c>
      <c r="U73" s="128">
        <v>0</v>
      </c>
      <c r="V73" s="128">
        <v>0</v>
      </c>
      <c r="W73" s="128">
        <f>O73</f>
        <v>162.6178389199809</v>
      </c>
      <c r="X73" s="128">
        <f>W73*12+0.03</f>
        <v>1951.4440670397707</v>
      </c>
      <c r="Y73" s="128">
        <f>X73*(100+10.4)%+0.01</f>
        <v>2154.4042500119072</v>
      </c>
      <c r="Z73" s="128">
        <f>Y73*(100+5.6)%</f>
        <v>2275.050888012574</v>
      </c>
      <c r="AA73" s="128">
        <f t="shared" ref="AA73:AA82" si="78">Z73*(100+7.3)%</f>
        <v>2441.1296028374918</v>
      </c>
      <c r="AB73" s="128">
        <f t="shared" si="73"/>
        <v>203.42746690312433</v>
      </c>
      <c r="AC73" s="128">
        <f t="shared" si="74"/>
        <v>290.38899807139444</v>
      </c>
      <c r="AD73" s="128">
        <f>S73</f>
        <v>85.716999999999999</v>
      </c>
      <c r="AE73" s="128">
        <f t="shared" si="75"/>
        <v>131.99499912336111</v>
      </c>
      <c r="AF73" s="130">
        <f t="shared" si="76"/>
        <v>45.454545454545453</v>
      </c>
      <c r="AG73" s="131">
        <f>AD73*AF73%</f>
        <v>38.962272727272726</v>
      </c>
      <c r="AH73" s="4"/>
    </row>
    <row r="74" spans="1:34" ht="15" x14ac:dyDescent="0.25">
      <c r="A74" s="1" t="s">
        <v>203</v>
      </c>
      <c r="B74" s="10">
        <v>28</v>
      </c>
      <c r="C74" s="35" t="s">
        <v>106</v>
      </c>
      <c r="D74" s="36">
        <v>2</v>
      </c>
      <c r="E74" s="43">
        <v>97.8</v>
      </c>
      <c r="F74" s="128">
        <f t="shared" si="66"/>
        <v>93141.195092399998</v>
      </c>
      <c r="G74" s="128">
        <f t="shared" si="67"/>
        <v>1552.35325154</v>
      </c>
      <c r="H74" s="128">
        <f t="shared" si="77"/>
        <v>1397.1179263859999</v>
      </c>
      <c r="I74" s="128">
        <f>F74*0.5%</f>
        <v>465.70597546199997</v>
      </c>
      <c r="J74" s="128">
        <f t="shared" si="70"/>
        <v>3415.1771533879996</v>
      </c>
      <c r="K74" s="128">
        <f t="shared" si="71"/>
        <v>284.59809611566664</v>
      </c>
      <c r="L74" s="128"/>
      <c r="M74" s="128">
        <f t="shared" si="72"/>
        <v>3606.4270739777276</v>
      </c>
      <c r="N74" s="128">
        <f>+K74*N163</f>
        <v>199.21866728096663</v>
      </c>
      <c r="O74" s="128">
        <f>N74*O163</f>
        <v>159.37493382477331</v>
      </c>
      <c r="P74" s="128">
        <f>+N74*P163</f>
        <v>179.29680055286997</v>
      </c>
      <c r="Q74" s="128">
        <f>+N74*Q163</f>
        <v>199.21866728096663</v>
      </c>
      <c r="R74" s="128">
        <v>1843.92</v>
      </c>
      <c r="S74" s="128">
        <f>R74*S163</f>
        <v>184.39200000000002</v>
      </c>
      <c r="T74" s="128">
        <v>0</v>
      </c>
      <c r="U74" s="128">
        <v>0</v>
      </c>
      <c r="V74" s="128">
        <v>0</v>
      </c>
      <c r="W74" s="128">
        <f>O74</f>
        <v>159.37493382477331</v>
      </c>
      <c r="X74" s="128">
        <f>W74*12</f>
        <v>1912.4992058972798</v>
      </c>
      <c r="Y74" s="128">
        <f>X74*(100+10.4)%</f>
        <v>2111.3991233105971</v>
      </c>
      <c r="Z74" s="128">
        <f>Y74*(100+5.6)%</f>
        <v>2229.6374742159906</v>
      </c>
      <c r="AA74" s="128">
        <f t="shared" si="78"/>
        <v>2392.4010098337576</v>
      </c>
      <c r="AB74" s="128">
        <f t="shared" si="73"/>
        <v>199.36675081947979</v>
      </c>
      <c r="AC74" s="128">
        <f t="shared" si="74"/>
        <v>284.59809611566664</v>
      </c>
      <c r="AD74" s="128">
        <f>S74</f>
        <v>184.39200000000002</v>
      </c>
      <c r="AE74" s="128">
        <f t="shared" si="75"/>
        <v>129.36277096166666</v>
      </c>
      <c r="AF74" s="130">
        <f t="shared" si="76"/>
        <v>45.454545454545453</v>
      </c>
      <c r="AG74" s="131">
        <f>AD74*AF74%</f>
        <v>83.814545454545467</v>
      </c>
      <c r="AH74" s="4"/>
    </row>
    <row r="75" spans="1:34" ht="15" x14ac:dyDescent="0.25">
      <c r="A75" s="1" t="s">
        <v>204</v>
      </c>
      <c r="B75" s="10">
        <v>29</v>
      </c>
      <c r="C75" s="35" t="s">
        <v>107</v>
      </c>
      <c r="D75" s="36">
        <v>2</v>
      </c>
      <c r="E75" s="43">
        <v>99.07</v>
      </c>
      <c r="F75" s="128">
        <f t="shared" si="66"/>
        <v>94350.697319059997</v>
      </c>
      <c r="G75" s="128">
        <f t="shared" si="67"/>
        <v>1572.5116219843333</v>
      </c>
      <c r="H75" s="128">
        <f t="shared" si="77"/>
        <v>1415.2604597858999</v>
      </c>
      <c r="I75" s="128">
        <f t="shared" si="69"/>
        <v>471.75348659529999</v>
      </c>
      <c r="J75" s="128">
        <f>G75+H75+I75-0.01</f>
        <v>3459.5155683655325</v>
      </c>
      <c r="K75" s="128">
        <f t="shared" si="71"/>
        <v>288.29296403046106</v>
      </c>
      <c r="L75" s="128"/>
      <c r="M75" s="128">
        <f t="shared" si="72"/>
        <v>3653.2484401940023</v>
      </c>
      <c r="N75" s="128">
        <f>+K75*N163</f>
        <v>201.80507482132273</v>
      </c>
      <c r="O75" s="128">
        <f>+N75*O163</f>
        <v>161.44405985705819</v>
      </c>
      <c r="P75" s="128">
        <f>+N75*P163</f>
        <v>181.62456733919046</v>
      </c>
      <c r="Q75" s="128">
        <f>+N75*Q163</f>
        <v>201.80507482132273</v>
      </c>
      <c r="R75" s="139" t="s">
        <v>251</v>
      </c>
      <c r="S75" s="139">
        <v>0</v>
      </c>
      <c r="T75" s="139">
        <v>0</v>
      </c>
      <c r="U75" s="139">
        <v>0</v>
      </c>
      <c r="V75" s="139">
        <v>0</v>
      </c>
      <c r="W75" s="139">
        <f>N75</f>
        <v>201.80507482132273</v>
      </c>
      <c r="X75" s="139">
        <f>W75*12-0.06</f>
        <v>2421.600897855873</v>
      </c>
      <c r="Y75" s="139">
        <f>X75*(100+10.4)%+0.01</f>
        <v>2673.4573912328842</v>
      </c>
      <c r="Z75" s="139">
        <f>Y75*(100+5.6)%-0.01</f>
        <v>2823.1610051419257</v>
      </c>
      <c r="AA75" s="139">
        <f t="shared" si="78"/>
        <v>3029.2517585172859</v>
      </c>
      <c r="AB75" s="139">
        <f t="shared" si="73"/>
        <v>252.43764654310715</v>
      </c>
      <c r="AC75" s="139">
        <f>K75</f>
        <v>288.29296403046106</v>
      </c>
      <c r="AD75" s="139">
        <f>AB75</f>
        <v>252.43764654310715</v>
      </c>
      <c r="AE75" s="139">
        <f t="shared" si="75"/>
        <v>131.04263516536111</v>
      </c>
      <c r="AF75" s="141">
        <v>45.45</v>
      </c>
      <c r="AG75" s="142">
        <f>AD75*AF75%</f>
        <v>114.7329103538422</v>
      </c>
      <c r="AH75" s="4"/>
    </row>
    <row r="76" spans="1:34" ht="15" x14ac:dyDescent="0.25">
      <c r="A76" s="1" t="s">
        <v>206</v>
      </c>
      <c r="B76" s="10">
        <v>30</v>
      </c>
      <c r="C76" s="35" t="s">
        <v>103</v>
      </c>
      <c r="D76" s="36">
        <v>2</v>
      </c>
      <c r="E76" s="43">
        <v>97.35</v>
      </c>
      <c r="F76" s="128">
        <f>+E76*1157.17</f>
        <v>112650.49950000001</v>
      </c>
      <c r="G76" s="128">
        <f>+F76/60</f>
        <v>1877.508325</v>
      </c>
      <c r="H76" s="128">
        <f>+F76*1.5%</f>
        <v>1689.7574925000001</v>
      </c>
      <c r="I76" s="128">
        <f>+F76*0.5%</f>
        <v>563.2524975</v>
      </c>
      <c r="J76" s="128">
        <f>+G76+H76+I76</f>
        <v>4130.5183150000003</v>
      </c>
      <c r="K76" s="128">
        <f>+J76/12</f>
        <v>344.20985958333335</v>
      </c>
      <c r="L76" s="128"/>
      <c r="M76" s="128">
        <f>+J76*(100%+5.6%)</f>
        <v>4361.8273406400003</v>
      </c>
      <c r="N76" s="128">
        <f>+K76*N186</f>
        <v>240.94690170833334</v>
      </c>
      <c r="O76" s="128">
        <f>+N76*O186</f>
        <v>192.75752136666668</v>
      </c>
      <c r="P76" s="128">
        <f>+N76*P186</f>
        <v>216.85221153750001</v>
      </c>
      <c r="Q76" s="128">
        <f>+N76*Q186</f>
        <v>240.94690170833334</v>
      </c>
      <c r="R76" s="128">
        <v>2201.44</v>
      </c>
      <c r="S76" s="128">
        <f>R76*S186</f>
        <v>220.14400000000001</v>
      </c>
      <c r="T76" s="128">
        <v>0</v>
      </c>
      <c r="U76" s="128">
        <v>0</v>
      </c>
      <c r="V76" s="128">
        <v>0</v>
      </c>
      <c r="W76" s="128">
        <f>O76</f>
        <v>192.75752136666668</v>
      </c>
      <c r="X76" s="128">
        <f>W76*12+0.03</f>
        <v>2313.1202564000005</v>
      </c>
      <c r="Y76" s="128">
        <f>X76*(100+10.4)%</f>
        <v>2553.6847630656007</v>
      </c>
      <c r="Z76" s="128">
        <f t="shared" ref="Z76:Z82" si="79">Y76*(100+5.6)%</f>
        <v>2696.6911097972743</v>
      </c>
      <c r="AA76" s="128">
        <f t="shared" si="78"/>
        <v>2893.5495608124752</v>
      </c>
      <c r="AB76" s="128">
        <f>AA76/12</f>
        <v>241.12913006770626</v>
      </c>
      <c r="AC76" s="128">
        <f>K76</f>
        <v>344.20985958333335</v>
      </c>
      <c r="AD76" s="128">
        <f>S76</f>
        <v>220.14400000000001</v>
      </c>
      <c r="AE76" s="128">
        <f>G76/12</f>
        <v>156.45902708333332</v>
      </c>
      <c r="AF76" s="130">
        <f>AE76/AC76*100</f>
        <v>45.454545454545446</v>
      </c>
      <c r="AG76" s="131">
        <f>AD76*AF76%-0.02</f>
        <v>100.04545454545453</v>
      </c>
      <c r="AH76" s="4"/>
    </row>
    <row r="77" spans="1:34" ht="15" x14ac:dyDescent="0.25">
      <c r="A77" s="1" t="s">
        <v>207</v>
      </c>
      <c r="B77" s="10">
        <v>31</v>
      </c>
      <c r="C77" s="35" t="s">
        <v>99</v>
      </c>
      <c r="D77" s="36">
        <v>2</v>
      </c>
      <c r="E77" s="43">
        <v>99.24</v>
      </c>
      <c r="F77" s="128">
        <f>+E77*1157.17</f>
        <v>114837.5508</v>
      </c>
      <c r="G77" s="128">
        <f>+F77/60</f>
        <v>1913.9591800000001</v>
      </c>
      <c r="H77" s="128">
        <f>+F77*1.5%</f>
        <v>1722.5632619999999</v>
      </c>
      <c r="I77" s="128">
        <f>+F77*0.5%</f>
        <v>574.18775400000004</v>
      </c>
      <c r="J77" s="128">
        <f>+G77+H77+I77</f>
        <v>4210.710196</v>
      </c>
      <c r="K77" s="128">
        <f>+J77/12</f>
        <v>350.89251633333333</v>
      </c>
      <c r="L77" s="128"/>
      <c r="M77" s="128">
        <f>+J77*(100%+5.6%)</f>
        <v>4446.5099669760002</v>
      </c>
      <c r="N77" s="128">
        <f>+K77*N186</f>
        <v>245.6247614333333</v>
      </c>
      <c r="O77" s="128">
        <f>+N77*O186</f>
        <v>196.49980914666665</v>
      </c>
      <c r="P77" s="128">
        <f>+N77*P186</f>
        <v>221.06228528999998</v>
      </c>
      <c r="Q77" s="128">
        <f>+N77*Q186</f>
        <v>245.6247614333333</v>
      </c>
      <c r="R77" s="128">
        <v>4519.71</v>
      </c>
      <c r="S77" s="128">
        <v>0</v>
      </c>
      <c r="T77" s="128">
        <v>0</v>
      </c>
      <c r="U77" s="128">
        <f>R77*U186</f>
        <v>1355.913</v>
      </c>
      <c r="V77" s="128">
        <v>0</v>
      </c>
      <c r="W77" s="128">
        <f>P77</f>
        <v>221.06228528999998</v>
      </c>
      <c r="X77" s="128">
        <f>W77*12-0.03</f>
        <v>2652.7174234799995</v>
      </c>
      <c r="Y77" s="128">
        <f>X77*(100+10.4)%</f>
        <v>2928.6000355219198</v>
      </c>
      <c r="Z77" s="128">
        <f t="shared" si="79"/>
        <v>3092.6016375111476</v>
      </c>
      <c r="AA77" s="128">
        <f t="shared" si="78"/>
        <v>3318.3615570494612</v>
      </c>
      <c r="AB77" s="128">
        <f>AA77/12</f>
        <v>276.53012975412179</v>
      </c>
      <c r="AC77" s="128">
        <f t="shared" ref="AC77:AC78" si="80">K77</f>
        <v>350.89251633333333</v>
      </c>
      <c r="AD77" s="128">
        <f>AB77</f>
        <v>276.53012975412179</v>
      </c>
      <c r="AE77" s="128">
        <f t="shared" ref="AE77:AE78" si="81">G77/12</f>
        <v>159.49659833333334</v>
      </c>
      <c r="AF77" s="130">
        <f t="shared" ref="AF77:AF78" si="82">AE77/AC77*100</f>
        <v>45.45454545454546</v>
      </c>
      <c r="AG77" s="131">
        <f>AD77*AF77%-0.02</f>
        <v>125.67551352460083</v>
      </c>
      <c r="AH77" s="4"/>
    </row>
    <row r="78" spans="1:34" ht="15" x14ac:dyDescent="0.25">
      <c r="A78" s="1" t="s">
        <v>208</v>
      </c>
      <c r="B78" s="10">
        <v>32</v>
      </c>
      <c r="C78" s="35" t="s">
        <v>110</v>
      </c>
      <c r="D78" s="36">
        <v>2</v>
      </c>
      <c r="E78" s="43">
        <v>97.85</v>
      </c>
      <c r="F78" s="128">
        <f>+E78*1157.17</f>
        <v>113229.0845</v>
      </c>
      <c r="G78" s="128">
        <f>+F78/60</f>
        <v>1887.1514083333334</v>
      </c>
      <c r="H78" s="128">
        <f>+F78*1.5%</f>
        <v>1698.4362675</v>
      </c>
      <c r="I78" s="128">
        <f>+F78*0.5%</f>
        <v>566.1454225</v>
      </c>
      <c r="J78" s="128">
        <f>G78+H78+I78+0.01</f>
        <v>4151.7430983333334</v>
      </c>
      <c r="K78" s="128">
        <f>+J78/12</f>
        <v>345.97859152777778</v>
      </c>
      <c r="L78" s="128"/>
      <c r="M78" s="128">
        <f>+J78*(100%+5.6%)</f>
        <v>4384.2407118400006</v>
      </c>
      <c r="N78" s="128">
        <f>K78*N186</f>
        <v>242.18501406944443</v>
      </c>
      <c r="O78" s="128">
        <f>+N78*O186</f>
        <v>193.74801125555555</v>
      </c>
      <c r="P78" s="128">
        <f>+N78*P186</f>
        <v>217.96651266250001</v>
      </c>
      <c r="Q78" s="128">
        <f>+N78*Q186</f>
        <v>242.18501406944443</v>
      </c>
      <c r="R78" s="139" t="s">
        <v>250</v>
      </c>
      <c r="S78" s="139">
        <v>0</v>
      </c>
      <c r="T78" s="139">
        <v>0</v>
      </c>
      <c r="U78" s="139">
        <v>0</v>
      </c>
      <c r="V78" s="139">
        <v>0</v>
      </c>
      <c r="W78" s="139">
        <f>N78</f>
        <v>242.18501406944443</v>
      </c>
      <c r="X78" s="139">
        <f>W78*12</f>
        <v>2906.2201688333334</v>
      </c>
      <c r="Y78" s="139">
        <f>X78*(100+10.4)%</f>
        <v>3208.4670663920006</v>
      </c>
      <c r="Z78" s="139">
        <f t="shared" si="79"/>
        <v>3388.1412221099527</v>
      </c>
      <c r="AA78" s="139">
        <f t="shared" si="78"/>
        <v>3635.4755313239789</v>
      </c>
      <c r="AB78" s="139">
        <f>AA78/12</f>
        <v>302.95629427699822</v>
      </c>
      <c r="AC78" s="139">
        <f t="shared" si="80"/>
        <v>345.97859152777778</v>
      </c>
      <c r="AD78" s="139">
        <f>AB78</f>
        <v>302.95629427699822</v>
      </c>
      <c r="AE78" s="139">
        <f t="shared" si="81"/>
        <v>157.26261736111113</v>
      </c>
      <c r="AF78" s="141">
        <f t="shared" si="82"/>
        <v>45.454435971505738</v>
      </c>
      <c r="AG78" s="142">
        <f>AD78*AF78%-0.01</f>
        <v>137.69707480378466</v>
      </c>
      <c r="AH78" s="4"/>
    </row>
    <row r="79" spans="1:34" x14ac:dyDescent="0.25">
      <c r="A79" s="1" t="s">
        <v>211</v>
      </c>
      <c r="B79" s="10">
        <v>33</v>
      </c>
      <c r="C79" s="35" t="s">
        <v>114</v>
      </c>
      <c r="D79" s="8">
        <v>2</v>
      </c>
      <c r="E79" s="35">
        <v>87.63</v>
      </c>
      <c r="F79" s="128">
        <f t="shared" ref="F79:F84" si="83">+E79*1193.74</f>
        <v>104607.4362</v>
      </c>
      <c r="G79" s="128">
        <f t="shared" ref="G79:G84" si="84">+F79/60</f>
        <v>1743.4572699999999</v>
      </c>
      <c r="H79" s="128">
        <f t="shared" ref="H79:H84" si="85">+F79*1.5%</f>
        <v>1569.111543</v>
      </c>
      <c r="I79" s="128">
        <f t="shared" ref="I79:I84" si="86">+F79*0.5%</f>
        <v>523.03718100000003</v>
      </c>
      <c r="J79" s="128">
        <f t="shared" ref="J79:J82" si="87">+G79+H79+I79</f>
        <v>3835.605994</v>
      </c>
      <c r="K79" s="128">
        <f t="shared" ref="K79:K84" si="88">+J79/12</f>
        <v>319.63383283333332</v>
      </c>
      <c r="L79" s="128">
        <f t="shared" ref="L79:M84" si="89">+I79*(100%+5.6%)</f>
        <v>552.32726313600006</v>
      </c>
      <c r="M79" s="128">
        <f t="shared" si="89"/>
        <v>4050.3999296640004</v>
      </c>
      <c r="N79" s="128">
        <f>+K79*N212</f>
        <v>223.74368298333331</v>
      </c>
      <c r="O79" s="128">
        <f>+N79*O212</f>
        <v>178.99494638666667</v>
      </c>
      <c r="P79" s="128">
        <f>+N79*P212</f>
        <v>201.36931468499998</v>
      </c>
      <c r="Q79" s="128">
        <f>+N79*Q212</f>
        <v>223.74368298333331</v>
      </c>
      <c r="R79" s="139" t="s">
        <v>251</v>
      </c>
      <c r="S79" s="139">
        <v>0</v>
      </c>
      <c r="T79" s="139">
        <v>0</v>
      </c>
      <c r="U79" s="139">
        <v>0</v>
      </c>
      <c r="V79" s="139">
        <v>0</v>
      </c>
      <c r="W79" s="139">
        <f>N79</f>
        <v>223.74368298333331</v>
      </c>
      <c r="X79" s="139">
        <f>W79*12-0.04</f>
        <v>2684.8841957999998</v>
      </c>
      <c r="Y79" s="139">
        <f>X79*(100+10.4)%</f>
        <v>2964.1121521631999</v>
      </c>
      <c r="Z79" s="139">
        <f t="shared" si="79"/>
        <v>3130.1024326843394</v>
      </c>
      <c r="AA79" s="139">
        <f t="shared" si="78"/>
        <v>3358.5999102702963</v>
      </c>
      <c r="AB79" s="139">
        <f t="shared" ref="AB79:AB84" si="90">AA79/12</f>
        <v>279.883325855858</v>
      </c>
      <c r="AC79" s="139">
        <f>K79</f>
        <v>319.63383283333332</v>
      </c>
      <c r="AD79" s="139">
        <f>AB79</f>
        <v>279.883325855858</v>
      </c>
      <c r="AE79" s="139">
        <f>G79/12</f>
        <v>145.28810583333333</v>
      </c>
      <c r="AF79" s="141">
        <f>AE79/AC79*100</f>
        <v>45.45454545454546</v>
      </c>
      <c r="AG79" s="142">
        <f t="shared" ref="AG79:AG84" si="91">AD79*AF79%-0.01</f>
        <v>127.20969357084455</v>
      </c>
      <c r="AH79" s="4"/>
    </row>
    <row r="80" spans="1:34" x14ac:dyDescent="0.25">
      <c r="A80" s="1" t="s">
        <v>212</v>
      </c>
      <c r="B80" s="10">
        <v>34</v>
      </c>
      <c r="C80" s="35" t="s">
        <v>115</v>
      </c>
      <c r="D80" s="8">
        <v>2</v>
      </c>
      <c r="E80" s="35">
        <v>87.76</v>
      </c>
      <c r="F80" s="128">
        <f t="shared" si="83"/>
        <v>104762.62240000001</v>
      </c>
      <c r="G80" s="128">
        <f t="shared" si="84"/>
        <v>1746.0437066666668</v>
      </c>
      <c r="H80" s="128">
        <f t="shared" si="85"/>
        <v>1571.4393360000001</v>
      </c>
      <c r="I80" s="128">
        <f t="shared" si="86"/>
        <v>523.81311200000005</v>
      </c>
      <c r="J80" s="128">
        <v>3841.29</v>
      </c>
      <c r="K80" s="128">
        <f t="shared" si="88"/>
        <v>320.10750000000002</v>
      </c>
      <c r="L80" s="128">
        <f t="shared" si="89"/>
        <v>553.14664627200011</v>
      </c>
      <c r="M80" s="128">
        <f t="shared" si="89"/>
        <v>4056.4022400000003</v>
      </c>
      <c r="N80" s="128">
        <f>+K80*N212</f>
        <v>224.07524999999998</v>
      </c>
      <c r="O80" s="128">
        <f>+N80*O212</f>
        <v>179.2602</v>
      </c>
      <c r="P80" s="128">
        <f>+N80*P212</f>
        <v>201.66772499999999</v>
      </c>
      <c r="Q80" s="128">
        <f>+N80*Q212</f>
        <v>224.07524999999998</v>
      </c>
      <c r="R80" s="139" t="s">
        <v>251</v>
      </c>
      <c r="S80" s="139">
        <v>0</v>
      </c>
      <c r="T80" s="139">
        <v>0</v>
      </c>
      <c r="U80" s="139">
        <v>0</v>
      </c>
      <c r="V80" s="139">
        <v>0</v>
      </c>
      <c r="W80" s="139">
        <f>N80</f>
        <v>224.07524999999998</v>
      </c>
      <c r="X80" s="139">
        <f>W80*12+0.06</f>
        <v>2688.9629999999997</v>
      </c>
      <c r="Y80" s="139">
        <f>X80*(100+10.4)%-0.01</f>
        <v>2968.6051519999996</v>
      </c>
      <c r="Z80" s="139">
        <f t="shared" si="79"/>
        <v>3134.8470405119997</v>
      </c>
      <c r="AA80" s="139">
        <f t="shared" si="78"/>
        <v>3363.6908744693756</v>
      </c>
      <c r="AB80" s="139">
        <f t="shared" si="90"/>
        <v>280.30757287244796</v>
      </c>
      <c r="AC80" s="139">
        <f t="shared" ref="AC80:AC84" si="92">K80</f>
        <v>320.10750000000002</v>
      </c>
      <c r="AD80" s="139">
        <f>AB80</f>
        <v>280.30757287244796</v>
      </c>
      <c r="AE80" s="139">
        <f t="shared" ref="AE80:AE84" si="93">G80/12</f>
        <v>145.50364222222223</v>
      </c>
      <c r="AF80" s="141">
        <f t="shared" ref="AF80:AF84" si="94">AE80/AC80*100</f>
        <v>45.454618283614792</v>
      </c>
      <c r="AG80" s="142">
        <f t="shared" si="91"/>
        <v>127.40273726923658</v>
      </c>
      <c r="AH80" s="4"/>
    </row>
    <row r="81" spans="1:34" x14ac:dyDescent="0.25">
      <c r="A81" s="1" t="s">
        <v>213</v>
      </c>
      <c r="B81" s="10">
        <v>35</v>
      </c>
      <c r="C81" s="35" t="s">
        <v>116</v>
      </c>
      <c r="D81" s="8">
        <v>2</v>
      </c>
      <c r="E81" s="35">
        <v>93.34</v>
      </c>
      <c r="F81" s="128">
        <f t="shared" si="83"/>
        <v>111423.69160000001</v>
      </c>
      <c r="G81" s="128">
        <f t="shared" si="84"/>
        <v>1857.0615266666669</v>
      </c>
      <c r="H81" s="128">
        <f t="shared" si="85"/>
        <v>1671.355374</v>
      </c>
      <c r="I81" s="128">
        <f t="shared" si="86"/>
        <v>557.11845800000003</v>
      </c>
      <c r="J81" s="128">
        <f t="shared" si="87"/>
        <v>4085.535358666667</v>
      </c>
      <c r="K81" s="128">
        <f t="shared" si="88"/>
        <v>340.4612798888889</v>
      </c>
      <c r="L81" s="128">
        <f t="shared" si="89"/>
        <v>588.31709164800009</v>
      </c>
      <c r="M81" s="128">
        <f t="shared" si="89"/>
        <v>4314.3253387520008</v>
      </c>
      <c r="N81" s="128">
        <f>+K81*N212</f>
        <v>238.32289592222222</v>
      </c>
      <c r="O81" s="128">
        <f>+N81*O212</f>
        <v>190.6583167377778</v>
      </c>
      <c r="P81" s="128">
        <f>+N81*P212</f>
        <v>214.49060632999999</v>
      </c>
      <c r="Q81" s="128">
        <f>+N81*Q212</f>
        <v>238.32289592222222</v>
      </c>
      <c r="R81" s="145" t="s">
        <v>245</v>
      </c>
      <c r="S81" s="145">
        <v>0</v>
      </c>
      <c r="T81" s="145">
        <v>0</v>
      </c>
      <c r="U81" s="145">
        <v>0</v>
      </c>
      <c r="V81" s="145">
        <v>257.39999999999998</v>
      </c>
      <c r="W81" s="145">
        <v>257.39999999999998</v>
      </c>
      <c r="X81" s="145">
        <f>W81*12</f>
        <v>3088.7999999999997</v>
      </c>
      <c r="Y81" s="145">
        <f>X81*(100+10.4)%</f>
        <v>3410.0351999999998</v>
      </c>
      <c r="Z81" s="145">
        <f t="shared" si="79"/>
        <v>3600.9971712000001</v>
      </c>
      <c r="AA81" s="145">
        <f t="shared" si="78"/>
        <v>3863.8699646976002</v>
      </c>
      <c r="AB81" s="145">
        <f t="shared" si="90"/>
        <v>321.98916372479999</v>
      </c>
      <c r="AC81" s="145">
        <f t="shared" si="92"/>
        <v>340.4612798888889</v>
      </c>
      <c r="AD81" s="145">
        <f>V81</f>
        <v>257.39999999999998</v>
      </c>
      <c r="AE81" s="145">
        <f t="shared" si="93"/>
        <v>154.75512722222223</v>
      </c>
      <c r="AF81" s="146">
        <f t="shared" si="94"/>
        <v>45.454545454545453</v>
      </c>
      <c r="AG81" s="147">
        <f t="shared" si="91"/>
        <v>116.98999999999998</v>
      </c>
      <c r="AH81" s="4"/>
    </row>
    <row r="82" spans="1:34" x14ac:dyDescent="0.25">
      <c r="A82" s="1" t="s">
        <v>214</v>
      </c>
      <c r="B82" s="10">
        <v>36</v>
      </c>
      <c r="C82" s="35" t="s">
        <v>117</v>
      </c>
      <c r="D82" s="8">
        <v>2</v>
      </c>
      <c r="E82" s="35">
        <v>99.46</v>
      </c>
      <c r="F82" s="128">
        <f t="shared" si="83"/>
        <v>118729.38039999999</v>
      </c>
      <c r="G82" s="128">
        <f t="shared" si="84"/>
        <v>1978.8230066666665</v>
      </c>
      <c r="H82" s="128">
        <f t="shared" si="85"/>
        <v>1780.9407059999999</v>
      </c>
      <c r="I82" s="128">
        <f t="shared" si="86"/>
        <v>593.64690199999995</v>
      </c>
      <c r="J82" s="128">
        <f t="shared" si="87"/>
        <v>4353.4106146666663</v>
      </c>
      <c r="K82" s="128">
        <f t="shared" si="88"/>
        <v>362.78421788888886</v>
      </c>
      <c r="L82" s="128">
        <f t="shared" si="89"/>
        <v>626.89112851200002</v>
      </c>
      <c r="M82" s="128">
        <f t="shared" si="89"/>
        <v>4597.2016090879997</v>
      </c>
      <c r="N82" s="128">
        <f>+K82*N212</f>
        <v>253.94895252222219</v>
      </c>
      <c r="O82" s="128">
        <f>+N82*O212</f>
        <v>203.15916201777776</v>
      </c>
      <c r="P82" s="128">
        <f>+N82*P212</f>
        <v>228.55405726999996</v>
      </c>
      <c r="Q82" s="128">
        <f>+N82*Q212</f>
        <v>253.94895252222219</v>
      </c>
      <c r="R82" s="128">
        <v>2776.5</v>
      </c>
      <c r="S82" s="128">
        <v>0</v>
      </c>
      <c r="T82" s="128">
        <f>R82*T212</f>
        <v>555.30000000000007</v>
      </c>
      <c r="U82" s="128">
        <v>0</v>
      </c>
      <c r="V82" s="128">
        <v>0</v>
      </c>
      <c r="W82" s="128">
        <f>P82</f>
        <v>228.55405726999996</v>
      </c>
      <c r="X82" s="128">
        <f>W82*12-0.05</f>
        <v>2742.5986872399994</v>
      </c>
      <c r="Y82" s="128">
        <f>X82*(100+10.4)%</f>
        <v>3027.8289507129598</v>
      </c>
      <c r="Z82" s="128">
        <f t="shared" si="79"/>
        <v>3197.3873719528856</v>
      </c>
      <c r="AA82" s="128">
        <f t="shared" si="78"/>
        <v>3430.7966501054461</v>
      </c>
      <c r="AB82" s="128">
        <f t="shared" si="90"/>
        <v>285.89972084212053</v>
      </c>
      <c r="AC82" s="128">
        <f t="shared" si="92"/>
        <v>362.78421788888886</v>
      </c>
      <c r="AD82" s="128">
        <f>AB82</f>
        <v>285.89972084212053</v>
      </c>
      <c r="AE82" s="128">
        <f t="shared" si="93"/>
        <v>164.90191722222221</v>
      </c>
      <c r="AF82" s="130">
        <f t="shared" si="94"/>
        <v>45.454545454545453</v>
      </c>
      <c r="AG82" s="131">
        <f t="shared" si="91"/>
        <v>129.94441856460026</v>
      </c>
      <c r="AH82" s="4"/>
    </row>
    <row r="83" spans="1:34" x14ac:dyDescent="0.25">
      <c r="A83" s="1" t="s">
        <v>215</v>
      </c>
      <c r="B83" s="10">
        <v>37</v>
      </c>
      <c r="C83" s="35" t="s">
        <v>118</v>
      </c>
      <c r="D83" s="8">
        <v>2</v>
      </c>
      <c r="E83" s="35">
        <v>99.55</v>
      </c>
      <c r="F83" s="128">
        <f t="shared" si="83"/>
        <v>118836.817</v>
      </c>
      <c r="G83" s="128">
        <f t="shared" si="84"/>
        <v>1980.6136166666665</v>
      </c>
      <c r="H83" s="128">
        <f t="shared" si="85"/>
        <v>1782.5522549999998</v>
      </c>
      <c r="I83" s="128">
        <f t="shared" si="86"/>
        <v>594.18408499999998</v>
      </c>
      <c r="J83" s="128">
        <v>4357.34</v>
      </c>
      <c r="K83" s="128">
        <f t="shared" si="88"/>
        <v>363.11166666666668</v>
      </c>
      <c r="L83" s="128">
        <f t="shared" si="89"/>
        <v>627.45839376000004</v>
      </c>
      <c r="M83" s="128">
        <f t="shared" si="89"/>
        <v>4601.3510400000005</v>
      </c>
      <c r="N83" s="128">
        <f>+K83*N212</f>
        <v>254.17816666666667</v>
      </c>
      <c r="O83" s="128">
        <f>+N83*O212</f>
        <v>203.34253333333334</v>
      </c>
      <c r="P83" s="128">
        <f>+N83*P212</f>
        <v>228.76035000000002</v>
      </c>
      <c r="Q83" s="128">
        <f>+N83*Q212</f>
        <v>254.17816666666667</v>
      </c>
      <c r="R83" s="128">
        <v>1389.47</v>
      </c>
      <c r="S83" s="128">
        <f>R83*S212</f>
        <v>138.947</v>
      </c>
      <c r="T83" s="128">
        <v>0</v>
      </c>
      <c r="U83" s="128">
        <v>0</v>
      </c>
      <c r="V83" s="128">
        <v>0</v>
      </c>
      <c r="W83" s="128">
        <f>O83</f>
        <v>203.34253333333334</v>
      </c>
      <c r="X83" s="128">
        <f>W83*12-0.03</f>
        <v>2440.0803999999998</v>
      </c>
      <c r="Y83" s="128">
        <f>X83*(100+10.4)%</f>
        <v>2693.8487616000002</v>
      </c>
      <c r="Z83" s="128">
        <f>Y83*(100+5.6)%+0.01</f>
        <v>2844.7142922496005</v>
      </c>
      <c r="AA83" s="128">
        <f>Z83*(100+7.3)%-0.01</f>
        <v>3052.3684355838209</v>
      </c>
      <c r="AB83" s="128">
        <f t="shared" si="90"/>
        <v>254.36403629865174</v>
      </c>
      <c r="AC83" s="128">
        <f t="shared" si="92"/>
        <v>363.11166666666668</v>
      </c>
      <c r="AD83" s="128">
        <f>S83</f>
        <v>138.947</v>
      </c>
      <c r="AE83" s="128">
        <f t="shared" si="93"/>
        <v>165.0511347222222</v>
      </c>
      <c r="AF83" s="130">
        <f t="shared" si="94"/>
        <v>45.454649319691974</v>
      </c>
      <c r="AG83" s="131">
        <f t="shared" si="91"/>
        <v>63.147871590232413</v>
      </c>
      <c r="AH83" s="4"/>
    </row>
    <row r="84" spans="1:34" x14ac:dyDescent="0.25">
      <c r="A84" s="1" t="s">
        <v>216</v>
      </c>
      <c r="B84" s="10">
        <v>38</v>
      </c>
      <c r="C84" s="35" t="s">
        <v>119</v>
      </c>
      <c r="D84" s="8">
        <v>2</v>
      </c>
      <c r="E84" s="35">
        <v>101.33</v>
      </c>
      <c r="F84" s="128">
        <f t="shared" si="83"/>
        <v>120961.67419999999</v>
      </c>
      <c r="G84" s="128">
        <f t="shared" si="84"/>
        <v>2016.0279033333331</v>
      </c>
      <c r="H84" s="128">
        <f t="shared" si="85"/>
        <v>1814.4251129999998</v>
      </c>
      <c r="I84" s="128">
        <f t="shared" si="86"/>
        <v>604.80837099999997</v>
      </c>
      <c r="J84" s="128">
        <v>4435.2700000000004</v>
      </c>
      <c r="K84" s="128">
        <f t="shared" si="88"/>
        <v>369.60583333333335</v>
      </c>
      <c r="L84" s="128">
        <f t="shared" si="89"/>
        <v>638.67763977599998</v>
      </c>
      <c r="M84" s="128">
        <f t="shared" si="89"/>
        <v>4683.645120000001</v>
      </c>
      <c r="N84" s="128">
        <f>+K84*N212</f>
        <v>258.72408333333334</v>
      </c>
      <c r="O84" s="128">
        <f>+N84*O212</f>
        <v>206.97926666666669</v>
      </c>
      <c r="P84" s="128">
        <f>+N84*P212</f>
        <v>232.851675</v>
      </c>
      <c r="Q84" s="128">
        <f>+N84*Q212</f>
        <v>258.72408333333334</v>
      </c>
      <c r="R84" s="128">
        <v>1017.03</v>
      </c>
      <c r="S84" s="128">
        <f>R84*S212</f>
        <v>101.703</v>
      </c>
      <c r="T84" s="128">
        <v>0</v>
      </c>
      <c r="U84" s="128">
        <v>0</v>
      </c>
      <c r="V84" s="128">
        <v>0</v>
      </c>
      <c r="W84" s="128">
        <f>O84</f>
        <v>206.97926666666669</v>
      </c>
      <c r="X84" s="128">
        <f>W84*12+0.01</f>
        <v>2483.7612000000004</v>
      </c>
      <c r="Y84" s="128">
        <f>X84*(100+10.4)%</f>
        <v>2742.0723648000007</v>
      </c>
      <c r="Z84" s="128">
        <f>Y84*(100+5.6)%</f>
        <v>2895.628417228801</v>
      </c>
      <c r="AA84" s="128">
        <f>Z84*(100+7.3)%</f>
        <v>3107.0092916865033</v>
      </c>
      <c r="AB84" s="128">
        <f t="shared" si="90"/>
        <v>258.91744097387527</v>
      </c>
      <c r="AC84" s="128">
        <f t="shared" si="92"/>
        <v>369.60583333333335</v>
      </c>
      <c r="AD84" s="128">
        <f>S84</f>
        <v>101.703</v>
      </c>
      <c r="AE84" s="128">
        <f t="shared" si="93"/>
        <v>168.00232527777777</v>
      </c>
      <c r="AF84" s="130">
        <f t="shared" si="94"/>
        <v>45.454457188250842</v>
      </c>
      <c r="AG84" s="131">
        <f t="shared" si="91"/>
        <v>46.218546594166753</v>
      </c>
      <c r="AH84" s="4"/>
    </row>
    <row r="85" spans="1:34" x14ac:dyDescent="0.25">
      <c r="A85" s="1" t="s">
        <v>217</v>
      </c>
      <c r="B85" s="10">
        <v>39</v>
      </c>
      <c r="C85" s="35" t="s">
        <v>121</v>
      </c>
      <c r="D85" s="36">
        <v>2</v>
      </c>
      <c r="E85" s="37">
        <v>87.25</v>
      </c>
      <c r="F85" s="128">
        <f>+E85*1193.93</f>
        <v>104170.3925</v>
      </c>
      <c r="G85" s="128">
        <f>+F85/60</f>
        <v>1736.1732083333334</v>
      </c>
      <c r="H85" s="128">
        <f>+F85*1.5%</f>
        <v>1562.5558874999999</v>
      </c>
      <c r="I85" s="128">
        <f>+F85*0.5%</f>
        <v>520.85196250000001</v>
      </c>
      <c r="J85" s="128">
        <f>+G85+H85+I85</f>
        <v>3819.5810583333332</v>
      </c>
      <c r="K85" s="128">
        <f>J85/12</f>
        <v>318.29842152777775</v>
      </c>
      <c r="L85" s="128"/>
      <c r="M85" s="128">
        <f>J85*(100%+5.6%)</f>
        <v>4033.4775976000001</v>
      </c>
      <c r="N85" s="128">
        <f>K85*N226</f>
        <v>222.80889506944442</v>
      </c>
      <c r="O85" s="128">
        <f>+N85*O226</f>
        <v>178.24711605555555</v>
      </c>
      <c r="P85" s="128">
        <f>+N85*P226</f>
        <v>200.52800556249997</v>
      </c>
      <c r="Q85" s="128">
        <f>+N85*Q226</f>
        <v>222.80889506944442</v>
      </c>
      <c r="R85" s="139" t="s">
        <v>251</v>
      </c>
      <c r="S85" s="139">
        <v>0</v>
      </c>
      <c r="T85" s="139">
        <v>0</v>
      </c>
      <c r="U85" s="139">
        <v>0</v>
      </c>
      <c r="V85" s="139">
        <v>0</v>
      </c>
      <c r="W85" s="139">
        <f>N85</f>
        <v>222.80889506944442</v>
      </c>
      <c r="X85" s="139">
        <f>W85*12+0.01</f>
        <v>2673.7167408333335</v>
      </c>
      <c r="Y85" s="139">
        <f>X85*(100+10.4)%+0.01</f>
        <v>2951.7932818800004</v>
      </c>
      <c r="Z85" s="139">
        <f t="shared" ref="Z85:Z94" si="95">Y85*(100+5.6)%</f>
        <v>3117.0937056652806</v>
      </c>
      <c r="AA85" s="139">
        <f>Z85*(100+7.3)%</f>
        <v>3344.6415461788461</v>
      </c>
      <c r="AB85" s="139">
        <f t="shared" ref="AB85:AB94" si="96">AA85/12</f>
        <v>278.72012884823715</v>
      </c>
      <c r="AC85" s="139">
        <f>K85</f>
        <v>318.29842152777775</v>
      </c>
      <c r="AD85" s="139">
        <f>AB85</f>
        <v>278.72012884823715</v>
      </c>
      <c r="AE85" s="139">
        <f>G85/12</f>
        <v>144.68110069444444</v>
      </c>
      <c r="AF85" s="141">
        <f>AE85/AC85*100</f>
        <v>45.45454545454546</v>
      </c>
      <c r="AG85" s="142">
        <f>AD85*AF85%-0.01</f>
        <v>126.68096765828962</v>
      </c>
      <c r="AH85" s="4"/>
    </row>
    <row r="86" spans="1:34" x14ac:dyDescent="0.25">
      <c r="A86" s="1" t="s">
        <v>218</v>
      </c>
      <c r="B86" s="10">
        <v>40</v>
      </c>
      <c r="C86" s="35" t="s">
        <v>122</v>
      </c>
      <c r="D86" s="36">
        <v>2</v>
      </c>
      <c r="E86" s="37">
        <v>86.95</v>
      </c>
      <c r="F86" s="128">
        <f t="shared" ref="F86:F94" si="97">+E86*1193.93</f>
        <v>103812.21350000001</v>
      </c>
      <c r="G86" s="128">
        <f t="shared" ref="G86:G94" si="98">+F86/60</f>
        <v>1730.2035583333336</v>
      </c>
      <c r="H86" s="128">
        <f t="shared" ref="H86:H94" si="99">+F86*1.5%</f>
        <v>1557.1832025000001</v>
      </c>
      <c r="I86" s="128">
        <f t="shared" ref="I86:I94" si="100">+F86*0.5%</f>
        <v>519.06106750000004</v>
      </c>
      <c r="J86" s="128">
        <f t="shared" ref="J86:J94" si="101">+G86+H86+I86</f>
        <v>3806.4478283333337</v>
      </c>
      <c r="K86" s="128">
        <f>J86/12</f>
        <v>317.2039856944445</v>
      </c>
      <c r="L86" s="128"/>
      <c r="M86" s="128">
        <f t="shared" ref="M86:M94" si="102">J86*(100%+5.6%)</f>
        <v>4019.6089067200005</v>
      </c>
      <c r="N86" s="128">
        <f>K86*N226</f>
        <v>222.04278998611113</v>
      </c>
      <c r="O86" s="128">
        <f>+N86*O226</f>
        <v>177.63423198888893</v>
      </c>
      <c r="P86" s="128">
        <f>+N86*P226</f>
        <v>199.83851098750003</v>
      </c>
      <c r="Q86" s="128">
        <f>+N86*Q226</f>
        <v>222.04278998611113</v>
      </c>
      <c r="R86" s="128">
        <v>1662.13</v>
      </c>
      <c r="S86" s="128">
        <f>R86*S226</f>
        <v>166.21300000000002</v>
      </c>
      <c r="T86" s="128">
        <v>0</v>
      </c>
      <c r="U86" s="128">
        <v>0</v>
      </c>
      <c r="V86" s="128">
        <v>0</v>
      </c>
      <c r="W86" s="128">
        <f>O86</f>
        <v>177.63423198888893</v>
      </c>
      <c r="X86" s="128">
        <f>W86*12-0.05</f>
        <v>2131.560783866667</v>
      </c>
      <c r="Y86" s="128">
        <f>X86*(100+10.4)%</f>
        <v>2353.2431053888004</v>
      </c>
      <c r="Z86" s="128">
        <f t="shared" si="95"/>
        <v>2485.0247192905731</v>
      </c>
      <c r="AA86" s="128">
        <f>Z86*(100+7.3)%</f>
        <v>2666.4315237987848</v>
      </c>
      <c r="AB86" s="128">
        <f t="shared" si="96"/>
        <v>222.20262698323208</v>
      </c>
      <c r="AC86" s="128">
        <f t="shared" ref="AC86:AC94" si="103">K86</f>
        <v>317.2039856944445</v>
      </c>
      <c r="AD86" s="128">
        <f>S86</f>
        <v>166.21300000000002</v>
      </c>
      <c r="AE86" s="128">
        <f t="shared" ref="AE86:AE94" si="104">G86/12</f>
        <v>144.18362986111114</v>
      </c>
      <c r="AF86" s="130">
        <f t="shared" ref="AF86:AF94" si="105">AE86/AC86*100</f>
        <v>45.45454545454546</v>
      </c>
      <c r="AG86" s="131">
        <f>AD86*AF86%-0.01</f>
        <v>75.541363636363641</v>
      </c>
      <c r="AH86" s="4"/>
    </row>
    <row r="87" spans="1:34" x14ac:dyDescent="0.25">
      <c r="A87" s="1" t="s">
        <v>219</v>
      </c>
      <c r="B87" s="10">
        <v>41</v>
      </c>
      <c r="C87" s="35" t="s">
        <v>123</v>
      </c>
      <c r="D87" s="36">
        <v>2</v>
      </c>
      <c r="E87" s="37">
        <v>87.84</v>
      </c>
      <c r="F87" s="128">
        <f t="shared" si="97"/>
        <v>104874.81120000001</v>
      </c>
      <c r="G87" s="128">
        <f t="shared" si="98"/>
        <v>1747.9135200000003</v>
      </c>
      <c r="H87" s="128">
        <f t="shared" si="99"/>
        <v>1573.1221680000001</v>
      </c>
      <c r="I87" s="128">
        <f t="shared" si="100"/>
        <v>524.37405600000011</v>
      </c>
      <c r="J87" s="128">
        <f t="shared" si="101"/>
        <v>3845.4097440000005</v>
      </c>
      <c r="K87" s="128">
        <f>J87/12</f>
        <v>320.45081200000004</v>
      </c>
      <c r="L87" s="128"/>
      <c r="M87" s="128">
        <f t="shared" si="102"/>
        <v>4060.7526896640006</v>
      </c>
      <c r="N87" s="128">
        <f>K87*N226</f>
        <v>224.31556840000002</v>
      </c>
      <c r="O87" s="128">
        <f>N87*O226</f>
        <v>179.45245472000002</v>
      </c>
      <c r="P87" s="128">
        <f>N87*P226</f>
        <v>201.88401156000003</v>
      </c>
      <c r="Q87" s="128">
        <f>+N87*Q226</f>
        <v>224.31556840000002</v>
      </c>
      <c r="R87" s="128">
        <v>2271.7800000000002</v>
      </c>
      <c r="S87" s="128">
        <f>R87*S226</f>
        <v>227.17800000000003</v>
      </c>
      <c r="T87" s="128">
        <v>0</v>
      </c>
      <c r="U87" s="128">
        <v>0</v>
      </c>
      <c r="V87" s="128">
        <v>0</v>
      </c>
      <c r="W87" s="128">
        <f>O87</f>
        <v>179.45245472000002</v>
      </c>
      <c r="X87" s="128">
        <f>W87*12</f>
        <v>2153.4294566400004</v>
      </c>
      <c r="Y87" s="128">
        <f>X87*(100+10.4)%</f>
        <v>2377.3861201305608</v>
      </c>
      <c r="Z87" s="128">
        <f t="shared" si="95"/>
        <v>2510.5197428578722</v>
      </c>
      <c r="AA87" s="128">
        <f>Z87*(100+7.3)%+0.01</f>
        <v>2693.7976840864972</v>
      </c>
      <c r="AB87" s="128">
        <f t="shared" si="96"/>
        <v>224.48314034054144</v>
      </c>
      <c r="AC87" s="128">
        <f t="shared" si="103"/>
        <v>320.45081200000004</v>
      </c>
      <c r="AD87" s="128">
        <f>AB87</f>
        <v>224.48314034054144</v>
      </c>
      <c r="AE87" s="128">
        <f t="shared" si="104"/>
        <v>145.65946000000002</v>
      </c>
      <c r="AF87" s="130">
        <f t="shared" si="105"/>
        <v>45.45454545454546</v>
      </c>
      <c r="AG87" s="131">
        <f>AD87*AF87%-0.01</f>
        <v>102.02779106388247</v>
      </c>
      <c r="AH87" s="4"/>
    </row>
    <row r="88" spans="1:34" x14ac:dyDescent="0.25">
      <c r="A88" s="1" t="s">
        <v>220</v>
      </c>
      <c r="B88" s="10">
        <v>42</v>
      </c>
      <c r="C88" s="35" t="s">
        <v>124</v>
      </c>
      <c r="D88" s="36">
        <v>2</v>
      </c>
      <c r="E88" s="37">
        <v>93.15</v>
      </c>
      <c r="F88" s="128">
        <f t="shared" si="97"/>
        <v>111214.57950000001</v>
      </c>
      <c r="G88" s="128">
        <f t="shared" si="98"/>
        <v>1853.5763250000002</v>
      </c>
      <c r="H88" s="128">
        <f t="shared" si="99"/>
        <v>1668.2186925000001</v>
      </c>
      <c r="I88" s="128">
        <f t="shared" si="100"/>
        <v>556.07289750000007</v>
      </c>
      <c r="J88" s="128">
        <f t="shared" si="101"/>
        <v>4077.8679150000007</v>
      </c>
      <c r="K88" s="128">
        <f>J88/12</f>
        <v>339.82232625000006</v>
      </c>
      <c r="L88" s="128"/>
      <c r="M88" s="128">
        <f t="shared" si="102"/>
        <v>4306.228518240001</v>
      </c>
      <c r="N88" s="128">
        <f>K88*N226</f>
        <v>237.87562837500002</v>
      </c>
      <c r="O88" s="128">
        <f>+N88*O226</f>
        <v>190.30050270000004</v>
      </c>
      <c r="P88" s="128">
        <f>+N88*P226</f>
        <v>214.08806553750003</v>
      </c>
      <c r="Q88" s="128">
        <f>+N88*Q226</f>
        <v>237.87562837500002</v>
      </c>
      <c r="R88" s="128">
        <v>2026.23</v>
      </c>
      <c r="S88" s="128">
        <f>R88*S226</f>
        <v>202.62300000000002</v>
      </c>
      <c r="T88" s="128">
        <v>0</v>
      </c>
      <c r="U88" s="128">
        <v>0</v>
      </c>
      <c r="V88" s="128">
        <v>0</v>
      </c>
      <c r="W88" s="128">
        <f>O88</f>
        <v>190.30050270000004</v>
      </c>
      <c r="X88" s="128">
        <f>W88*12+0.05</f>
        <v>2283.6560324000006</v>
      </c>
      <c r="Y88" s="128">
        <f>X88*(100+10.4)%-0.01</f>
        <v>2521.1462597696009</v>
      </c>
      <c r="Z88" s="128">
        <f t="shared" si="95"/>
        <v>2662.3304503166987</v>
      </c>
      <c r="AA88" s="128">
        <f>Z88*(100+7.3)%+0.01</f>
        <v>2856.6905731898178</v>
      </c>
      <c r="AB88" s="128">
        <f t="shared" si="96"/>
        <v>238.05754776581816</v>
      </c>
      <c r="AC88" s="128">
        <f t="shared" si="103"/>
        <v>339.82232625000006</v>
      </c>
      <c r="AD88" s="128">
        <f>S88</f>
        <v>202.62300000000002</v>
      </c>
      <c r="AE88" s="128">
        <f t="shared" si="104"/>
        <v>154.46469375000001</v>
      </c>
      <c r="AF88" s="130">
        <f t="shared" si="105"/>
        <v>45.454545454545446</v>
      </c>
      <c r="AG88" s="131">
        <f>AD88*AF88%-0.01</f>
        <v>92.091363636363624</v>
      </c>
      <c r="AH88" s="4"/>
    </row>
    <row r="89" spans="1:34" x14ac:dyDescent="0.25">
      <c r="A89" s="1" t="s">
        <v>221</v>
      </c>
      <c r="B89" s="10">
        <v>43</v>
      </c>
      <c r="C89" s="35" t="s">
        <v>125</v>
      </c>
      <c r="D89" s="36">
        <v>2</v>
      </c>
      <c r="E89" s="37">
        <v>98.79</v>
      </c>
      <c r="F89" s="128">
        <f t="shared" si="97"/>
        <v>117948.34470000002</v>
      </c>
      <c r="G89" s="128">
        <f t="shared" si="98"/>
        <v>1965.8057450000003</v>
      </c>
      <c r="H89" s="128">
        <f t="shared" si="99"/>
        <v>1769.2251705000001</v>
      </c>
      <c r="I89" s="128">
        <f t="shared" si="100"/>
        <v>589.74172350000015</v>
      </c>
      <c r="J89" s="128">
        <f t="shared" si="101"/>
        <v>4324.7726390000007</v>
      </c>
      <c r="K89" s="128">
        <f>J89/12</f>
        <v>360.39771991666674</v>
      </c>
      <c r="L89" s="128"/>
      <c r="M89" s="128">
        <f t="shared" si="102"/>
        <v>4566.9599067840009</v>
      </c>
      <c r="N89" s="128">
        <f>+K89*N226</f>
        <v>252.27840394166671</v>
      </c>
      <c r="O89" s="128">
        <f>+N89*O226</f>
        <v>201.82272315333338</v>
      </c>
      <c r="P89" s="128">
        <f>+N89*P226</f>
        <v>227.05056354750005</v>
      </c>
      <c r="Q89" s="128">
        <f>+N89*Q226</f>
        <v>252.27840394166671</v>
      </c>
      <c r="R89" s="128">
        <v>2347.56</v>
      </c>
      <c r="S89" s="128">
        <f>R89*S226</f>
        <v>234.756</v>
      </c>
      <c r="T89" s="128">
        <v>0</v>
      </c>
      <c r="U89" s="128">
        <v>0</v>
      </c>
      <c r="V89" s="128">
        <v>0</v>
      </c>
      <c r="W89" s="128">
        <f>O89</f>
        <v>201.82272315333338</v>
      </c>
      <c r="X89" s="128">
        <f>W89*12-0.03</f>
        <v>2421.8426778400003</v>
      </c>
      <c r="Y89" s="128">
        <f t="shared" ref="Y89:Y94" si="106">X89*(100+10.4)%</f>
        <v>2673.7143163353608</v>
      </c>
      <c r="Z89" s="128">
        <f t="shared" si="95"/>
        <v>2823.4423180501412</v>
      </c>
      <c r="AA89" s="128">
        <f t="shared" ref="AA89:AA94" si="107">Z89*(100+7.3)%</f>
        <v>3029.5536072678015</v>
      </c>
      <c r="AB89" s="128">
        <f t="shared" si="96"/>
        <v>252.46280060565013</v>
      </c>
      <c r="AC89" s="128">
        <f t="shared" si="103"/>
        <v>360.39771991666674</v>
      </c>
      <c r="AD89" s="128">
        <f>S89</f>
        <v>234.756</v>
      </c>
      <c r="AE89" s="128">
        <f t="shared" si="104"/>
        <v>163.8171454166667</v>
      </c>
      <c r="AF89" s="130">
        <f t="shared" si="105"/>
        <v>45.454545454545453</v>
      </c>
      <c r="AG89" s="131">
        <f>AD89*AF89%-0.01</f>
        <v>106.69727272727272</v>
      </c>
      <c r="AH89" s="4"/>
    </row>
    <row r="90" spans="1:34" x14ac:dyDescent="0.25">
      <c r="A90" s="1" t="s">
        <v>222</v>
      </c>
      <c r="B90" s="10">
        <v>44</v>
      </c>
      <c r="C90" s="35" t="s">
        <v>126</v>
      </c>
      <c r="D90" s="36">
        <v>2</v>
      </c>
      <c r="E90" s="37">
        <v>99.28</v>
      </c>
      <c r="F90" s="128">
        <f t="shared" si="97"/>
        <v>118533.37040000001</v>
      </c>
      <c r="G90" s="128">
        <f t="shared" si="98"/>
        <v>1975.5561733333336</v>
      </c>
      <c r="H90" s="128">
        <f t="shared" si="99"/>
        <v>1778.0005560000002</v>
      </c>
      <c r="I90" s="128">
        <f t="shared" si="100"/>
        <v>592.66685200000006</v>
      </c>
      <c r="J90" s="128">
        <f t="shared" si="101"/>
        <v>4346.2235813333336</v>
      </c>
      <c r="K90" s="128">
        <f t="shared" ref="K90:K94" si="108">J90/12</f>
        <v>362.18529844444447</v>
      </c>
      <c r="L90" s="128"/>
      <c r="M90" s="128">
        <f t="shared" si="102"/>
        <v>4589.6121018880003</v>
      </c>
      <c r="N90" s="128">
        <f>+K90*N226</f>
        <v>253.5297089111111</v>
      </c>
      <c r="O90" s="128">
        <f>N90*O226</f>
        <v>202.8237671288889</v>
      </c>
      <c r="P90" s="128">
        <f>+N90*P226</f>
        <v>228.17673801999999</v>
      </c>
      <c r="Q90" s="128">
        <f>N90*Q226</f>
        <v>253.5297089111111</v>
      </c>
      <c r="R90" s="139" t="s">
        <v>251</v>
      </c>
      <c r="S90" s="139">
        <v>0</v>
      </c>
      <c r="T90" s="139">
        <v>0</v>
      </c>
      <c r="U90" s="139">
        <v>0</v>
      </c>
      <c r="V90" s="139">
        <v>0</v>
      </c>
      <c r="W90" s="139">
        <f>N90</f>
        <v>253.5297089111111</v>
      </c>
      <c r="X90" s="139">
        <f>W90*12-0.04</f>
        <v>3042.3165069333331</v>
      </c>
      <c r="Y90" s="139">
        <f>X90*(100+10.4)%+0.01</f>
        <v>3358.7274236544004</v>
      </c>
      <c r="Z90" s="139">
        <f t="shared" si="95"/>
        <v>3546.8161593790469</v>
      </c>
      <c r="AA90" s="139">
        <f t="shared" si="107"/>
        <v>3805.7337390137172</v>
      </c>
      <c r="AB90" s="139">
        <f t="shared" si="96"/>
        <v>317.14447825114308</v>
      </c>
      <c r="AC90" s="139">
        <f t="shared" si="103"/>
        <v>362.18529844444447</v>
      </c>
      <c r="AD90" s="139">
        <f>AB90</f>
        <v>317.14447825114308</v>
      </c>
      <c r="AE90" s="139">
        <f t="shared" si="104"/>
        <v>164.62968111111113</v>
      </c>
      <c r="AF90" s="141">
        <f t="shared" si="105"/>
        <v>45.454545454545453</v>
      </c>
      <c r="AG90" s="142">
        <f>AD90*AF90%-0.02</f>
        <v>144.13658102324683</v>
      </c>
      <c r="AH90" s="4"/>
    </row>
    <row r="91" spans="1:34" x14ac:dyDescent="0.25">
      <c r="A91" s="1" t="s">
        <v>223</v>
      </c>
      <c r="B91" s="10">
        <v>45</v>
      </c>
      <c r="C91" s="35" t="s">
        <v>127</v>
      </c>
      <c r="D91" s="36">
        <v>2</v>
      </c>
      <c r="E91" s="37">
        <v>100.11</v>
      </c>
      <c r="F91" s="128">
        <f t="shared" si="97"/>
        <v>119524.33230000001</v>
      </c>
      <c r="G91" s="128">
        <f t="shared" si="98"/>
        <v>1992.0722050000002</v>
      </c>
      <c r="H91" s="128">
        <f t="shared" si="99"/>
        <v>1792.8649845</v>
      </c>
      <c r="I91" s="128">
        <f t="shared" si="100"/>
        <v>597.62166150000007</v>
      </c>
      <c r="J91" s="128">
        <f t="shared" si="101"/>
        <v>4382.5588510000007</v>
      </c>
      <c r="K91" s="128">
        <f t="shared" si="108"/>
        <v>365.21323758333341</v>
      </c>
      <c r="L91" s="128"/>
      <c r="M91" s="128">
        <f t="shared" si="102"/>
        <v>4627.9821466560006</v>
      </c>
      <c r="N91" s="128">
        <f>+K91*N226</f>
        <v>255.64926630833338</v>
      </c>
      <c r="O91" s="128">
        <f>+N91*O226</f>
        <v>204.51941304666673</v>
      </c>
      <c r="P91" s="128">
        <f>+N91*P226</f>
        <v>230.08433967750005</v>
      </c>
      <c r="Q91" s="128">
        <f>+N91*Q226</f>
        <v>255.64926630833338</v>
      </c>
      <c r="R91" s="128">
        <v>2159.0700000000002</v>
      </c>
      <c r="S91" s="128">
        <f>R91*S226</f>
        <v>215.90700000000004</v>
      </c>
      <c r="T91" s="128">
        <v>0</v>
      </c>
      <c r="U91" s="128">
        <v>0</v>
      </c>
      <c r="V91" s="128">
        <v>0</v>
      </c>
      <c r="W91" s="128">
        <f>O91</f>
        <v>204.51941304666673</v>
      </c>
      <c r="X91" s="128">
        <f>W91*12+0.01</f>
        <v>2454.2429565600009</v>
      </c>
      <c r="Y91" s="128">
        <f t="shared" si="106"/>
        <v>2709.4842240422413</v>
      </c>
      <c r="Z91" s="128">
        <f t="shared" si="95"/>
        <v>2861.215340588607</v>
      </c>
      <c r="AA91" s="128">
        <f t="shared" si="107"/>
        <v>3070.0840604515752</v>
      </c>
      <c r="AB91" s="128">
        <f t="shared" si="96"/>
        <v>255.84033837096459</v>
      </c>
      <c r="AC91" s="128">
        <f t="shared" si="103"/>
        <v>365.21323758333341</v>
      </c>
      <c r="AD91" s="128">
        <f>S91</f>
        <v>215.90700000000004</v>
      </c>
      <c r="AE91" s="128">
        <f t="shared" si="104"/>
        <v>166.00601708333335</v>
      </c>
      <c r="AF91" s="130">
        <f t="shared" si="105"/>
        <v>45.454545454545446</v>
      </c>
      <c r="AG91" s="131">
        <f>AD91*AF91%-0.01</f>
        <v>98.12954545454545</v>
      </c>
      <c r="AH91" s="4"/>
    </row>
    <row r="92" spans="1:34" x14ac:dyDescent="0.25">
      <c r="A92" s="1" t="s">
        <v>224</v>
      </c>
      <c r="B92" s="10">
        <v>46</v>
      </c>
      <c r="C92" s="35" t="s">
        <v>128</v>
      </c>
      <c r="D92" s="36">
        <v>2</v>
      </c>
      <c r="E92" s="37">
        <v>99.5</v>
      </c>
      <c r="F92" s="128">
        <f t="shared" si="97"/>
        <v>118796.035</v>
      </c>
      <c r="G92" s="128">
        <f t="shared" si="98"/>
        <v>1979.9339166666666</v>
      </c>
      <c r="H92" s="128">
        <f t="shared" si="99"/>
        <v>1781.940525</v>
      </c>
      <c r="I92" s="128">
        <f t="shared" si="100"/>
        <v>593.98017500000003</v>
      </c>
      <c r="J92" s="128">
        <f t="shared" si="101"/>
        <v>4355.8546166666665</v>
      </c>
      <c r="K92" s="128">
        <f t="shared" si="108"/>
        <v>362.98788472222219</v>
      </c>
      <c r="L92" s="128"/>
      <c r="M92" s="128">
        <f t="shared" si="102"/>
        <v>4599.7824751999997</v>
      </c>
      <c r="N92" s="128">
        <f>+K92*N226</f>
        <v>254.09151930555552</v>
      </c>
      <c r="O92" s="128">
        <f>+N92*O226</f>
        <v>203.27321544444442</v>
      </c>
      <c r="P92" s="128">
        <f>+N92*P226</f>
        <v>228.68236737499998</v>
      </c>
      <c r="Q92" s="128">
        <f>+N92*Q226</f>
        <v>254.09151930555552</v>
      </c>
      <c r="R92" s="128">
        <v>3124.11</v>
      </c>
      <c r="S92" s="128">
        <v>0</v>
      </c>
      <c r="T92" s="128">
        <f>R92*T226</f>
        <v>624.82200000000012</v>
      </c>
      <c r="U92" s="128">
        <v>0</v>
      </c>
      <c r="V92" s="128">
        <v>0</v>
      </c>
      <c r="W92" s="128">
        <f>P92</f>
        <v>228.68236737499998</v>
      </c>
      <c r="X92" s="128">
        <f>W92*12-0.03</f>
        <v>2744.1584084999995</v>
      </c>
      <c r="Y92" s="128">
        <f t="shared" si="106"/>
        <v>3029.5508829839996</v>
      </c>
      <c r="Z92" s="128">
        <f>Y92*(100+5.6)%-0.01</f>
        <v>3199.1957324311034</v>
      </c>
      <c r="AA92" s="128">
        <f t="shared" si="107"/>
        <v>3432.737020898574</v>
      </c>
      <c r="AB92" s="128">
        <f t="shared" si="96"/>
        <v>286.06141840821448</v>
      </c>
      <c r="AC92" s="128">
        <f t="shared" si="103"/>
        <v>362.98788472222219</v>
      </c>
      <c r="AD92" s="128">
        <f>AB92</f>
        <v>286.06141840821448</v>
      </c>
      <c r="AE92" s="128">
        <f t="shared" si="104"/>
        <v>164.99449305555555</v>
      </c>
      <c r="AF92" s="130">
        <f t="shared" si="105"/>
        <v>45.45454545454546</v>
      </c>
      <c r="AG92" s="131">
        <f>AD92*AF92%-0.02</f>
        <v>130.00791745827931</v>
      </c>
      <c r="AH92" s="4"/>
    </row>
    <row r="93" spans="1:34" x14ac:dyDescent="0.25">
      <c r="A93" s="1" t="s">
        <v>174</v>
      </c>
      <c r="B93" s="10">
        <v>47</v>
      </c>
      <c r="C93" s="35" t="s">
        <v>129</v>
      </c>
      <c r="D93" s="36">
        <v>2</v>
      </c>
      <c r="E93" s="37">
        <v>99.9</v>
      </c>
      <c r="F93" s="128">
        <f t="shared" si="97"/>
        <v>119273.60700000002</v>
      </c>
      <c r="G93" s="128">
        <f t="shared" si="98"/>
        <v>1987.8934500000003</v>
      </c>
      <c r="H93" s="128">
        <f t="shared" si="99"/>
        <v>1789.1041050000001</v>
      </c>
      <c r="I93" s="128">
        <f t="shared" si="100"/>
        <v>596.36803500000008</v>
      </c>
      <c r="J93" s="128">
        <f t="shared" si="101"/>
        <v>4373.3655900000003</v>
      </c>
      <c r="K93" s="128">
        <f t="shared" si="108"/>
        <v>364.44713250000001</v>
      </c>
      <c r="L93" s="128"/>
      <c r="M93" s="128">
        <f t="shared" si="102"/>
        <v>4618.2740630400003</v>
      </c>
      <c r="N93" s="128">
        <f>K93*N226</f>
        <v>255.11299274999999</v>
      </c>
      <c r="O93" s="128">
        <f>+N93*O226</f>
        <v>204.09039419999999</v>
      </c>
      <c r="P93" s="128">
        <f>+N93*P226</f>
        <v>229.60169347499999</v>
      </c>
      <c r="Q93" s="128">
        <f>+N93*Q226</f>
        <v>255.11299274999999</v>
      </c>
      <c r="R93" s="128">
        <v>2437.0300000000002</v>
      </c>
      <c r="S93" s="128">
        <f>R93*S226</f>
        <v>243.70300000000003</v>
      </c>
      <c r="T93" s="128">
        <v>0</v>
      </c>
      <c r="U93" s="128">
        <v>0</v>
      </c>
      <c r="V93" s="128">
        <v>0</v>
      </c>
      <c r="W93" s="128">
        <f>O93</f>
        <v>204.09039419999999</v>
      </c>
      <c r="X93" s="128">
        <f>W93*12+0.05</f>
        <v>2449.1347304000001</v>
      </c>
      <c r="Y93" s="128">
        <f t="shared" si="106"/>
        <v>2703.8447423616003</v>
      </c>
      <c r="Z93" s="128">
        <f t="shared" si="95"/>
        <v>2855.2600479338503</v>
      </c>
      <c r="AA93" s="128">
        <f t="shared" si="107"/>
        <v>3063.6940314330213</v>
      </c>
      <c r="AB93" s="128">
        <f>AA93/12+0.01</f>
        <v>255.31783595275178</v>
      </c>
      <c r="AC93" s="128">
        <f t="shared" si="103"/>
        <v>364.44713250000001</v>
      </c>
      <c r="AD93" s="128">
        <f>S93</f>
        <v>243.70300000000003</v>
      </c>
      <c r="AE93" s="128">
        <f t="shared" si="104"/>
        <v>165.65778750000001</v>
      </c>
      <c r="AF93" s="130">
        <f t="shared" si="105"/>
        <v>45.45454545454546</v>
      </c>
      <c r="AG93" s="131">
        <f>AD93*AF93%-0.01</f>
        <v>110.76409090909092</v>
      </c>
      <c r="AH93" s="4"/>
    </row>
    <row r="94" spans="1:34" x14ac:dyDescent="0.25">
      <c r="A94" s="1" t="s">
        <v>225</v>
      </c>
      <c r="B94" s="10">
        <v>48</v>
      </c>
      <c r="C94" s="35" t="s">
        <v>130</v>
      </c>
      <c r="D94" s="36">
        <v>2</v>
      </c>
      <c r="E94" s="37">
        <v>100.22</v>
      </c>
      <c r="F94" s="128">
        <f t="shared" si="97"/>
        <v>119655.6646</v>
      </c>
      <c r="G94" s="128">
        <f t="shared" si="98"/>
        <v>1994.2610766666667</v>
      </c>
      <c r="H94" s="128">
        <f t="shared" si="99"/>
        <v>1794.834969</v>
      </c>
      <c r="I94" s="128">
        <f t="shared" si="100"/>
        <v>598.278323</v>
      </c>
      <c r="J94" s="128">
        <f t="shared" si="101"/>
        <v>4387.3743686666667</v>
      </c>
      <c r="K94" s="128">
        <f t="shared" si="108"/>
        <v>365.61453072222224</v>
      </c>
      <c r="L94" s="128"/>
      <c r="M94" s="128">
        <f t="shared" si="102"/>
        <v>4633.0673333120003</v>
      </c>
      <c r="N94" s="128">
        <f>+K94*N226</f>
        <v>255.93017150555556</v>
      </c>
      <c r="O94" s="128">
        <f>+N94*O226</f>
        <v>204.74413720444446</v>
      </c>
      <c r="P94" s="128">
        <f>+N94*P226</f>
        <v>230.33715435500002</v>
      </c>
      <c r="Q94" s="128">
        <f>+N94*Q226</f>
        <v>255.93017150555556</v>
      </c>
      <c r="R94" s="128">
        <v>2054.42</v>
      </c>
      <c r="S94" s="128">
        <f>R94*S226</f>
        <v>205.44200000000001</v>
      </c>
      <c r="T94" s="128">
        <v>0</v>
      </c>
      <c r="U94" s="128">
        <v>0</v>
      </c>
      <c r="V94" s="128">
        <v>0</v>
      </c>
      <c r="W94" s="128">
        <v>204.74</v>
      </c>
      <c r="X94" s="128">
        <f>W94*12</f>
        <v>2456.88</v>
      </c>
      <c r="Y94" s="128">
        <f t="shared" si="106"/>
        <v>2712.3955200000005</v>
      </c>
      <c r="Z94" s="128">
        <f t="shared" si="95"/>
        <v>2864.2896691200008</v>
      </c>
      <c r="AA94" s="128">
        <f t="shared" si="107"/>
        <v>3073.3828149657606</v>
      </c>
      <c r="AB94" s="128">
        <f t="shared" si="96"/>
        <v>256.11523458048003</v>
      </c>
      <c r="AC94" s="128">
        <f t="shared" si="103"/>
        <v>365.61453072222224</v>
      </c>
      <c r="AD94" s="128">
        <f>S94</f>
        <v>205.44200000000001</v>
      </c>
      <c r="AE94" s="128">
        <f t="shared" si="104"/>
        <v>166.18842305555555</v>
      </c>
      <c r="AF94" s="130">
        <f t="shared" si="105"/>
        <v>45.454545454545446</v>
      </c>
      <c r="AG94" s="131">
        <f>AD94*AF94%-0.01</f>
        <v>93.372727272727261</v>
      </c>
      <c r="AH94" s="4"/>
    </row>
    <row r="95" spans="1:34" x14ac:dyDescent="0.25">
      <c r="A95" s="1" t="s">
        <v>227</v>
      </c>
      <c r="B95" s="10">
        <v>49</v>
      </c>
      <c r="C95" s="35" t="s">
        <v>133</v>
      </c>
      <c r="D95" s="36">
        <v>2</v>
      </c>
      <c r="E95" s="35">
        <v>87.95</v>
      </c>
      <c r="F95" s="37">
        <f>+E95*1193.52</f>
        <v>104970.084</v>
      </c>
      <c r="G95" s="37">
        <f>+F95/60</f>
        <v>1749.5014000000001</v>
      </c>
      <c r="H95" s="37">
        <f>+F95*1.5%</f>
        <v>1574.55126</v>
      </c>
      <c r="I95" s="37">
        <f>+F95*0.5%</f>
        <v>524.85041999999999</v>
      </c>
      <c r="J95" s="37">
        <f>+G95+H95+I95</f>
        <v>3848.90308</v>
      </c>
      <c r="K95" s="37">
        <f t="shared" ref="K95:K100" si="109">+J95/12</f>
        <v>320.74192333333332</v>
      </c>
      <c r="L95" s="37"/>
      <c r="M95" s="37">
        <f>J95*(100%+5.6%)</f>
        <v>4064.4416524800004</v>
      </c>
      <c r="N95" s="37">
        <f>+K95*N253</f>
        <v>224.51934633333332</v>
      </c>
      <c r="O95" s="37">
        <f>+N95*O253</f>
        <v>179.61547706666667</v>
      </c>
      <c r="P95" s="37">
        <f>+N95*P253</f>
        <v>202.06741169999998</v>
      </c>
      <c r="Q95" s="37">
        <f>+N95*Q253</f>
        <v>224.51934633333332</v>
      </c>
      <c r="R95" s="37">
        <v>1585.02</v>
      </c>
      <c r="S95" s="37">
        <f>R95*S253</f>
        <v>158.50200000000001</v>
      </c>
      <c r="T95" s="37">
        <v>0</v>
      </c>
      <c r="U95" s="37">
        <v>0</v>
      </c>
      <c r="V95" s="37">
        <v>0</v>
      </c>
      <c r="W95" s="37">
        <f>O95</f>
        <v>179.61547706666667</v>
      </c>
      <c r="X95" s="37">
        <v>2155.44</v>
      </c>
      <c r="Y95" s="37">
        <v>2379.61</v>
      </c>
      <c r="Z95" s="37">
        <v>2512.87</v>
      </c>
      <c r="AA95" s="37">
        <f>Z95*(100+7.3)%</f>
        <v>2696.3095099999996</v>
      </c>
      <c r="AB95" s="37">
        <f t="shared" ref="AB95:AB100" si="110">AA95/12</f>
        <v>224.69245916666662</v>
      </c>
      <c r="AC95" s="37">
        <f>K95</f>
        <v>320.74192333333332</v>
      </c>
      <c r="AD95" s="37">
        <f>S95</f>
        <v>158.50200000000001</v>
      </c>
      <c r="AE95" s="37">
        <f>G95/12</f>
        <v>145.79178333333334</v>
      </c>
      <c r="AF95" s="47">
        <f>AE95/AC95*100</f>
        <v>45.45454545454546</v>
      </c>
      <c r="AG95" s="144">
        <f>AD95*AF95%</f>
        <v>72.046363636363651</v>
      </c>
      <c r="AH95" s="4"/>
    </row>
    <row r="96" spans="1:34" x14ac:dyDescent="0.25">
      <c r="A96" s="1" t="s">
        <v>228</v>
      </c>
      <c r="B96" s="10">
        <v>50</v>
      </c>
      <c r="C96" s="35" t="s">
        <v>134</v>
      </c>
      <c r="D96" s="36">
        <v>2</v>
      </c>
      <c r="E96" s="35">
        <v>86.82</v>
      </c>
      <c r="F96" s="37">
        <f>+E96*1193.52</f>
        <v>103621.40639999999</v>
      </c>
      <c r="G96" s="37">
        <v>1727.03</v>
      </c>
      <c r="H96" s="37">
        <f>+F96*1.5%</f>
        <v>1554.3210959999999</v>
      </c>
      <c r="I96" s="37">
        <f>+F96*0.5%</f>
        <v>518.107032</v>
      </c>
      <c r="J96" s="37">
        <f>+G96+H96+I96</f>
        <v>3799.4581279999998</v>
      </c>
      <c r="K96" s="37">
        <f t="shared" si="109"/>
        <v>316.62151066666667</v>
      </c>
      <c r="L96" s="37"/>
      <c r="M96" s="37">
        <f>J96*(100%+5.6%)</f>
        <v>4012.2277831679999</v>
      </c>
      <c r="N96" s="37">
        <v>221.63</v>
      </c>
      <c r="O96" s="37">
        <f>+N96*O253</f>
        <v>177.304</v>
      </c>
      <c r="P96" s="37">
        <f>+N96*P253</f>
        <v>199.46700000000001</v>
      </c>
      <c r="Q96" s="37">
        <f>+N96*Q253</f>
        <v>221.63</v>
      </c>
      <c r="R96" s="143" t="s">
        <v>251</v>
      </c>
      <c r="S96" s="143">
        <v>0</v>
      </c>
      <c r="T96" s="143">
        <v>0</v>
      </c>
      <c r="U96" s="143">
        <v>0</v>
      </c>
      <c r="V96" s="143">
        <v>0</v>
      </c>
      <c r="W96" s="143">
        <f>N96</f>
        <v>221.63</v>
      </c>
      <c r="X96" s="143">
        <f>W96*12</f>
        <v>2659.56</v>
      </c>
      <c r="Y96" s="143">
        <f>X96*(100+10.4)%</f>
        <v>2936.1542400000003</v>
      </c>
      <c r="Z96" s="143">
        <f>Y96*(100+5.6)%-0.01</f>
        <v>3100.5688774400001</v>
      </c>
      <c r="AA96" s="143">
        <f>Z96*(100+7.3)%</f>
        <v>3326.9104054931199</v>
      </c>
      <c r="AB96" s="143">
        <f t="shared" si="110"/>
        <v>277.24253379109331</v>
      </c>
      <c r="AC96" s="143">
        <f t="shared" ref="AC96:AC99" si="111">K96</f>
        <v>316.62151066666667</v>
      </c>
      <c r="AD96" s="143">
        <f>AB96</f>
        <v>277.24253379109331</v>
      </c>
      <c r="AE96" s="143">
        <f t="shared" ref="AE96:AE99" si="112">G96/12</f>
        <v>143.91916666666665</v>
      </c>
      <c r="AF96" s="137">
        <f t="shared" ref="AF96:AF99" si="113">AE96/AC96*100</f>
        <v>45.454639630654192</v>
      </c>
      <c r="AG96" s="144">
        <f>AD96*AF96%-0.01</f>
        <v>126.00959463763614</v>
      </c>
      <c r="AH96" s="4"/>
    </row>
    <row r="97" spans="1:34" x14ac:dyDescent="0.25">
      <c r="A97" s="1" t="s">
        <v>249</v>
      </c>
      <c r="B97" s="10">
        <v>51</v>
      </c>
      <c r="C97" s="35" t="s">
        <v>135</v>
      </c>
      <c r="D97" s="36">
        <v>2</v>
      </c>
      <c r="E97" s="35">
        <v>87.51</v>
      </c>
      <c r="F97" s="37">
        <f>+E97*1193.52</f>
        <v>104444.93520000001</v>
      </c>
      <c r="G97" s="37">
        <f>+F97/60</f>
        <v>1740.7489200000002</v>
      </c>
      <c r="H97" s="37">
        <v>1566.68</v>
      </c>
      <c r="I97" s="37">
        <v>522.23</v>
      </c>
      <c r="J97" s="37">
        <f>+G97+H97+I97</f>
        <v>3829.6589200000003</v>
      </c>
      <c r="K97" s="37">
        <f t="shared" si="109"/>
        <v>319.13824333333338</v>
      </c>
      <c r="L97" s="37"/>
      <c r="M97" s="37">
        <f>J97*(100%+5.6%)</f>
        <v>4044.1198195200004</v>
      </c>
      <c r="N97" s="37">
        <f>+K97*N253</f>
        <v>223.39677033333336</v>
      </c>
      <c r="O97" s="37">
        <f>+N97*O253</f>
        <v>178.7174162666667</v>
      </c>
      <c r="P97" s="37">
        <f>+N97*P253</f>
        <v>201.05709330000002</v>
      </c>
      <c r="Q97" s="37">
        <f>+N97*Q253</f>
        <v>223.39677033333336</v>
      </c>
      <c r="R97" s="37">
        <v>1392.61</v>
      </c>
      <c r="S97" s="37">
        <f>R97*S253</f>
        <v>139.261</v>
      </c>
      <c r="T97" s="37">
        <v>0</v>
      </c>
      <c r="U97" s="37">
        <v>0</v>
      </c>
      <c r="V97" s="37">
        <v>0</v>
      </c>
      <c r="W97" s="37">
        <f>O97</f>
        <v>178.7174162666667</v>
      </c>
      <c r="X97" s="37">
        <f>W97*12+0.03</f>
        <v>2144.6389952000004</v>
      </c>
      <c r="Y97" s="37">
        <f>X97*(100+10.4)%</f>
        <v>2367.6814507008007</v>
      </c>
      <c r="Z97" s="37">
        <f>Y97*(100+5.6)%</f>
        <v>2500.2716119400457</v>
      </c>
      <c r="AA97" s="37">
        <f>Z97*(100+7.3)%</f>
        <v>2682.7914396116689</v>
      </c>
      <c r="AB97" s="37">
        <f t="shared" si="110"/>
        <v>223.56595330097241</v>
      </c>
      <c r="AC97" s="37">
        <f t="shared" si="111"/>
        <v>319.13824333333338</v>
      </c>
      <c r="AD97" s="37">
        <f>S97</f>
        <v>139.261</v>
      </c>
      <c r="AE97" s="37">
        <f t="shared" si="112"/>
        <v>145.06241000000003</v>
      </c>
      <c r="AF97" s="47">
        <f t="shared" si="113"/>
        <v>45.454411381366569</v>
      </c>
      <c r="AG97" s="144">
        <f>AD97*AF97%-0.01</f>
        <v>63.290267833804897</v>
      </c>
      <c r="AH97" s="4"/>
    </row>
    <row r="98" spans="1:34" x14ac:dyDescent="0.25">
      <c r="A98" s="1" t="s">
        <v>229</v>
      </c>
      <c r="B98" s="10">
        <v>52</v>
      </c>
      <c r="C98" s="35" t="s">
        <v>136</v>
      </c>
      <c r="D98" s="36">
        <v>2</v>
      </c>
      <c r="E98" s="35">
        <v>92.99</v>
      </c>
      <c r="F98" s="37">
        <f>+E98*1193.52</f>
        <v>110985.42479999999</v>
      </c>
      <c r="G98" s="37">
        <f>+F98/60</f>
        <v>1849.7570799999999</v>
      </c>
      <c r="H98" s="37">
        <f>+F98*1.5%</f>
        <v>1664.7813719999999</v>
      </c>
      <c r="I98" s="37">
        <f>+F98*0.5%</f>
        <v>554.92712399999994</v>
      </c>
      <c r="J98" s="37">
        <f>+G98+H98+I98</f>
        <v>4069.4655759999996</v>
      </c>
      <c r="K98" s="37">
        <f t="shared" si="109"/>
        <v>339.1221313333333</v>
      </c>
      <c r="L98" s="37"/>
      <c r="M98" s="37">
        <f>J98*(100%+5.6%)</f>
        <v>4297.3556482559998</v>
      </c>
      <c r="N98" s="37">
        <v>237.38</v>
      </c>
      <c r="O98" s="37">
        <f>+N98*O253</f>
        <v>189.904</v>
      </c>
      <c r="P98" s="37">
        <f>+N98*P253</f>
        <v>213.642</v>
      </c>
      <c r="Q98" s="37">
        <f>+N98*Q253</f>
        <v>237.38</v>
      </c>
      <c r="R98" s="143" t="s">
        <v>251</v>
      </c>
      <c r="S98" s="143">
        <v>0</v>
      </c>
      <c r="T98" s="143">
        <v>0</v>
      </c>
      <c r="U98" s="143">
        <v>0</v>
      </c>
      <c r="V98" s="143">
        <v>0</v>
      </c>
      <c r="W98" s="143">
        <f>N98</f>
        <v>237.38</v>
      </c>
      <c r="X98" s="143">
        <f>W98*12</f>
        <v>2848.56</v>
      </c>
      <c r="Y98" s="143">
        <f>X98*(100+10.4)%</f>
        <v>3144.8102400000002</v>
      </c>
      <c r="Z98" s="143">
        <f>Y98*(100+5.6)%</f>
        <v>3320.9196134400004</v>
      </c>
      <c r="AA98" s="143">
        <f>Z98*(100+7.3)%</f>
        <v>3563.3467452211203</v>
      </c>
      <c r="AB98" s="143">
        <f t="shared" si="110"/>
        <v>296.94556210176</v>
      </c>
      <c r="AC98" s="143">
        <f t="shared" si="111"/>
        <v>339.1221313333333</v>
      </c>
      <c r="AD98" s="143">
        <f>AB98</f>
        <v>296.94556210176</v>
      </c>
      <c r="AE98" s="143">
        <f t="shared" si="112"/>
        <v>154.14642333333333</v>
      </c>
      <c r="AF98" s="137">
        <f t="shared" si="113"/>
        <v>45.45454545454546</v>
      </c>
      <c r="AG98" s="144">
        <f>AD98*AF98%-0.02</f>
        <v>134.95525550080001</v>
      </c>
      <c r="AH98" s="4"/>
    </row>
    <row r="99" spans="1:34" x14ac:dyDescent="0.25">
      <c r="A99" s="1" t="s">
        <v>230</v>
      </c>
      <c r="B99" s="10">
        <v>53</v>
      </c>
      <c r="C99" s="35" t="s">
        <v>137</v>
      </c>
      <c r="D99" s="36">
        <v>2</v>
      </c>
      <c r="E99" s="35">
        <v>101.07</v>
      </c>
      <c r="F99" s="37">
        <f>+E99*1193.52</f>
        <v>120629.0664</v>
      </c>
      <c r="G99" s="37">
        <v>2010.49</v>
      </c>
      <c r="H99" s="37">
        <f>+F99*1.5%</f>
        <v>1809.4359959999999</v>
      </c>
      <c r="I99" s="37">
        <f>+F99*0.5%</f>
        <v>603.14533199999994</v>
      </c>
      <c r="J99" s="37">
        <v>4423.08</v>
      </c>
      <c r="K99" s="37">
        <f t="shared" si="109"/>
        <v>368.59</v>
      </c>
      <c r="L99" s="37"/>
      <c r="M99" s="37">
        <f>J99*(100%+5.6%)</f>
        <v>4670.7724800000005</v>
      </c>
      <c r="N99" s="37">
        <f>+K99*N253</f>
        <v>258.01299999999998</v>
      </c>
      <c r="O99" s="37">
        <f>+N99*O253</f>
        <v>206.41039999999998</v>
      </c>
      <c r="P99" s="37">
        <f>+N99*P253</f>
        <v>232.21169999999998</v>
      </c>
      <c r="Q99" s="37">
        <f>+N99*Q253</f>
        <v>258.01299999999998</v>
      </c>
      <c r="R99" s="143" t="s">
        <v>251</v>
      </c>
      <c r="S99" s="143">
        <v>0</v>
      </c>
      <c r="T99" s="143">
        <v>0</v>
      </c>
      <c r="U99" s="143">
        <v>0</v>
      </c>
      <c r="V99" s="143">
        <v>0</v>
      </c>
      <c r="W99" s="143">
        <f>N99</f>
        <v>258.01299999999998</v>
      </c>
      <c r="X99" s="143">
        <f>W99*12-0.04</f>
        <v>3096.116</v>
      </c>
      <c r="Y99" s="143">
        <f>X99*(100+10.4)%+0.01</f>
        <v>3418.1220640000006</v>
      </c>
      <c r="Z99" s="143">
        <f>Y99*(100+5.6)%-0.01</f>
        <v>3609.5268995840006</v>
      </c>
      <c r="AA99" s="143">
        <f>Z99*(100+7.3)%+0.01</f>
        <v>3873.0323632536329</v>
      </c>
      <c r="AB99" s="143">
        <f t="shared" si="110"/>
        <v>322.75269693780274</v>
      </c>
      <c r="AC99" s="143">
        <f t="shared" si="111"/>
        <v>368.59</v>
      </c>
      <c r="AD99" s="143">
        <f>AB99</f>
        <v>322.75269693780274</v>
      </c>
      <c r="AE99" s="143">
        <f t="shared" si="112"/>
        <v>167.54083333333332</v>
      </c>
      <c r="AF99" s="137">
        <f t="shared" si="113"/>
        <v>45.454524901200074</v>
      </c>
      <c r="AG99" s="144">
        <f>AD99*AF99%-0.02</f>
        <v>146.68570499888833</v>
      </c>
      <c r="AH99" s="4"/>
    </row>
    <row r="100" spans="1:34" x14ac:dyDescent="0.25">
      <c r="A100" s="1" t="s">
        <v>238</v>
      </c>
      <c r="B100" s="10">
        <v>54</v>
      </c>
      <c r="C100" s="35" t="s">
        <v>148</v>
      </c>
      <c r="D100" s="36">
        <v>1</v>
      </c>
      <c r="E100" s="128">
        <v>71.23</v>
      </c>
      <c r="F100" s="128">
        <f>E100*1192.91</f>
        <v>84970.979300000006</v>
      </c>
      <c r="G100" s="128">
        <f>F100/60</f>
        <v>1416.1829883333335</v>
      </c>
      <c r="H100" s="128">
        <v>1274.22</v>
      </c>
      <c r="I100" s="128">
        <f>+F100*0.5%</f>
        <v>424.85489650000005</v>
      </c>
      <c r="J100" s="128">
        <f>+G100+H100+I100</f>
        <v>3115.2578848333333</v>
      </c>
      <c r="K100" s="128">
        <f t="shared" si="109"/>
        <v>259.60482373611109</v>
      </c>
      <c r="L100" s="128"/>
      <c r="M100" s="128">
        <f>+J100*(100%+5.6%)</f>
        <v>3289.7123263839999</v>
      </c>
      <c r="N100" s="128">
        <f>+K100*N284</f>
        <v>181.72337661527774</v>
      </c>
      <c r="O100" s="128">
        <v>145.35</v>
      </c>
      <c r="P100" s="128">
        <f>+N100*P284</f>
        <v>163.55103895374998</v>
      </c>
      <c r="Q100" s="128">
        <f>+N100*Q284</f>
        <v>181.72337661527774</v>
      </c>
      <c r="R100" s="139" t="s">
        <v>251</v>
      </c>
      <c r="S100" s="139">
        <v>0</v>
      </c>
      <c r="T100" s="139">
        <v>0</v>
      </c>
      <c r="U100" s="139">
        <v>0</v>
      </c>
      <c r="V100" s="139">
        <v>0</v>
      </c>
      <c r="W100" s="139">
        <f>N100</f>
        <v>181.72337661527774</v>
      </c>
      <c r="X100" s="139">
        <f>W100*12-0.04</f>
        <v>2180.640519383333</v>
      </c>
      <c r="Y100" s="139">
        <f>X100*(100+10.4)%</f>
        <v>2407.4271333991996</v>
      </c>
      <c r="Z100" s="139">
        <f>Y100*(100+5.6)%+0.01</f>
        <v>2542.2530528695552</v>
      </c>
      <c r="AA100" s="139">
        <f>Z100*(100+7.3)%-0.01</f>
        <v>2727.8275257290325</v>
      </c>
      <c r="AB100" s="139">
        <f t="shared" si="110"/>
        <v>227.31896047741938</v>
      </c>
      <c r="AC100" s="139">
        <f>K100</f>
        <v>259.60482373611109</v>
      </c>
      <c r="AD100" s="139">
        <f>AB100</f>
        <v>227.31896047741938</v>
      </c>
      <c r="AE100" s="139">
        <f>G100/12</f>
        <v>118.01524902777778</v>
      </c>
      <c r="AF100" s="141">
        <f>AE100/AC100*100</f>
        <v>45.459574798864509</v>
      </c>
      <c r="AG100" s="142">
        <f>AD100*AF100%</f>
        <v>103.33823287023372</v>
      </c>
      <c r="AH100" s="4"/>
    </row>
    <row r="101" spans="1:34" x14ac:dyDescent="0.25">
      <c r="B101" s="7"/>
      <c r="C101" s="219" t="s">
        <v>77</v>
      </c>
      <c r="D101" s="219"/>
      <c r="E101" s="15">
        <f t="shared" ref="E101:K101" si="114">SUM(E47:E100)</f>
        <v>4693.7299999999996</v>
      </c>
      <c r="F101" s="15">
        <f t="shared" si="114"/>
        <v>6951892.8024671795</v>
      </c>
      <c r="G101" s="15">
        <f t="shared" si="114"/>
        <v>115864.89216111966</v>
      </c>
      <c r="H101" s="15">
        <f t="shared" si="114"/>
        <v>104278.05331950772</v>
      </c>
      <c r="I101" s="15">
        <f t="shared" si="114"/>
        <v>34759.469336335904</v>
      </c>
      <c r="J101" s="15">
        <f t="shared" si="114"/>
        <v>254902.41873429663</v>
      </c>
      <c r="K101" s="15">
        <f t="shared" si="114"/>
        <v>21241.868227858045</v>
      </c>
      <c r="L101" s="148"/>
      <c r="M101" s="148">
        <f>SUM(M99:M99)</f>
        <v>4670.7724800000005</v>
      </c>
      <c r="N101" s="15">
        <f>SUM(N47:N100)</f>
        <v>14864.632224897854</v>
      </c>
      <c r="O101" s="15">
        <f>SUM(O47:O100)</f>
        <v>11891.677078626064</v>
      </c>
      <c r="P101" s="15">
        <f>SUM(P47:P100)</f>
        <v>13378.169002408074</v>
      </c>
      <c r="Q101" s="15">
        <f>SUM(Q47:Q100)</f>
        <v>14864.632224897854</v>
      </c>
      <c r="R101" s="148"/>
      <c r="S101" s="15">
        <f t="shared" ref="S101:AG101" si="115">SUM(S47:S100)</f>
        <v>5164.5200000000013</v>
      </c>
      <c r="T101" s="15">
        <f t="shared" si="115"/>
        <v>1180.1220000000003</v>
      </c>
      <c r="U101" s="15">
        <f t="shared" si="115"/>
        <v>2930.6880000000001</v>
      </c>
      <c r="V101" s="15">
        <f t="shared" si="115"/>
        <v>772.19999999999993</v>
      </c>
      <c r="W101" s="15">
        <f t="shared" si="115"/>
        <v>12565.169335204913</v>
      </c>
      <c r="X101" s="15">
        <f t="shared" si="115"/>
        <v>150781.91629765899</v>
      </c>
      <c r="Y101" s="15">
        <f t="shared" si="115"/>
        <v>121155.35972215216</v>
      </c>
      <c r="Z101" s="15">
        <f t="shared" si="115"/>
        <v>168605.98366701251</v>
      </c>
      <c r="AA101" s="15">
        <f t="shared" si="115"/>
        <v>183629.23583069898</v>
      </c>
      <c r="AB101" s="15">
        <f t="shared" si="115"/>
        <v>15302.446319224922</v>
      </c>
      <c r="AC101" s="15">
        <f t="shared" si="115"/>
        <v>21241.868227858045</v>
      </c>
      <c r="AD101" s="15">
        <f t="shared" si="115"/>
        <v>10502.514905664821</v>
      </c>
      <c r="AE101" s="15">
        <f t="shared" si="115"/>
        <v>9655.407680093309</v>
      </c>
      <c r="AF101" s="15">
        <f t="shared" si="115"/>
        <v>2454.5459127510794</v>
      </c>
      <c r="AG101" s="15">
        <f t="shared" si="115"/>
        <v>4773.390355757705</v>
      </c>
      <c r="AH101" s="4"/>
    </row>
    <row r="102" spans="1:34" ht="20.25" hidden="1" x14ac:dyDescent="0.25">
      <c r="B102" s="4"/>
      <c r="C102" s="223" t="s">
        <v>85</v>
      </c>
      <c r="D102" s="223"/>
      <c r="E102" s="223"/>
      <c r="F102" s="223"/>
      <c r="G102" s="223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idden="1" x14ac:dyDescent="0.25">
      <c r="B103" s="4"/>
      <c r="C103" s="159"/>
      <c r="D103" s="159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4"/>
    </row>
    <row r="104" spans="1:34" hidden="1" x14ac:dyDescent="0.25">
      <c r="B104" s="3"/>
      <c r="C104" s="4"/>
      <c r="D104" s="5" t="s">
        <v>42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3"/>
      <c r="AG104" s="4"/>
      <c r="AH104" s="4"/>
    </row>
    <row r="105" spans="1:34" hidden="1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17" hidden="1" customHeight="1" x14ac:dyDescent="0.25">
      <c r="B106" s="215" t="s">
        <v>1</v>
      </c>
      <c r="C106" s="217" t="s">
        <v>56</v>
      </c>
      <c r="D106" s="209" t="s">
        <v>3</v>
      </c>
      <c r="E106" s="209" t="s">
        <v>4</v>
      </c>
      <c r="F106" s="209" t="s">
        <v>5</v>
      </c>
      <c r="G106" s="209" t="s">
        <v>6</v>
      </c>
      <c r="H106" s="209" t="s">
        <v>7</v>
      </c>
      <c r="I106" s="209" t="s">
        <v>8</v>
      </c>
      <c r="J106" s="209" t="s">
        <v>9</v>
      </c>
      <c r="K106" s="209" t="s">
        <v>57</v>
      </c>
      <c r="L106" s="22" t="s">
        <v>10</v>
      </c>
      <c r="M106" s="22" t="s">
        <v>10</v>
      </c>
      <c r="N106" s="22" t="s">
        <v>12</v>
      </c>
      <c r="O106" s="211" t="s">
        <v>13</v>
      </c>
      <c r="P106" s="212"/>
      <c r="Q106" s="213"/>
      <c r="R106" s="209" t="s">
        <v>14</v>
      </c>
      <c r="S106" s="240" t="s">
        <v>58</v>
      </c>
      <c r="T106" s="241"/>
      <c r="U106" s="241"/>
      <c r="V106" s="242"/>
      <c r="W106" s="207" t="s">
        <v>21</v>
      </c>
      <c r="X106" s="209" t="s">
        <v>9</v>
      </c>
      <c r="Y106" s="22" t="s">
        <v>242</v>
      </c>
      <c r="Z106" s="22" t="s">
        <v>243</v>
      </c>
      <c r="AA106" s="22" t="s">
        <v>156</v>
      </c>
      <c r="AB106" s="207" t="s">
        <v>59</v>
      </c>
      <c r="AC106" s="234" t="s">
        <v>18</v>
      </c>
      <c r="AD106" s="235"/>
      <c r="AE106" s="235"/>
      <c r="AF106" s="236"/>
      <c r="AG106" s="205" t="s">
        <v>19</v>
      </c>
      <c r="AH106" s="4"/>
    </row>
    <row r="107" spans="1:34" ht="51" hidden="1" x14ac:dyDescent="0.25">
      <c r="B107" s="216"/>
      <c r="C107" s="218"/>
      <c r="D107" s="210"/>
      <c r="E107" s="210"/>
      <c r="F107" s="210"/>
      <c r="G107" s="210"/>
      <c r="H107" s="210"/>
      <c r="I107" s="210"/>
      <c r="J107" s="210"/>
      <c r="K107" s="210"/>
      <c r="L107" s="22">
        <v>5.6</v>
      </c>
      <c r="M107" s="22">
        <v>5.6</v>
      </c>
      <c r="N107" s="22">
        <v>0.7</v>
      </c>
      <c r="O107" s="23">
        <v>0.8</v>
      </c>
      <c r="P107" s="24">
        <v>0.9</v>
      </c>
      <c r="Q107" s="28">
        <v>1</v>
      </c>
      <c r="R107" s="210"/>
      <c r="S107" s="29">
        <v>0.1</v>
      </c>
      <c r="T107" s="30">
        <v>0.2</v>
      </c>
      <c r="U107" s="30">
        <v>0.3</v>
      </c>
      <c r="V107" s="30">
        <v>0.1</v>
      </c>
      <c r="W107" s="208"/>
      <c r="X107" s="210"/>
      <c r="Y107" s="22">
        <v>10.4</v>
      </c>
      <c r="Z107" s="22">
        <v>5.6</v>
      </c>
      <c r="AA107" s="22">
        <v>7.3</v>
      </c>
      <c r="AB107" s="208"/>
      <c r="AC107" s="33" t="s">
        <v>20</v>
      </c>
      <c r="AD107" s="33" t="s">
        <v>21</v>
      </c>
      <c r="AE107" s="33" t="s">
        <v>22</v>
      </c>
      <c r="AF107" s="33" t="s">
        <v>23</v>
      </c>
      <c r="AG107" s="206"/>
      <c r="AH107" s="4"/>
    </row>
    <row r="108" spans="1:34" hidden="1" x14ac:dyDescent="0.25">
      <c r="B108" s="7"/>
      <c r="C108" s="8"/>
      <c r="D108" s="9">
        <v>0</v>
      </c>
      <c r="E108" s="9">
        <v>1</v>
      </c>
      <c r="F108" s="9">
        <v>2</v>
      </c>
      <c r="G108" s="9" t="s">
        <v>24</v>
      </c>
      <c r="H108" s="9" t="s">
        <v>25</v>
      </c>
      <c r="I108" s="9" t="s">
        <v>26</v>
      </c>
      <c r="J108" s="9" t="s">
        <v>27</v>
      </c>
      <c r="K108" s="25" t="s">
        <v>60</v>
      </c>
      <c r="L108" s="9" t="s">
        <v>61</v>
      </c>
      <c r="M108" s="9" t="s">
        <v>61</v>
      </c>
      <c r="N108" s="9" t="s">
        <v>62</v>
      </c>
      <c r="O108" s="9" t="s">
        <v>63</v>
      </c>
      <c r="P108" s="9" t="s">
        <v>63</v>
      </c>
      <c r="Q108" s="9" t="s">
        <v>63</v>
      </c>
      <c r="R108" s="9">
        <v>9</v>
      </c>
      <c r="S108" s="31" t="s">
        <v>161</v>
      </c>
      <c r="T108" s="31" t="s">
        <v>162</v>
      </c>
      <c r="U108" s="31" t="s">
        <v>163</v>
      </c>
      <c r="V108" s="31" t="s">
        <v>164</v>
      </c>
      <c r="W108" s="31" t="s">
        <v>64</v>
      </c>
      <c r="X108" s="9" t="s">
        <v>65</v>
      </c>
      <c r="Y108" s="9" t="s">
        <v>66</v>
      </c>
      <c r="Z108" s="9" t="s">
        <v>67</v>
      </c>
      <c r="AA108" s="9" t="s">
        <v>246</v>
      </c>
      <c r="AB108" s="9" t="s">
        <v>240</v>
      </c>
      <c r="AC108" s="9">
        <v>16</v>
      </c>
      <c r="AD108" s="31" t="s">
        <v>158</v>
      </c>
      <c r="AE108" s="31" t="s">
        <v>159</v>
      </c>
      <c r="AF108" s="31" t="s">
        <v>160</v>
      </c>
      <c r="AG108" s="9">
        <v>17</v>
      </c>
      <c r="AH108" s="4"/>
    </row>
    <row r="109" spans="1:34" hidden="1" x14ac:dyDescent="0.25">
      <c r="AH109" s="4"/>
    </row>
    <row r="110" spans="1:34" hidden="1" x14ac:dyDescent="0.25">
      <c r="AH110" s="4"/>
    </row>
    <row r="111" spans="1:34" hidden="1" x14ac:dyDescent="0.25">
      <c r="AH111" s="4"/>
    </row>
    <row r="112" spans="1:34" hidden="1" x14ac:dyDescent="0.25">
      <c r="AH112" s="4"/>
    </row>
    <row r="113" spans="2:34" hidden="1" x14ac:dyDescent="0.25">
      <c r="AH113" s="4"/>
    </row>
    <row r="114" spans="2:34" hidden="1" x14ac:dyDescent="0.25">
      <c r="AH114" s="4"/>
    </row>
    <row r="115" spans="2:34" hidden="1" x14ac:dyDescent="0.25">
      <c r="AH115" s="4"/>
    </row>
    <row r="116" spans="2:34" hidden="1" x14ac:dyDescent="0.25">
      <c r="AH116" s="4"/>
    </row>
    <row r="117" spans="2:34" hidden="1" x14ac:dyDescent="0.25">
      <c r="AH117" s="4"/>
    </row>
    <row r="118" spans="2:34" hidden="1" x14ac:dyDescent="0.25">
      <c r="B118" s="7"/>
      <c r="C118" s="237" t="s">
        <v>77</v>
      </c>
      <c r="D118" s="238"/>
      <c r="E118" s="38">
        <f>SUM(E57:E64)</f>
        <v>650.76</v>
      </c>
      <c r="F118" s="148">
        <f>SUM(F56:F64)</f>
        <v>1175351.2518</v>
      </c>
      <c r="G118" s="148">
        <f>SUM(G56:G64)</f>
        <v>19589.187530000003</v>
      </c>
      <c r="H118" s="148">
        <f>SUM(H56:H64)</f>
        <v>17630.268777000001</v>
      </c>
      <c r="I118" s="148">
        <f>SUM(I56:I64)+0.02</f>
        <v>5876.7762590000002</v>
      </c>
      <c r="J118" s="148">
        <f>SUM(J56:J64)-0.01</f>
        <v>43096.225310000002</v>
      </c>
      <c r="K118" s="148">
        <f>SUM(K56:K64)</f>
        <v>3591.3529425000002</v>
      </c>
      <c r="L118" s="148"/>
      <c r="M118" s="148">
        <f>SUM(M57:M64)</f>
        <v>35619.916347840008</v>
      </c>
      <c r="N118" s="148">
        <f>SUM(N56:N64)</f>
        <v>2513.9470597499994</v>
      </c>
      <c r="O118" s="148">
        <f>SUM(O56:O64)</f>
        <v>2011.1576478000002</v>
      </c>
      <c r="P118" s="148">
        <f>SUM(P56:P64)</f>
        <v>2262.552353775</v>
      </c>
      <c r="Q118" s="148">
        <f>SUM(Q56:Q64)</f>
        <v>2513.9470597499994</v>
      </c>
      <c r="R118" s="148"/>
      <c r="S118" s="148">
        <f>SUM(S56:S64)</f>
        <v>1160.0460000000003</v>
      </c>
      <c r="T118" s="148">
        <f>SUM(T56:T64)</f>
        <v>0</v>
      </c>
      <c r="U118" s="148">
        <f>SUM(U56:U64)</f>
        <v>0</v>
      </c>
      <c r="V118" s="148">
        <f>SUM(V56:V64)</f>
        <v>257.39999999999998</v>
      </c>
      <c r="W118" s="148">
        <f>SUM(W56:W64)</f>
        <v>2059.0199953733331</v>
      </c>
      <c r="X118" s="148">
        <f>SUM(X56:X64)-0.01</f>
        <v>24708.189944480004</v>
      </c>
      <c r="Y118" s="148">
        <f>SUM(Y56:Y64)-0.01</f>
        <v>27277.842738705924</v>
      </c>
      <c r="Z118" s="148">
        <f>SUM(Z56:Z64)</f>
        <v>28805.402492073452</v>
      </c>
      <c r="AA118" s="148">
        <f>SUM(AA56:AA64)</f>
        <v>30908.176873994817</v>
      </c>
      <c r="AB118" s="148">
        <f>SUM(AB56:AB64)+0.02</f>
        <v>2575.7014061662348</v>
      </c>
      <c r="AC118" s="148">
        <f>SUM(AC56:AC64)</f>
        <v>3591.3529425000002</v>
      </c>
      <c r="AD118" s="148">
        <f>SUM(AD56:AD64)</f>
        <v>1437.4080000000001</v>
      </c>
      <c r="AE118" s="148">
        <f>SUM(AE56:AE64)-0.01</f>
        <v>1632.4222941666669</v>
      </c>
      <c r="AF118" s="148">
        <f>SUM(AF56:AF64)-0.04</f>
        <v>409.05069780577077</v>
      </c>
      <c r="AG118" s="148">
        <f>SUM(AG56:AG64)-0.02</f>
        <v>653.28697568889186</v>
      </c>
      <c r="AH118" s="4"/>
    </row>
    <row r="119" spans="2:34" ht="20.25" hidden="1" x14ac:dyDescent="0.25">
      <c r="B119" s="4"/>
      <c r="C119" s="239" t="s">
        <v>95</v>
      </c>
      <c r="D119" s="239"/>
      <c r="E119" s="239"/>
      <c r="F119" s="239"/>
      <c r="G119" s="239"/>
      <c r="H119" s="3"/>
      <c r="I119" s="4"/>
      <c r="J119" s="4"/>
      <c r="K119" s="3"/>
      <c r="L119" s="3"/>
      <c r="M119" s="3"/>
      <c r="N119" s="3"/>
      <c r="O119" s="4"/>
      <c r="P119" s="3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3"/>
      <c r="AF119" s="3"/>
      <c r="AG119" s="4"/>
      <c r="AH119" s="4"/>
    </row>
    <row r="120" spans="2:34" hidden="1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3"/>
      <c r="X120" s="4"/>
      <c r="Y120" s="4"/>
      <c r="Z120" s="4"/>
      <c r="AA120" s="4"/>
      <c r="AB120" s="4"/>
      <c r="AC120" s="4"/>
      <c r="AD120" s="4"/>
      <c r="AE120" s="4"/>
      <c r="AF120" s="4"/>
      <c r="AG120" s="3"/>
      <c r="AH120" s="4"/>
    </row>
    <row r="121" spans="2:34" hidden="1" x14ac:dyDescent="0.25">
      <c r="B121" s="4"/>
      <c r="C121" s="4"/>
      <c r="D121" s="5" t="s">
        <v>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2:34" hidden="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2:34" ht="120.75" hidden="1" customHeight="1" x14ac:dyDescent="0.25">
      <c r="B123" s="215" t="s">
        <v>1</v>
      </c>
      <c r="C123" s="217" t="s">
        <v>56</v>
      </c>
      <c r="D123" s="209" t="s">
        <v>3</v>
      </c>
      <c r="E123" s="209" t="s">
        <v>4</v>
      </c>
      <c r="F123" s="209" t="s">
        <v>5</v>
      </c>
      <c r="G123" s="209" t="s">
        <v>6</v>
      </c>
      <c r="H123" s="209" t="s">
        <v>7</v>
      </c>
      <c r="I123" s="209" t="s">
        <v>8</v>
      </c>
      <c r="J123" s="209" t="s">
        <v>9</v>
      </c>
      <c r="K123" s="209" t="s">
        <v>57</v>
      </c>
      <c r="L123" s="22" t="s">
        <v>10</v>
      </c>
      <c r="M123" s="22" t="s">
        <v>10</v>
      </c>
      <c r="N123" s="22" t="s">
        <v>12</v>
      </c>
      <c r="O123" s="211" t="s">
        <v>13</v>
      </c>
      <c r="P123" s="212"/>
      <c r="Q123" s="213"/>
      <c r="R123" s="209" t="s">
        <v>14</v>
      </c>
      <c r="S123" s="240" t="s">
        <v>58</v>
      </c>
      <c r="T123" s="241"/>
      <c r="U123" s="241"/>
      <c r="V123" s="242"/>
      <c r="W123" s="207" t="s">
        <v>21</v>
      </c>
      <c r="X123" s="209" t="s">
        <v>9</v>
      </c>
      <c r="Y123" s="22" t="s">
        <v>242</v>
      </c>
      <c r="Z123" s="22" t="s">
        <v>243</v>
      </c>
      <c r="AA123" s="22" t="s">
        <v>156</v>
      </c>
      <c r="AB123" s="207" t="s">
        <v>59</v>
      </c>
      <c r="AC123" s="234" t="s">
        <v>18</v>
      </c>
      <c r="AD123" s="235"/>
      <c r="AE123" s="235"/>
      <c r="AF123" s="236"/>
      <c r="AG123" s="205" t="s">
        <v>19</v>
      </c>
      <c r="AH123" s="4"/>
    </row>
    <row r="124" spans="2:34" ht="51" hidden="1" x14ac:dyDescent="0.25">
      <c r="B124" s="216"/>
      <c r="C124" s="218"/>
      <c r="D124" s="210"/>
      <c r="E124" s="210"/>
      <c r="F124" s="210"/>
      <c r="G124" s="210"/>
      <c r="H124" s="210"/>
      <c r="I124" s="210"/>
      <c r="J124" s="210"/>
      <c r="K124" s="210"/>
      <c r="L124" s="22">
        <v>5.6</v>
      </c>
      <c r="M124" s="22">
        <v>5.6</v>
      </c>
      <c r="N124" s="22">
        <v>0.7</v>
      </c>
      <c r="O124" s="23">
        <v>0.8</v>
      </c>
      <c r="P124" s="24">
        <v>0.9</v>
      </c>
      <c r="Q124" s="28">
        <v>1</v>
      </c>
      <c r="R124" s="210"/>
      <c r="S124" s="29">
        <v>0.1</v>
      </c>
      <c r="T124" s="30">
        <v>0.2</v>
      </c>
      <c r="U124" s="30">
        <v>0.3</v>
      </c>
      <c r="V124" s="30">
        <v>0.1</v>
      </c>
      <c r="W124" s="208"/>
      <c r="X124" s="210"/>
      <c r="Y124" s="22">
        <v>10.4</v>
      </c>
      <c r="Z124" s="22">
        <v>5.6</v>
      </c>
      <c r="AA124" s="22">
        <v>7.3</v>
      </c>
      <c r="AB124" s="208"/>
      <c r="AC124" s="33" t="s">
        <v>20</v>
      </c>
      <c r="AD124" s="33" t="s">
        <v>21</v>
      </c>
      <c r="AE124" s="33" t="s">
        <v>22</v>
      </c>
      <c r="AF124" s="33" t="s">
        <v>23</v>
      </c>
      <c r="AG124" s="206"/>
      <c r="AH124" s="4"/>
    </row>
    <row r="125" spans="2:34" hidden="1" x14ac:dyDescent="0.25">
      <c r="B125" s="7"/>
      <c r="C125" s="8"/>
      <c r="D125" s="9">
        <v>0</v>
      </c>
      <c r="E125" s="9">
        <v>1</v>
      </c>
      <c r="F125" s="9">
        <v>2</v>
      </c>
      <c r="G125" s="9" t="s">
        <v>24</v>
      </c>
      <c r="H125" s="9" t="s">
        <v>25</v>
      </c>
      <c r="I125" s="9" t="s">
        <v>26</v>
      </c>
      <c r="J125" s="9" t="s">
        <v>27</v>
      </c>
      <c r="K125" s="25" t="s">
        <v>60</v>
      </c>
      <c r="L125" s="9" t="s">
        <v>61</v>
      </c>
      <c r="M125" s="9" t="s">
        <v>61</v>
      </c>
      <c r="N125" s="9" t="s">
        <v>62</v>
      </c>
      <c r="O125" s="9" t="s">
        <v>63</v>
      </c>
      <c r="P125" s="9" t="s">
        <v>63</v>
      </c>
      <c r="Q125" s="9" t="s">
        <v>63</v>
      </c>
      <c r="R125" s="9">
        <v>9</v>
      </c>
      <c r="S125" s="31" t="s">
        <v>161</v>
      </c>
      <c r="T125" s="31" t="s">
        <v>162</v>
      </c>
      <c r="U125" s="31" t="s">
        <v>163</v>
      </c>
      <c r="V125" s="31" t="s">
        <v>164</v>
      </c>
      <c r="W125" s="31" t="s">
        <v>64</v>
      </c>
      <c r="X125" s="9" t="s">
        <v>65</v>
      </c>
      <c r="Y125" s="9" t="s">
        <v>66</v>
      </c>
      <c r="Z125" s="9" t="s">
        <v>67</v>
      </c>
      <c r="AA125" s="9" t="s">
        <v>246</v>
      </c>
      <c r="AB125" s="9" t="s">
        <v>240</v>
      </c>
      <c r="AC125" s="9">
        <v>16</v>
      </c>
      <c r="AD125" s="31" t="s">
        <v>158</v>
      </c>
      <c r="AE125" s="31" t="s">
        <v>159</v>
      </c>
      <c r="AF125" s="31" t="s">
        <v>160</v>
      </c>
      <c r="AG125" s="9">
        <v>17</v>
      </c>
      <c r="AH125" s="51"/>
    </row>
    <row r="126" spans="2:34" hidden="1" x14ac:dyDescent="0.25">
      <c r="AH126" s="51"/>
    </row>
    <row r="127" spans="2:34" hidden="1" x14ac:dyDescent="0.25">
      <c r="AH127" s="51"/>
    </row>
    <row r="128" spans="2:34" hidden="1" x14ac:dyDescent="0.25">
      <c r="AH128" s="51"/>
    </row>
    <row r="129" spans="2:34" hidden="1" x14ac:dyDescent="0.25">
      <c r="AH129" s="51"/>
    </row>
    <row r="130" spans="2:34" hidden="1" x14ac:dyDescent="0.25">
      <c r="B130" s="8"/>
      <c r="C130" s="237" t="s">
        <v>77</v>
      </c>
      <c r="D130" s="238"/>
      <c r="E130" s="148">
        <f t="shared" ref="E130:J130" si="116">SUM(E20:E23)</f>
        <v>240.32</v>
      </c>
      <c r="F130" s="148">
        <f t="shared" si="116"/>
        <v>389477.01120000007</v>
      </c>
      <c r="G130" s="148">
        <f t="shared" si="116"/>
        <v>6491.28352</v>
      </c>
      <c r="H130" s="148">
        <f t="shared" si="116"/>
        <v>5842.1551679999993</v>
      </c>
      <c r="I130" s="148">
        <f t="shared" si="116"/>
        <v>0</v>
      </c>
      <c r="J130" s="148">
        <f t="shared" si="116"/>
        <v>12333.438688</v>
      </c>
      <c r="K130" s="148">
        <f>SUM(K20:K23)-0.01</f>
        <v>1027.7765573333334</v>
      </c>
      <c r="L130" s="148"/>
      <c r="M130" s="148">
        <f>SUM(M20:M23)</f>
        <v>13024.111254528001</v>
      </c>
      <c r="N130" s="148">
        <f>SUM(N20:N23)</f>
        <v>719.45059013333344</v>
      </c>
      <c r="O130" s="148">
        <f>SUM(O20:O23)</f>
        <v>575.56047210666679</v>
      </c>
      <c r="P130" s="148">
        <f>SUM(P20:P23)-0.01</f>
        <v>647.49553112000001</v>
      </c>
      <c r="Q130" s="148">
        <f>SUM(Q20:Q23)</f>
        <v>719.45059013333344</v>
      </c>
      <c r="R130" s="148"/>
      <c r="S130" s="148">
        <f>SUM(S20:S23)-0.01</f>
        <v>250.17700000000002</v>
      </c>
      <c r="T130" s="148">
        <f>SUM(T20:T23)</f>
        <v>622.90600000000006</v>
      </c>
      <c r="U130" s="148">
        <f>SUM(U20:U23)</f>
        <v>0</v>
      </c>
      <c r="V130" s="148">
        <f>SUM(V20:V23)</f>
        <v>0</v>
      </c>
      <c r="W130" s="148">
        <f>SUM(W20:W23)</f>
        <v>593.77126579750006</v>
      </c>
      <c r="X130" s="148">
        <f>SUM(X20:X23)-0.01</f>
        <v>7125.2351895699994</v>
      </c>
      <c r="Y130" s="148">
        <f>SUM(Y20:Y23)</f>
        <v>4155.6391146740807</v>
      </c>
      <c r="Z130" s="148">
        <f>SUM(Z20:Z23)+0.01</f>
        <v>7937.6642373326304</v>
      </c>
      <c r="AA130" s="148">
        <f>SUM(AA20:AA23)</f>
        <v>8517.1129966579119</v>
      </c>
      <c r="AB130" s="148">
        <f>SUM(AB20:AB23)</f>
        <v>709.75941638815937</v>
      </c>
      <c r="AC130" s="148">
        <f>SUM(AC20:AC23)-0.01</f>
        <v>1027.7765573333334</v>
      </c>
      <c r="AD130" s="148">
        <f>SUM(AD20:AD23)-0.01</f>
        <v>455.20561927650317</v>
      </c>
      <c r="AE130" s="148">
        <f>SUM(AE20:AE23)-0.01</f>
        <v>540.93029333333334</v>
      </c>
      <c r="AF130" s="148">
        <f>SUM(AF20:AF23)-0.01</f>
        <v>210.51631578947368</v>
      </c>
      <c r="AG130" s="148">
        <f>SUM(AG20:AG23)</f>
        <v>239.58716804026483</v>
      </c>
      <c r="AH130" s="51"/>
    </row>
    <row r="131" spans="2:34" hidden="1" x14ac:dyDescent="0.25">
      <c r="B131" s="4"/>
      <c r="C131" s="158"/>
      <c r="D131" s="158"/>
      <c r="E131" s="4"/>
      <c r="F131" s="4"/>
      <c r="G131" s="4"/>
      <c r="H131" s="4"/>
      <c r="I131" s="4"/>
      <c r="J131" s="4"/>
      <c r="K131" s="3"/>
      <c r="L131" s="3"/>
      <c r="M131" s="3"/>
      <c r="N131" s="3"/>
      <c r="O131" s="3"/>
      <c r="P131" s="3"/>
      <c r="Q131" s="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H131" s="4"/>
    </row>
    <row r="132" spans="2:34" hidden="1" x14ac:dyDescent="0.25">
      <c r="B132" s="3"/>
      <c r="C132" s="4"/>
      <c r="D132" s="5" t="s">
        <v>42</v>
      </c>
      <c r="E132" s="4"/>
      <c r="F132" s="4"/>
      <c r="G132" s="4"/>
      <c r="H132" s="4"/>
      <c r="I132" s="4"/>
      <c r="J132" s="4"/>
      <c r="K132" s="3"/>
      <c r="L132" s="3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3"/>
      <c r="AF132" s="4"/>
      <c r="AG132" s="3"/>
      <c r="AH132" s="4"/>
    </row>
    <row r="133" spans="2:34" hidden="1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2:34" ht="120" hidden="1" customHeight="1" x14ac:dyDescent="0.25">
      <c r="B134" s="215" t="s">
        <v>1</v>
      </c>
      <c r="C134" s="217" t="s">
        <v>56</v>
      </c>
      <c r="D134" s="209" t="s">
        <v>3</v>
      </c>
      <c r="E134" s="209" t="s">
        <v>4</v>
      </c>
      <c r="F134" s="209" t="s">
        <v>5</v>
      </c>
      <c r="G134" s="209" t="s">
        <v>6</v>
      </c>
      <c r="H134" s="209" t="s">
        <v>7</v>
      </c>
      <c r="I134" s="209" t="s">
        <v>8</v>
      </c>
      <c r="J134" s="209" t="s">
        <v>9</v>
      </c>
      <c r="K134" s="209" t="s">
        <v>57</v>
      </c>
      <c r="L134" s="22" t="s">
        <v>10</v>
      </c>
      <c r="M134" s="22" t="s">
        <v>10</v>
      </c>
      <c r="N134" s="22" t="s">
        <v>12</v>
      </c>
      <c r="O134" s="211" t="s">
        <v>13</v>
      </c>
      <c r="P134" s="212"/>
      <c r="Q134" s="213"/>
      <c r="R134" s="209" t="s">
        <v>14</v>
      </c>
      <c r="S134" s="240" t="s">
        <v>58</v>
      </c>
      <c r="T134" s="241"/>
      <c r="U134" s="241"/>
      <c r="V134" s="242"/>
      <c r="W134" s="207" t="s">
        <v>21</v>
      </c>
      <c r="X134" s="209" t="s">
        <v>9</v>
      </c>
      <c r="Y134" s="22" t="s">
        <v>242</v>
      </c>
      <c r="Z134" s="22" t="s">
        <v>243</v>
      </c>
      <c r="AA134" s="22" t="s">
        <v>156</v>
      </c>
      <c r="AB134" s="207" t="s">
        <v>59</v>
      </c>
      <c r="AC134" s="234" t="s">
        <v>18</v>
      </c>
      <c r="AD134" s="235"/>
      <c r="AE134" s="235"/>
      <c r="AF134" s="236"/>
      <c r="AG134" s="205" t="s">
        <v>19</v>
      </c>
      <c r="AH134" s="4"/>
    </row>
    <row r="135" spans="2:34" ht="51" hidden="1" x14ac:dyDescent="0.25">
      <c r="B135" s="216"/>
      <c r="C135" s="218"/>
      <c r="D135" s="210"/>
      <c r="E135" s="210"/>
      <c r="F135" s="210"/>
      <c r="G135" s="210"/>
      <c r="H135" s="210"/>
      <c r="I135" s="210"/>
      <c r="J135" s="210"/>
      <c r="K135" s="210"/>
      <c r="L135" s="22">
        <v>5.6</v>
      </c>
      <c r="M135" s="22">
        <v>5.6</v>
      </c>
      <c r="N135" s="22">
        <v>0.7</v>
      </c>
      <c r="O135" s="23">
        <v>0.8</v>
      </c>
      <c r="P135" s="24">
        <v>0.9</v>
      </c>
      <c r="Q135" s="28">
        <v>1</v>
      </c>
      <c r="R135" s="210"/>
      <c r="S135" s="29">
        <v>0.1</v>
      </c>
      <c r="T135" s="30">
        <v>0.2</v>
      </c>
      <c r="U135" s="30">
        <v>0.3</v>
      </c>
      <c r="V135" s="30">
        <v>0.1</v>
      </c>
      <c r="W135" s="208"/>
      <c r="X135" s="210"/>
      <c r="Y135" s="22">
        <v>10.4</v>
      </c>
      <c r="Z135" s="22">
        <v>5.6</v>
      </c>
      <c r="AA135" s="22">
        <v>7.3</v>
      </c>
      <c r="AB135" s="208"/>
      <c r="AC135" s="33" t="s">
        <v>20</v>
      </c>
      <c r="AD135" s="33" t="s">
        <v>21</v>
      </c>
      <c r="AE135" s="33" t="s">
        <v>22</v>
      </c>
      <c r="AF135" s="33" t="s">
        <v>23</v>
      </c>
      <c r="AG135" s="206"/>
      <c r="AH135" s="4"/>
    </row>
    <row r="136" spans="2:34" hidden="1" x14ac:dyDescent="0.25">
      <c r="B136" s="7"/>
      <c r="C136" s="8"/>
      <c r="D136" s="9">
        <v>0</v>
      </c>
      <c r="E136" s="9">
        <v>1</v>
      </c>
      <c r="F136" s="9">
        <v>2</v>
      </c>
      <c r="G136" s="9" t="s">
        <v>24</v>
      </c>
      <c r="H136" s="9" t="s">
        <v>25</v>
      </c>
      <c r="I136" s="9" t="s">
        <v>26</v>
      </c>
      <c r="J136" s="9" t="s">
        <v>27</v>
      </c>
      <c r="K136" s="25" t="s">
        <v>60</v>
      </c>
      <c r="L136" s="9" t="s">
        <v>61</v>
      </c>
      <c r="M136" s="9" t="s">
        <v>61</v>
      </c>
      <c r="N136" s="9" t="s">
        <v>62</v>
      </c>
      <c r="O136" s="9" t="s">
        <v>63</v>
      </c>
      <c r="P136" s="9" t="s">
        <v>63</v>
      </c>
      <c r="Q136" s="9" t="s">
        <v>63</v>
      </c>
      <c r="R136" s="9">
        <v>9</v>
      </c>
      <c r="S136" s="31" t="s">
        <v>161</v>
      </c>
      <c r="T136" s="31" t="s">
        <v>162</v>
      </c>
      <c r="U136" s="31" t="s">
        <v>163</v>
      </c>
      <c r="V136" s="31" t="s">
        <v>164</v>
      </c>
      <c r="W136" s="31" t="s">
        <v>64</v>
      </c>
      <c r="X136" s="9" t="s">
        <v>65</v>
      </c>
      <c r="Y136" s="9" t="s">
        <v>66</v>
      </c>
      <c r="Z136" s="9" t="s">
        <v>67</v>
      </c>
      <c r="AA136" s="9" t="s">
        <v>246</v>
      </c>
      <c r="AB136" s="9" t="s">
        <v>240</v>
      </c>
      <c r="AC136" s="9">
        <v>16</v>
      </c>
      <c r="AD136" s="31" t="s">
        <v>158</v>
      </c>
      <c r="AE136" s="31" t="s">
        <v>159</v>
      </c>
      <c r="AF136" s="31" t="s">
        <v>160</v>
      </c>
      <c r="AG136" s="9">
        <v>17</v>
      </c>
      <c r="AH136" s="4"/>
    </row>
    <row r="137" spans="2:34" hidden="1" x14ac:dyDescent="0.25">
      <c r="AH137" s="152"/>
    </row>
    <row r="138" spans="2:34" ht="15" hidden="1" customHeight="1" x14ac:dyDescent="0.25">
      <c r="AH138" s="154"/>
    </row>
    <row r="139" spans="2:34" ht="12.95" hidden="1" customHeight="1" x14ac:dyDescent="0.25">
      <c r="AH139" s="154"/>
    </row>
    <row r="140" spans="2:34" ht="14.1" hidden="1" customHeight="1" x14ac:dyDescent="0.25">
      <c r="AH140" s="154"/>
    </row>
    <row r="141" spans="2:34" ht="14.1" hidden="1" customHeight="1" x14ac:dyDescent="0.25">
      <c r="AH141" s="154"/>
    </row>
    <row r="142" spans="2:34" hidden="1" x14ac:dyDescent="0.25">
      <c r="B142" s="7"/>
      <c r="C142" s="237" t="s">
        <v>77</v>
      </c>
      <c r="D142" s="238"/>
      <c r="E142" s="148">
        <f>SUM(E66:E69)</f>
        <v>246.67</v>
      </c>
      <c r="F142" s="148">
        <f>SUM(F65:F69)-0.01</f>
        <v>491416.51520000002</v>
      </c>
      <c r="G142" s="148">
        <f>SUM(G65:G69)-0.02</f>
        <v>8190.2554200000004</v>
      </c>
      <c r="H142" s="148">
        <f>SUM(H65:H69)-0.01</f>
        <v>7371.2378779999999</v>
      </c>
      <c r="I142" s="148">
        <f>SUM(I65:I69)</f>
        <v>2457.0826260000003</v>
      </c>
      <c r="J142" s="148">
        <f>SUM(J65:J69)-0.02</f>
        <v>18018.575924000001</v>
      </c>
      <c r="K142" s="148">
        <f>SUM(K65:K69)+0.01</f>
        <v>1501.5596603333336</v>
      </c>
      <c r="L142" s="148"/>
      <c r="M142" s="148">
        <f>SUM(M66:M69)</f>
        <v>15479.024789184001</v>
      </c>
      <c r="N142" s="148">
        <f>SUM(N65:N69)-0.01</f>
        <v>1051.0860507333332</v>
      </c>
      <c r="O142" s="148">
        <f>SUM(O65:O69)+0.01</f>
        <v>840.88684058666672</v>
      </c>
      <c r="P142" s="148">
        <f>SUM(P65:P69)-0.01</f>
        <v>945.97644566000008</v>
      </c>
      <c r="Q142" s="148">
        <f>SUM(Q65:Q69)-0.01</f>
        <v>1051.0860507333332</v>
      </c>
      <c r="R142" s="148"/>
      <c r="S142" s="148">
        <f>SUM(S65:S69)</f>
        <v>258.31</v>
      </c>
      <c r="T142" s="148">
        <f>SUM(T66:T69)</f>
        <v>0</v>
      </c>
      <c r="U142" s="148">
        <f>SUM(U66:U69)</f>
        <v>1574.7749999999999</v>
      </c>
      <c r="V142" s="148">
        <f>SUM(V66:V69)</f>
        <v>0</v>
      </c>
      <c r="W142" s="148">
        <f>SUM(W65:W69)+0.01</f>
        <v>926.83305144999997</v>
      </c>
      <c r="X142" s="148">
        <f>SUM(X65:X69)-0.01</f>
        <v>11121.956617400001</v>
      </c>
      <c r="Y142" s="148">
        <f>SUM(Y65:Y69)</f>
        <v>9485.1558119488</v>
      </c>
      <c r="Z142" s="148">
        <f>SUM(Z65:Z69)</f>
        <v>10016.314537417933</v>
      </c>
      <c r="AA142" s="148">
        <f>SUM(AA65:AA69)+0.01</f>
        <v>13462.540854644039</v>
      </c>
      <c r="AB142" s="148">
        <f>SUM(AB65:AB69)-0.01</f>
        <v>1121.8675712203367</v>
      </c>
      <c r="AC142" s="148">
        <f>SUM(AC65:AC69)+0.01</f>
        <v>1501.5596603333336</v>
      </c>
      <c r="AD142" s="148">
        <f>SUM(AD65:AD69)</f>
        <v>830.27405901741645</v>
      </c>
      <c r="AE142" s="148">
        <f>SUM(AE65:AE69)-0.01</f>
        <v>682.51295166666671</v>
      </c>
      <c r="AF142" s="148">
        <f>SUM(AF65:AF69)-0.02</f>
        <v>227.2528625368619</v>
      </c>
      <c r="AG142" s="148">
        <f>SUM(AG65:AG69)</f>
        <v>377.34738206449316</v>
      </c>
      <c r="AH142" s="154"/>
    </row>
    <row r="143" spans="2:34" hidden="1" x14ac:dyDescent="0.25">
      <c r="B143" s="4"/>
      <c r="C143" s="39"/>
      <c r="D143" s="39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51"/>
    </row>
    <row r="144" spans="2:34" ht="20.100000000000001" hidden="1" customHeight="1" x14ac:dyDescent="0.25">
      <c r="B144" s="4"/>
      <c r="C144" s="223" t="s">
        <v>98</v>
      </c>
      <c r="D144" s="223"/>
      <c r="E144" s="223"/>
      <c r="F144" s="223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"/>
    </row>
    <row r="145" spans="2:34" ht="11.1" hidden="1" customHeight="1" x14ac:dyDescent="0.25">
      <c r="B145" s="4"/>
      <c r="C145" s="42"/>
      <c r="D145" s="42"/>
      <c r="E145" s="42"/>
      <c r="F145" s="42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"/>
    </row>
    <row r="146" spans="2:34" hidden="1" x14ac:dyDescent="0.25">
      <c r="B146" s="231" t="s">
        <v>0</v>
      </c>
      <c r="C146" s="231"/>
      <c r="D146" s="231"/>
      <c r="E146" s="23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2:34" hidden="1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2:34" ht="121.5" hidden="1" customHeight="1" x14ac:dyDescent="0.25">
      <c r="B148" s="215" t="s">
        <v>1</v>
      </c>
      <c r="C148" s="217" t="s">
        <v>56</v>
      </c>
      <c r="D148" s="209" t="s">
        <v>3</v>
      </c>
      <c r="E148" s="209" t="s">
        <v>4</v>
      </c>
      <c r="F148" s="209" t="s">
        <v>5</v>
      </c>
      <c r="G148" s="209" t="s">
        <v>6</v>
      </c>
      <c r="H148" s="209" t="s">
        <v>7</v>
      </c>
      <c r="I148" s="209" t="s">
        <v>8</v>
      </c>
      <c r="J148" s="209" t="s">
        <v>9</v>
      </c>
      <c r="K148" s="209" t="s">
        <v>57</v>
      </c>
      <c r="L148" s="22" t="s">
        <v>10</v>
      </c>
      <c r="M148" s="22" t="s">
        <v>10</v>
      </c>
      <c r="N148" s="22" t="s">
        <v>12</v>
      </c>
      <c r="O148" s="211" t="s">
        <v>13</v>
      </c>
      <c r="P148" s="212"/>
      <c r="Q148" s="213"/>
      <c r="R148" s="209" t="s">
        <v>14</v>
      </c>
      <c r="S148" s="240" t="s">
        <v>58</v>
      </c>
      <c r="T148" s="241"/>
      <c r="U148" s="241"/>
      <c r="V148" s="242"/>
      <c r="W148" s="207" t="s">
        <v>21</v>
      </c>
      <c r="X148" s="209" t="s">
        <v>9</v>
      </c>
      <c r="Y148" s="22" t="s">
        <v>242</v>
      </c>
      <c r="Z148" s="22" t="s">
        <v>243</v>
      </c>
      <c r="AA148" s="22" t="s">
        <v>156</v>
      </c>
      <c r="AB148" s="207" t="s">
        <v>59</v>
      </c>
      <c r="AC148" s="234" t="s">
        <v>18</v>
      </c>
      <c r="AD148" s="235"/>
      <c r="AE148" s="235"/>
      <c r="AF148" s="236"/>
      <c r="AG148" s="205" t="s">
        <v>19</v>
      </c>
      <c r="AH148"/>
    </row>
    <row r="149" spans="2:34" ht="51" hidden="1" x14ac:dyDescent="0.25">
      <c r="B149" s="216"/>
      <c r="C149" s="218"/>
      <c r="D149" s="210"/>
      <c r="E149" s="210"/>
      <c r="F149" s="210"/>
      <c r="G149" s="210"/>
      <c r="H149" s="210"/>
      <c r="I149" s="210"/>
      <c r="J149" s="210"/>
      <c r="K149" s="210"/>
      <c r="L149" s="22">
        <v>5.6</v>
      </c>
      <c r="M149" s="22">
        <v>5.6</v>
      </c>
      <c r="N149" s="22">
        <v>0.7</v>
      </c>
      <c r="O149" s="23">
        <v>0.8</v>
      </c>
      <c r="P149" s="24">
        <v>0.9</v>
      </c>
      <c r="Q149" s="28">
        <v>1</v>
      </c>
      <c r="R149" s="210"/>
      <c r="S149" s="29">
        <v>0.1</v>
      </c>
      <c r="T149" s="30">
        <v>0.2</v>
      </c>
      <c r="U149" s="30">
        <v>0.3</v>
      </c>
      <c r="V149" s="30">
        <v>0.1</v>
      </c>
      <c r="W149" s="208"/>
      <c r="X149" s="210"/>
      <c r="Y149" s="22">
        <v>10.4</v>
      </c>
      <c r="Z149" s="22">
        <v>5.6</v>
      </c>
      <c r="AA149" s="22">
        <v>7.3</v>
      </c>
      <c r="AB149" s="208"/>
      <c r="AC149" s="33" t="s">
        <v>20</v>
      </c>
      <c r="AD149" s="33" t="s">
        <v>21</v>
      </c>
      <c r="AE149" s="33" t="s">
        <v>22</v>
      </c>
      <c r="AF149" s="33" t="s">
        <v>23</v>
      </c>
      <c r="AG149" s="206"/>
      <c r="AH149"/>
    </row>
    <row r="150" spans="2:34" ht="15" hidden="1" x14ac:dyDescent="0.25">
      <c r="B150" s="7"/>
      <c r="C150" s="8"/>
      <c r="D150" s="9">
        <v>0</v>
      </c>
      <c r="E150" s="9">
        <v>1</v>
      </c>
      <c r="F150" s="9">
        <v>2</v>
      </c>
      <c r="G150" s="9" t="s">
        <v>24</v>
      </c>
      <c r="H150" s="9" t="s">
        <v>25</v>
      </c>
      <c r="I150" s="9" t="s">
        <v>26</v>
      </c>
      <c r="J150" s="9" t="s">
        <v>27</v>
      </c>
      <c r="K150" s="25" t="s">
        <v>60</v>
      </c>
      <c r="L150" s="9" t="s">
        <v>61</v>
      </c>
      <c r="M150" s="9" t="s">
        <v>61</v>
      </c>
      <c r="N150" s="9" t="s">
        <v>62</v>
      </c>
      <c r="O150" s="9" t="s">
        <v>63</v>
      </c>
      <c r="P150" s="9" t="s">
        <v>63</v>
      </c>
      <c r="Q150" s="9" t="s">
        <v>63</v>
      </c>
      <c r="R150" s="9">
        <v>9</v>
      </c>
      <c r="S150" s="31" t="s">
        <v>161</v>
      </c>
      <c r="T150" s="31" t="s">
        <v>162</v>
      </c>
      <c r="U150" s="31" t="s">
        <v>163</v>
      </c>
      <c r="V150" s="31" t="s">
        <v>164</v>
      </c>
      <c r="W150" s="31" t="s">
        <v>64</v>
      </c>
      <c r="X150" s="9" t="s">
        <v>65</v>
      </c>
      <c r="Y150" s="9" t="s">
        <v>66</v>
      </c>
      <c r="Z150" s="9" t="s">
        <v>67</v>
      </c>
      <c r="AA150" s="9" t="s">
        <v>246</v>
      </c>
      <c r="AB150" s="9" t="s">
        <v>240</v>
      </c>
      <c r="AC150" s="9">
        <v>16</v>
      </c>
      <c r="AD150" s="31" t="s">
        <v>158</v>
      </c>
      <c r="AE150" s="31" t="s">
        <v>159</v>
      </c>
      <c r="AF150" s="31" t="s">
        <v>160</v>
      </c>
      <c r="AG150" s="9">
        <v>17</v>
      </c>
      <c r="AH150"/>
    </row>
    <row r="151" spans="2:34" ht="15" hidden="1" x14ac:dyDescent="0.25">
      <c r="AH151" s="164"/>
    </row>
    <row r="152" spans="2:34" ht="15" hidden="1" x14ac:dyDescent="0.25">
      <c r="AH152" s="164"/>
    </row>
    <row r="153" spans="2:34" ht="15" hidden="1" x14ac:dyDescent="0.25">
      <c r="B153" s="7"/>
      <c r="C153" s="243" t="s">
        <v>77</v>
      </c>
      <c r="D153" s="244"/>
      <c r="E153" s="15">
        <f>SUM(E24:E25)</f>
        <v>198.13</v>
      </c>
      <c r="F153" s="148">
        <f>SUM(F24:F25)</f>
        <v>188691.87056265399</v>
      </c>
      <c r="G153" s="148">
        <f>SUM(G24:G25)</f>
        <v>3144.8645093775667</v>
      </c>
      <c r="H153" s="148">
        <f>SUM(H24:H25)</f>
        <v>2830.37805843981</v>
      </c>
      <c r="I153" s="148">
        <f>+I24</f>
        <v>0</v>
      </c>
      <c r="J153" s="148">
        <f>SUM(J24:J25)</f>
        <v>5975.2425678173768</v>
      </c>
      <c r="K153" s="148">
        <f>SUM(K24:K25)</f>
        <v>497.93688065144801</v>
      </c>
      <c r="L153" s="148"/>
      <c r="M153" s="148">
        <f>SUM(M24:M24)</f>
        <v>3156.9981341019015</v>
      </c>
      <c r="N153" s="148">
        <f>SUM(N24:N25)-0.01</f>
        <v>348.5458164560136</v>
      </c>
      <c r="O153" s="148">
        <f>SUM(O24:O25)</f>
        <v>278.84465316481089</v>
      </c>
      <c r="P153" s="148">
        <f>SUM(P24:P25)</f>
        <v>313.70023481041221</v>
      </c>
      <c r="Q153" s="148">
        <f>SUM(Q24:Q25)-0.01</f>
        <v>348.5458164560136</v>
      </c>
      <c r="R153" s="148"/>
      <c r="S153" s="148">
        <f t="shared" ref="S153:AG153" si="117">SUM(S24:S25)</f>
        <v>144.01700000000002</v>
      </c>
      <c r="T153" s="148">
        <f t="shared" si="117"/>
        <v>0</v>
      </c>
      <c r="U153" s="148">
        <f t="shared" si="117"/>
        <v>0</v>
      </c>
      <c r="V153" s="148">
        <f t="shared" si="117"/>
        <v>257.39999999999998</v>
      </c>
      <c r="W153" s="148">
        <f t="shared" si="117"/>
        <v>396.73084673353998</v>
      </c>
      <c r="X153" s="148">
        <f t="shared" si="117"/>
        <v>4760.7901608024795</v>
      </c>
      <c r="Y153" s="148">
        <f t="shared" si="117"/>
        <v>3410.0351999999998</v>
      </c>
      <c r="Z153" s="148">
        <f t="shared" si="117"/>
        <v>3600.9971712000001</v>
      </c>
      <c r="AA153" s="148">
        <f t="shared" si="117"/>
        <v>5657.9154072386609</v>
      </c>
      <c r="AB153" s="148">
        <f t="shared" si="117"/>
        <v>471.49295060322174</v>
      </c>
      <c r="AC153" s="148">
        <f t="shared" si="117"/>
        <v>497.93688065144801</v>
      </c>
      <c r="AD153" s="148">
        <f t="shared" si="117"/>
        <v>401.41700000000003</v>
      </c>
      <c r="AE153" s="148">
        <f t="shared" si="117"/>
        <v>262.07204244813056</v>
      </c>
      <c r="AF153" s="148">
        <f t="shared" si="117"/>
        <v>105.26315789473684</v>
      </c>
      <c r="AG153" s="148">
        <f t="shared" si="117"/>
        <v>211.27210526315787</v>
      </c>
      <c r="AH153"/>
    </row>
    <row r="154" spans="2:34" ht="15" hidden="1" x14ac:dyDescent="0.25">
      <c r="B154" s="4"/>
      <c r="C154" s="159"/>
      <c r="D154" s="159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41"/>
      <c r="AG154" s="41"/>
      <c r="AH154"/>
    </row>
    <row r="155" spans="2:34" ht="15" hidden="1" x14ac:dyDescent="0.25">
      <c r="B155" s="4"/>
      <c r="C155" s="159"/>
      <c r="D155" s="159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41"/>
      <c r="AG155" s="41"/>
      <c r="AH155"/>
    </row>
    <row r="156" spans="2:34" ht="15" hidden="1" x14ac:dyDescent="0.25">
      <c r="B156" s="4"/>
      <c r="C156" s="159"/>
      <c r="D156" s="159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41"/>
      <c r="AG156" s="41"/>
      <c r="AH156"/>
    </row>
    <row r="157" spans="2:34" ht="15" hidden="1" x14ac:dyDescent="0.25">
      <c r="B157" s="4"/>
      <c r="C157" s="159"/>
      <c r="D157" s="159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41"/>
      <c r="AG157" s="41"/>
      <c r="AH157"/>
    </row>
    <row r="158" spans="2:34" ht="15" hidden="1" x14ac:dyDescent="0.25">
      <c r="B158" s="4"/>
      <c r="C158" s="159"/>
      <c r="D158" s="159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41"/>
      <c r="AG158" s="41"/>
      <c r="AH158"/>
    </row>
    <row r="159" spans="2:34" ht="14.1" hidden="1" customHeight="1" x14ac:dyDescent="0.25">
      <c r="B159" s="44"/>
      <c r="C159" s="44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4"/>
      <c r="Y159" s="44"/>
      <c r="Z159" s="44"/>
      <c r="AA159" s="44"/>
      <c r="AB159" s="44"/>
      <c r="AC159" s="44"/>
      <c r="AD159" s="44"/>
      <c r="AE159" s="44"/>
      <c r="AF159" s="48"/>
      <c r="AG159" s="49"/>
      <c r="AH159" s="4"/>
    </row>
    <row r="160" spans="2:34" ht="18" hidden="1" customHeight="1" x14ac:dyDescent="0.25">
      <c r="B160" s="44" t="s">
        <v>101</v>
      </c>
      <c r="C160" s="44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4"/>
      <c r="Y160" s="44"/>
      <c r="Z160" s="44"/>
      <c r="AA160" s="44"/>
      <c r="AB160" s="44"/>
      <c r="AC160" s="44"/>
      <c r="AD160" s="44"/>
      <c r="AE160" s="44"/>
      <c r="AF160" s="48"/>
      <c r="AG160" s="49"/>
      <c r="AH160" s="4"/>
    </row>
    <row r="161" spans="1:34" ht="21.95" hidden="1" customHeight="1" x14ac:dyDescent="0.25">
      <c r="A161" s="2"/>
      <c r="B161" s="2"/>
      <c r="C161" s="2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2"/>
      <c r="Y161" s="2"/>
      <c r="Z161" s="2"/>
      <c r="AA161" s="2"/>
      <c r="AB161" s="2"/>
      <c r="AC161" s="2"/>
      <c r="AD161" s="50"/>
      <c r="AE161" s="50"/>
      <c r="AF161" s="48"/>
      <c r="AG161" s="49"/>
      <c r="AH161" s="4"/>
    </row>
    <row r="162" spans="1:34" ht="120" hidden="1" customHeight="1" x14ac:dyDescent="0.25">
      <c r="B162" s="215" t="s">
        <v>1</v>
      </c>
      <c r="C162" s="217" t="s">
        <v>56</v>
      </c>
      <c r="D162" s="209" t="s">
        <v>3</v>
      </c>
      <c r="E162" s="209" t="s">
        <v>4</v>
      </c>
      <c r="F162" s="209" t="s">
        <v>5</v>
      </c>
      <c r="G162" s="209" t="s">
        <v>6</v>
      </c>
      <c r="H162" s="209" t="s">
        <v>7</v>
      </c>
      <c r="I162" s="209" t="s">
        <v>8</v>
      </c>
      <c r="J162" s="209" t="s">
        <v>9</v>
      </c>
      <c r="K162" s="209" t="s">
        <v>57</v>
      </c>
      <c r="L162" s="22" t="s">
        <v>10</v>
      </c>
      <c r="M162" s="22" t="s">
        <v>10</v>
      </c>
      <c r="N162" s="22" t="s">
        <v>12</v>
      </c>
      <c r="O162" s="211" t="s">
        <v>13</v>
      </c>
      <c r="P162" s="212"/>
      <c r="Q162" s="213"/>
      <c r="R162" s="209" t="s">
        <v>14</v>
      </c>
      <c r="S162" s="240" t="s">
        <v>58</v>
      </c>
      <c r="T162" s="241"/>
      <c r="U162" s="241"/>
      <c r="V162" s="242"/>
      <c r="W162" s="207" t="s">
        <v>21</v>
      </c>
      <c r="X162" s="209" t="s">
        <v>9</v>
      </c>
      <c r="Y162" s="22" t="s">
        <v>242</v>
      </c>
      <c r="Z162" s="22" t="s">
        <v>243</v>
      </c>
      <c r="AA162" s="22" t="s">
        <v>156</v>
      </c>
      <c r="AB162" s="207" t="s">
        <v>59</v>
      </c>
      <c r="AC162" s="234" t="s">
        <v>18</v>
      </c>
      <c r="AD162" s="235"/>
      <c r="AE162" s="235"/>
      <c r="AF162" s="236"/>
      <c r="AG162" s="205" t="s">
        <v>19</v>
      </c>
      <c r="AH162" s="4"/>
    </row>
    <row r="163" spans="1:34" ht="51" hidden="1" x14ac:dyDescent="0.25">
      <c r="B163" s="216"/>
      <c r="C163" s="218"/>
      <c r="D163" s="210"/>
      <c r="E163" s="210"/>
      <c r="F163" s="210"/>
      <c r="G163" s="210"/>
      <c r="H163" s="210"/>
      <c r="I163" s="210"/>
      <c r="J163" s="210"/>
      <c r="K163" s="210"/>
      <c r="L163" s="22">
        <v>5.6</v>
      </c>
      <c r="M163" s="22">
        <v>5.6</v>
      </c>
      <c r="N163" s="22">
        <v>0.7</v>
      </c>
      <c r="O163" s="23">
        <v>0.8</v>
      </c>
      <c r="P163" s="24">
        <v>0.9</v>
      </c>
      <c r="Q163" s="28">
        <v>1</v>
      </c>
      <c r="R163" s="210"/>
      <c r="S163" s="29">
        <v>0.1</v>
      </c>
      <c r="T163" s="30">
        <v>0.2</v>
      </c>
      <c r="U163" s="30">
        <v>0.3</v>
      </c>
      <c r="V163" s="30">
        <v>0.1</v>
      </c>
      <c r="W163" s="208"/>
      <c r="X163" s="210"/>
      <c r="Y163" s="22">
        <v>10.4</v>
      </c>
      <c r="Z163" s="22">
        <v>5.6</v>
      </c>
      <c r="AA163" s="22">
        <v>7.3</v>
      </c>
      <c r="AB163" s="208"/>
      <c r="AC163" s="33" t="s">
        <v>20</v>
      </c>
      <c r="AD163" s="33" t="s">
        <v>21</v>
      </c>
      <c r="AE163" s="33" t="s">
        <v>22</v>
      </c>
      <c r="AF163" s="33" t="s">
        <v>23</v>
      </c>
      <c r="AG163" s="206"/>
      <c r="AH163" s="4"/>
    </row>
    <row r="164" spans="1:34" hidden="1" x14ac:dyDescent="0.25">
      <c r="B164" s="7"/>
      <c r="C164" s="8"/>
      <c r="D164" s="9">
        <v>0</v>
      </c>
      <c r="E164" s="9">
        <v>1</v>
      </c>
      <c r="F164" s="156">
        <v>2</v>
      </c>
      <c r="G164" s="156" t="s">
        <v>24</v>
      </c>
      <c r="H164" s="156" t="s">
        <v>25</v>
      </c>
      <c r="I164" s="156" t="s">
        <v>26</v>
      </c>
      <c r="J164" s="156" t="s">
        <v>27</v>
      </c>
      <c r="K164" s="156" t="s">
        <v>60</v>
      </c>
      <c r="L164" s="156" t="s">
        <v>61</v>
      </c>
      <c r="M164" s="156" t="s">
        <v>61</v>
      </c>
      <c r="N164" s="156" t="s">
        <v>62</v>
      </c>
      <c r="O164" s="156" t="s">
        <v>63</v>
      </c>
      <c r="P164" s="156" t="s">
        <v>63</v>
      </c>
      <c r="Q164" s="156" t="s">
        <v>63</v>
      </c>
      <c r="R164" s="156">
        <v>9</v>
      </c>
      <c r="S164" s="156" t="s">
        <v>161</v>
      </c>
      <c r="T164" s="156" t="s">
        <v>162</v>
      </c>
      <c r="U164" s="156" t="s">
        <v>163</v>
      </c>
      <c r="V164" s="156" t="s">
        <v>164</v>
      </c>
      <c r="W164" s="156" t="s">
        <v>64</v>
      </c>
      <c r="X164" s="156" t="s">
        <v>65</v>
      </c>
      <c r="Y164" s="156" t="s">
        <v>66</v>
      </c>
      <c r="Z164" s="156" t="s">
        <v>67</v>
      </c>
      <c r="AA164" s="156" t="s">
        <v>246</v>
      </c>
      <c r="AB164" s="156" t="s">
        <v>240</v>
      </c>
      <c r="AC164" s="156">
        <v>16</v>
      </c>
      <c r="AD164" s="156" t="s">
        <v>158</v>
      </c>
      <c r="AE164" s="156" t="s">
        <v>159</v>
      </c>
      <c r="AF164" s="156" t="s">
        <v>160</v>
      </c>
      <c r="AG164" s="156">
        <v>17</v>
      </c>
      <c r="AH164" s="4"/>
    </row>
    <row r="165" spans="1:34" hidden="1" x14ac:dyDescent="0.25">
      <c r="AH165" s="4"/>
    </row>
    <row r="166" spans="1:34" hidden="1" x14ac:dyDescent="0.25">
      <c r="AH166" s="4"/>
    </row>
    <row r="167" spans="1:34" hidden="1" x14ac:dyDescent="0.25">
      <c r="AH167" s="4"/>
    </row>
    <row r="168" spans="1:34" hidden="1" x14ac:dyDescent="0.25">
      <c r="AH168" s="4"/>
    </row>
    <row r="169" spans="1:34" hidden="1" x14ac:dyDescent="0.25">
      <c r="AH169" s="4"/>
    </row>
    <row r="170" spans="1:34" hidden="1" x14ac:dyDescent="0.25">
      <c r="AH170" s="4"/>
    </row>
    <row r="171" spans="1:34" hidden="1" x14ac:dyDescent="0.25">
      <c r="B171" s="7"/>
      <c r="C171" s="243" t="s">
        <v>77</v>
      </c>
      <c r="D171" s="244"/>
      <c r="E171" s="15">
        <f>SUM(E70:E75)</f>
        <v>592.21</v>
      </c>
      <c r="F171" s="148">
        <f>SUM(F70:F75)</f>
        <v>563999.45956718002</v>
      </c>
      <c r="G171" s="148">
        <f>SUM(G70:G75)-0.01</f>
        <v>9399.9809927863334</v>
      </c>
      <c r="H171" s="148">
        <f>SUM(H70:H75)</f>
        <v>8459.9918935077003</v>
      </c>
      <c r="I171" s="148">
        <f>SUM(I70:I75)-0.01</f>
        <v>2819.9872978358994</v>
      </c>
      <c r="J171" s="148">
        <f>SUM(J70:J75)</f>
        <v>20679.960184129934</v>
      </c>
      <c r="K171" s="148">
        <f>SUM(K70:K75)</f>
        <v>1723.330015344161</v>
      </c>
      <c r="L171" s="148"/>
      <c r="M171" s="148">
        <f>SUM(M70:M75)</f>
        <v>21838.03795444121</v>
      </c>
      <c r="N171" s="148">
        <f>SUM(N70:N75)</f>
        <v>1206.3310107409127</v>
      </c>
      <c r="O171" s="148">
        <f>SUM(O70:O75)</f>
        <v>965.06480859273006</v>
      </c>
      <c r="P171" s="148">
        <f>SUM(P70:P75)+0.01</f>
        <v>1085.7079096668215</v>
      </c>
      <c r="Q171" s="148">
        <f>SUM(Q70:Q75)</f>
        <v>1206.3310107409127</v>
      </c>
      <c r="R171" s="148"/>
      <c r="S171" s="148">
        <f>SUM(S70:S75)</f>
        <v>575.62599999999998</v>
      </c>
      <c r="T171" s="148">
        <f>SUM(T70:T75)</f>
        <v>0</v>
      </c>
      <c r="U171" s="148">
        <f>SUM(U70:U75)</f>
        <v>0</v>
      </c>
      <c r="V171" s="148">
        <f>SUM(V70:V75)</f>
        <v>0</v>
      </c>
      <c r="W171" s="148">
        <f>SUM(W70:W75)</f>
        <v>1045.4447434024139</v>
      </c>
      <c r="X171" s="148">
        <f>SUM(X70:X75)-0.01</f>
        <v>12545.266920828968</v>
      </c>
      <c r="Y171" s="148">
        <f>SUM(Y70:Y75)-0.01</f>
        <v>13849.995720595181</v>
      </c>
      <c r="Z171" s="148">
        <f>SUM(Z70:Z75)-0.01</f>
        <v>14625.576040948514</v>
      </c>
      <c r="AA171" s="148">
        <f>SUM(AA70:AA75)</f>
        <v>15693.253821937753</v>
      </c>
      <c r="AB171" s="148">
        <f>SUM(AB70:AB75)</f>
        <v>1307.7711518281462</v>
      </c>
      <c r="AC171" s="148">
        <f>SUM(AC70:AC75)</f>
        <v>1723.330015344161</v>
      </c>
      <c r="AD171" s="148">
        <f>SUM(AD70:AD75)</f>
        <v>1074.0228838896437</v>
      </c>
      <c r="AE171" s="148">
        <f>SUM(AE70:AE75)-0.01</f>
        <v>783.32258273219463</v>
      </c>
      <c r="AF171" s="148">
        <v>272.7</v>
      </c>
      <c r="AG171" s="148">
        <f>SUM(AG70:AG75)-0.02</f>
        <v>488.14101085997396</v>
      </c>
      <c r="AH171" s="4"/>
    </row>
    <row r="172" spans="1:34" hidden="1" x14ac:dyDescent="0.25">
      <c r="B172" s="4"/>
      <c r="C172" s="52"/>
      <c r="D172" s="52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"/>
    </row>
    <row r="173" spans="1:34" ht="18.95" hidden="1" customHeight="1" x14ac:dyDescent="0.25">
      <c r="B173" s="4"/>
      <c r="C173" s="223" t="s">
        <v>108</v>
      </c>
      <c r="D173" s="223"/>
      <c r="E173" s="223"/>
      <c r="F173" s="223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60"/>
      <c r="X173" s="2"/>
      <c r="Y173" s="2"/>
      <c r="Z173" s="2"/>
      <c r="AA173" s="2"/>
      <c r="AB173" s="2"/>
      <c r="AC173" s="2"/>
      <c r="AD173" s="50"/>
      <c r="AE173" s="50"/>
      <c r="AF173" s="50"/>
      <c r="AG173" s="63"/>
      <c r="AH173" s="4"/>
    </row>
    <row r="174" spans="1:34" ht="12.95" hidden="1" customHeight="1" x14ac:dyDescent="0.25">
      <c r="B174" s="4"/>
      <c r="C174" s="53"/>
      <c r="D174" s="53"/>
      <c r="E174" s="42"/>
      <c r="F174" s="42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2"/>
      <c r="Y174" s="2"/>
      <c r="Z174" s="2"/>
      <c r="AA174" s="2"/>
      <c r="AB174" s="2"/>
      <c r="AC174" s="2"/>
      <c r="AD174" s="50"/>
      <c r="AE174" s="50"/>
      <c r="AF174" s="50"/>
      <c r="AG174" s="64"/>
      <c r="AH174" s="4"/>
    </row>
    <row r="175" spans="1:34" ht="17.100000000000001" hidden="1" customHeight="1" x14ac:dyDescent="0.25">
      <c r="B175" s="4"/>
      <c r="C175" s="245" t="s">
        <v>0</v>
      </c>
      <c r="D175" s="245"/>
      <c r="E175" s="42"/>
      <c r="F175" s="42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2"/>
      <c r="Y175" s="2"/>
      <c r="Z175" s="2"/>
      <c r="AA175" s="2"/>
      <c r="AB175" s="2"/>
      <c r="AC175" s="2"/>
      <c r="AD175" s="50"/>
      <c r="AE175" s="50"/>
      <c r="AF175" s="50"/>
      <c r="AG175" s="64"/>
      <c r="AH175" s="4"/>
    </row>
    <row r="176" spans="1:34" ht="120.75" hidden="1" customHeight="1" x14ac:dyDescent="0.25">
      <c r="B176" s="215" t="s">
        <v>1</v>
      </c>
      <c r="C176" s="217" t="s">
        <v>56</v>
      </c>
      <c r="D176" s="209" t="s">
        <v>3</v>
      </c>
      <c r="E176" s="209" t="s">
        <v>4</v>
      </c>
      <c r="F176" s="209" t="s">
        <v>5</v>
      </c>
      <c r="G176" s="209" t="s">
        <v>6</v>
      </c>
      <c r="H176" s="209" t="s">
        <v>7</v>
      </c>
      <c r="I176" s="209" t="s">
        <v>8</v>
      </c>
      <c r="J176" s="209" t="s">
        <v>9</v>
      </c>
      <c r="K176" s="209" t="s">
        <v>57</v>
      </c>
      <c r="L176" s="22" t="s">
        <v>10</v>
      </c>
      <c r="M176" s="22" t="s">
        <v>10</v>
      </c>
      <c r="N176" s="22" t="s">
        <v>12</v>
      </c>
      <c r="O176" s="211" t="s">
        <v>13</v>
      </c>
      <c r="P176" s="212"/>
      <c r="Q176" s="213"/>
      <c r="R176" s="209" t="s">
        <v>14</v>
      </c>
      <c r="S176" s="240" t="s">
        <v>58</v>
      </c>
      <c r="T176" s="241"/>
      <c r="U176" s="241"/>
      <c r="V176" s="242"/>
      <c r="W176" s="207" t="s">
        <v>21</v>
      </c>
      <c r="X176" s="209" t="s">
        <v>9</v>
      </c>
      <c r="Y176" s="22" t="s">
        <v>242</v>
      </c>
      <c r="Z176" s="22" t="s">
        <v>243</v>
      </c>
      <c r="AA176" s="22" t="s">
        <v>156</v>
      </c>
      <c r="AB176" s="207" t="s">
        <v>59</v>
      </c>
      <c r="AC176" s="234" t="s">
        <v>18</v>
      </c>
      <c r="AD176" s="235"/>
      <c r="AE176" s="235"/>
      <c r="AF176" s="236"/>
      <c r="AG176" s="205" t="s">
        <v>19</v>
      </c>
      <c r="AH176" s="4"/>
    </row>
    <row r="177" spans="2:34" ht="51" hidden="1" x14ac:dyDescent="0.25">
      <c r="B177" s="216"/>
      <c r="C177" s="218"/>
      <c r="D177" s="210"/>
      <c r="E177" s="210"/>
      <c r="F177" s="210"/>
      <c r="G177" s="210"/>
      <c r="H177" s="210"/>
      <c r="I177" s="210"/>
      <c r="J177" s="210"/>
      <c r="K177" s="210"/>
      <c r="L177" s="22">
        <v>5.6</v>
      </c>
      <c r="M177" s="22">
        <v>5.6</v>
      </c>
      <c r="N177" s="22">
        <v>0.7</v>
      </c>
      <c r="O177" s="23">
        <v>0.8</v>
      </c>
      <c r="P177" s="24">
        <v>0.9</v>
      </c>
      <c r="Q177" s="28">
        <v>1</v>
      </c>
      <c r="R177" s="210"/>
      <c r="S177" s="29">
        <v>0.1</v>
      </c>
      <c r="T177" s="30">
        <v>0.2</v>
      </c>
      <c r="U177" s="30">
        <v>0.3</v>
      </c>
      <c r="V177" s="30">
        <v>0.1</v>
      </c>
      <c r="W177" s="208"/>
      <c r="X177" s="210"/>
      <c r="Y177" s="22">
        <v>10.4</v>
      </c>
      <c r="Z177" s="22">
        <v>5.6</v>
      </c>
      <c r="AA177" s="22">
        <v>7.3</v>
      </c>
      <c r="AB177" s="208"/>
      <c r="AC177" s="33" t="s">
        <v>20</v>
      </c>
      <c r="AD177" s="33" t="s">
        <v>21</v>
      </c>
      <c r="AE177" s="33" t="s">
        <v>22</v>
      </c>
      <c r="AF177" s="33" t="s">
        <v>23</v>
      </c>
      <c r="AG177" s="206"/>
      <c r="AH177" s="4"/>
    </row>
    <row r="178" spans="2:34" hidden="1" x14ac:dyDescent="0.25">
      <c r="B178" s="7"/>
      <c r="C178" s="8"/>
      <c r="D178" s="9">
        <v>0</v>
      </c>
      <c r="E178" s="9">
        <v>1</v>
      </c>
      <c r="F178" s="9">
        <v>2</v>
      </c>
      <c r="G178" s="9" t="s">
        <v>24</v>
      </c>
      <c r="H178" s="9" t="s">
        <v>25</v>
      </c>
      <c r="I178" s="9" t="s">
        <v>26</v>
      </c>
      <c r="J178" s="9" t="s">
        <v>27</v>
      </c>
      <c r="K178" s="25" t="s">
        <v>60</v>
      </c>
      <c r="L178" s="9" t="s">
        <v>61</v>
      </c>
      <c r="M178" s="9" t="s">
        <v>61</v>
      </c>
      <c r="N178" s="9" t="s">
        <v>62</v>
      </c>
      <c r="O178" s="9" t="s">
        <v>63</v>
      </c>
      <c r="P178" s="9" t="s">
        <v>63</v>
      </c>
      <c r="Q178" s="9" t="s">
        <v>63</v>
      </c>
      <c r="R178" s="9">
        <v>9</v>
      </c>
      <c r="S178" s="31" t="s">
        <v>161</v>
      </c>
      <c r="T178" s="31" t="s">
        <v>162</v>
      </c>
      <c r="U178" s="31" t="s">
        <v>163</v>
      </c>
      <c r="V178" s="31" t="s">
        <v>164</v>
      </c>
      <c r="W178" s="31" t="s">
        <v>64</v>
      </c>
      <c r="X178" s="9" t="s">
        <v>65</v>
      </c>
      <c r="Y178" s="9" t="s">
        <v>66</v>
      </c>
      <c r="Z178" s="9" t="s">
        <v>67</v>
      </c>
      <c r="AA178" s="9" t="s">
        <v>246</v>
      </c>
      <c r="AB178" s="9" t="s">
        <v>240</v>
      </c>
      <c r="AC178" s="9">
        <v>16</v>
      </c>
      <c r="AD178" s="31" t="s">
        <v>158</v>
      </c>
      <c r="AE178" s="31" t="s">
        <v>159</v>
      </c>
      <c r="AF178" s="31" t="s">
        <v>160</v>
      </c>
      <c r="AG178" s="9">
        <v>17</v>
      </c>
      <c r="AH178" s="4"/>
    </row>
    <row r="179" spans="2:34" hidden="1" x14ac:dyDescent="0.25">
      <c r="AH179" s="4"/>
    </row>
    <row r="180" spans="2:34" hidden="1" x14ac:dyDescent="0.25">
      <c r="B180" s="7"/>
      <c r="C180" s="243" t="s">
        <v>77</v>
      </c>
      <c r="D180" s="244"/>
      <c r="E180" s="15">
        <v>98.2</v>
      </c>
      <c r="F180" s="148">
        <f>SUM(F26:F26)</f>
        <v>113634.09400000001</v>
      </c>
      <c r="G180" s="148">
        <f>SUM(G26:G26)</f>
        <v>1893.9015666666669</v>
      </c>
      <c r="H180" s="148">
        <f>SUM(H26:H26)</f>
        <v>1704.5114100000001</v>
      </c>
      <c r="I180" s="148">
        <f>+I26</f>
        <v>0</v>
      </c>
      <c r="J180" s="148">
        <f>SUM(J26:J26)</f>
        <v>3598.412976666667</v>
      </c>
      <c r="K180" s="148">
        <f>+K26</f>
        <v>299.86774805555558</v>
      </c>
      <c r="L180" s="148"/>
      <c r="M180" s="148">
        <f>SUM(M26:M26)</f>
        <v>3799.9241033600006</v>
      </c>
      <c r="N180" s="148">
        <f>+N26</f>
        <v>209.9074236388889</v>
      </c>
      <c r="O180" s="148">
        <f>+O26</f>
        <v>167.92593891111113</v>
      </c>
      <c r="P180" s="148">
        <f>+P26</f>
        <v>188.916681275</v>
      </c>
      <c r="Q180" s="148">
        <f>+Q26</f>
        <v>209.9074236388889</v>
      </c>
      <c r="R180" s="148"/>
      <c r="S180" s="148">
        <f t="shared" ref="S180:AG180" si="118">SUM(S26)</f>
        <v>189.26300000000003</v>
      </c>
      <c r="T180" s="148">
        <f t="shared" si="118"/>
        <v>0</v>
      </c>
      <c r="U180" s="148">
        <f t="shared" si="118"/>
        <v>0</v>
      </c>
      <c r="V180" s="148">
        <f t="shared" si="118"/>
        <v>0</v>
      </c>
      <c r="W180" s="148">
        <f t="shared" si="118"/>
        <v>167.92593891111113</v>
      </c>
      <c r="X180" s="148">
        <f t="shared" si="118"/>
        <v>2015.1612669333335</v>
      </c>
      <c r="Y180" s="148">
        <f t="shared" si="118"/>
        <v>2224.7380386944005</v>
      </c>
      <c r="Z180" s="148">
        <f t="shared" si="118"/>
        <v>2349.3333688612875</v>
      </c>
      <c r="AA180" s="148">
        <f t="shared" si="118"/>
        <v>2520.8347047881612</v>
      </c>
      <c r="AB180" s="148">
        <f t="shared" si="118"/>
        <v>210.06955873234676</v>
      </c>
      <c r="AC180" s="148">
        <f t="shared" si="118"/>
        <v>299.86774805555558</v>
      </c>
      <c r="AD180" s="148">
        <f t="shared" si="118"/>
        <v>189.26300000000003</v>
      </c>
      <c r="AE180" s="148">
        <f t="shared" si="118"/>
        <v>157.82513055555557</v>
      </c>
      <c r="AF180" s="148">
        <f t="shared" si="118"/>
        <v>52.631578947368418</v>
      </c>
      <c r="AG180" s="148">
        <f t="shared" si="118"/>
        <v>99.6121052631579</v>
      </c>
      <c r="AH180" s="4"/>
    </row>
    <row r="181" spans="2:34" hidden="1" x14ac:dyDescent="0.25">
      <c r="B181" s="4"/>
      <c r="C181" s="52"/>
      <c r="D181" s="52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"/>
    </row>
    <row r="182" spans="2:34" ht="12.95" hidden="1" customHeight="1" x14ac:dyDescent="0.25">
      <c r="B182" s="4"/>
      <c r="C182" s="223"/>
      <c r="D182" s="223"/>
      <c r="E182" s="223"/>
      <c r="F182" s="223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"/>
    </row>
    <row r="183" spans="2:34" ht="14.1" hidden="1" customHeight="1" x14ac:dyDescent="0.25">
      <c r="B183" s="4"/>
      <c r="C183" s="224" t="s">
        <v>101</v>
      </c>
      <c r="D183" s="224"/>
      <c r="E183" s="42"/>
      <c r="F183" s="42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"/>
    </row>
    <row r="184" spans="2:34" hidden="1" x14ac:dyDescent="0.25">
      <c r="B184" s="4"/>
      <c r="C184" s="4"/>
      <c r="D184" s="4"/>
      <c r="E184" s="4"/>
      <c r="F184" s="4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"/>
    </row>
    <row r="185" spans="2:34" ht="129.75" hidden="1" customHeight="1" x14ac:dyDescent="0.25">
      <c r="B185" s="215" t="s">
        <v>1</v>
      </c>
      <c r="C185" s="217" t="s">
        <v>56</v>
      </c>
      <c r="D185" s="209" t="s">
        <v>3</v>
      </c>
      <c r="E185" s="209" t="s">
        <v>4</v>
      </c>
      <c r="F185" s="209" t="s">
        <v>5</v>
      </c>
      <c r="G185" s="209" t="s">
        <v>6</v>
      </c>
      <c r="H185" s="209" t="s">
        <v>7</v>
      </c>
      <c r="I185" s="209" t="s">
        <v>8</v>
      </c>
      <c r="J185" s="209" t="s">
        <v>9</v>
      </c>
      <c r="K185" s="209" t="s">
        <v>57</v>
      </c>
      <c r="L185" s="22" t="s">
        <v>10</v>
      </c>
      <c r="M185" s="22" t="s">
        <v>10</v>
      </c>
      <c r="N185" s="22" t="s">
        <v>12</v>
      </c>
      <c r="O185" s="211" t="s">
        <v>13</v>
      </c>
      <c r="P185" s="212"/>
      <c r="Q185" s="213"/>
      <c r="R185" s="209" t="s">
        <v>14</v>
      </c>
      <c r="S185" s="240" t="s">
        <v>58</v>
      </c>
      <c r="T185" s="241"/>
      <c r="U185" s="241"/>
      <c r="V185" s="242"/>
      <c r="W185" s="207" t="s">
        <v>21</v>
      </c>
      <c r="X185" s="209" t="s">
        <v>9</v>
      </c>
      <c r="Y185" s="22" t="s">
        <v>242</v>
      </c>
      <c r="Z185" s="22" t="s">
        <v>243</v>
      </c>
      <c r="AA185" s="22" t="s">
        <v>156</v>
      </c>
      <c r="AB185" s="207" t="s">
        <v>59</v>
      </c>
      <c r="AC185" s="234" t="s">
        <v>18</v>
      </c>
      <c r="AD185" s="235"/>
      <c r="AE185" s="235"/>
      <c r="AF185" s="236"/>
      <c r="AG185" s="205" t="s">
        <v>19</v>
      </c>
      <c r="AH185" s="4"/>
    </row>
    <row r="186" spans="2:34" ht="51" hidden="1" x14ac:dyDescent="0.25">
      <c r="B186" s="216"/>
      <c r="C186" s="218"/>
      <c r="D186" s="210"/>
      <c r="E186" s="210"/>
      <c r="F186" s="210"/>
      <c r="G186" s="210"/>
      <c r="H186" s="210"/>
      <c r="I186" s="210"/>
      <c r="J186" s="210"/>
      <c r="K186" s="210"/>
      <c r="L186" s="22">
        <v>5.6</v>
      </c>
      <c r="M186" s="22">
        <v>5.6</v>
      </c>
      <c r="N186" s="22">
        <v>0.7</v>
      </c>
      <c r="O186" s="23">
        <v>0.8</v>
      </c>
      <c r="P186" s="24">
        <v>0.9</v>
      </c>
      <c r="Q186" s="28">
        <v>1</v>
      </c>
      <c r="R186" s="210"/>
      <c r="S186" s="29">
        <v>0.1</v>
      </c>
      <c r="T186" s="30">
        <v>0.2</v>
      </c>
      <c r="U186" s="30">
        <v>0.3</v>
      </c>
      <c r="V186" s="30">
        <v>0.1</v>
      </c>
      <c r="W186" s="208"/>
      <c r="X186" s="210"/>
      <c r="Y186" s="22">
        <v>10.4</v>
      </c>
      <c r="Z186" s="22">
        <v>5.6</v>
      </c>
      <c r="AA186" s="22">
        <v>7.3</v>
      </c>
      <c r="AB186" s="208"/>
      <c r="AC186" s="33" t="s">
        <v>20</v>
      </c>
      <c r="AD186" s="33" t="s">
        <v>21</v>
      </c>
      <c r="AE186" s="33" t="s">
        <v>22</v>
      </c>
      <c r="AF186" s="33" t="s">
        <v>23</v>
      </c>
      <c r="AG186" s="206"/>
      <c r="AH186" s="4"/>
    </row>
    <row r="187" spans="2:34" hidden="1" x14ac:dyDescent="0.25">
      <c r="B187" s="7"/>
      <c r="C187" s="8"/>
      <c r="D187" s="9">
        <v>0</v>
      </c>
      <c r="E187" s="9">
        <v>1</v>
      </c>
      <c r="F187" s="9">
        <v>2</v>
      </c>
      <c r="G187" s="9" t="s">
        <v>24</v>
      </c>
      <c r="H187" s="9" t="s">
        <v>25</v>
      </c>
      <c r="I187" s="9" t="s">
        <v>26</v>
      </c>
      <c r="J187" s="9" t="s">
        <v>27</v>
      </c>
      <c r="K187" s="25" t="s">
        <v>60</v>
      </c>
      <c r="L187" s="9" t="s">
        <v>61</v>
      </c>
      <c r="M187" s="9" t="s">
        <v>61</v>
      </c>
      <c r="N187" s="9" t="s">
        <v>62</v>
      </c>
      <c r="O187" s="9" t="s">
        <v>63</v>
      </c>
      <c r="P187" s="9" t="s">
        <v>63</v>
      </c>
      <c r="Q187" s="9" t="s">
        <v>63</v>
      </c>
      <c r="R187" s="9">
        <v>9</v>
      </c>
      <c r="S187" s="31" t="s">
        <v>161</v>
      </c>
      <c r="T187" s="31" t="s">
        <v>162</v>
      </c>
      <c r="U187" s="31" t="s">
        <v>163</v>
      </c>
      <c r="V187" s="31" t="s">
        <v>164</v>
      </c>
      <c r="W187" s="31" t="s">
        <v>64</v>
      </c>
      <c r="X187" s="9" t="s">
        <v>65</v>
      </c>
      <c r="Y187" s="9" t="s">
        <v>66</v>
      </c>
      <c r="Z187" s="9" t="s">
        <v>67</v>
      </c>
      <c r="AA187" s="9" t="s">
        <v>246</v>
      </c>
      <c r="AB187" s="9" t="s">
        <v>240</v>
      </c>
      <c r="AC187" s="9">
        <v>16</v>
      </c>
      <c r="AD187" s="31" t="s">
        <v>158</v>
      </c>
      <c r="AE187" s="31" t="s">
        <v>159</v>
      </c>
      <c r="AF187" s="31" t="s">
        <v>160</v>
      </c>
      <c r="AG187" s="9">
        <v>17</v>
      </c>
      <c r="AH187" s="4"/>
    </row>
    <row r="188" spans="2:34" hidden="1" x14ac:dyDescent="0.25">
      <c r="AH188" s="4"/>
    </row>
    <row r="189" spans="2:34" hidden="1" x14ac:dyDescent="0.25">
      <c r="AH189" s="4"/>
    </row>
    <row r="190" spans="2:34" hidden="1" x14ac:dyDescent="0.25">
      <c r="AH190" s="4"/>
    </row>
    <row r="191" spans="2:34" hidden="1" x14ac:dyDescent="0.25">
      <c r="B191" s="7"/>
      <c r="C191" s="243" t="s">
        <v>77</v>
      </c>
      <c r="D191" s="244"/>
      <c r="E191" s="15">
        <f t="shared" ref="E191:K191" si="119">SUM(E76:E78)</f>
        <v>294.43999999999994</v>
      </c>
      <c r="F191" s="148">
        <f t="shared" si="119"/>
        <v>340717.1348</v>
      </c>
      <c r="G191" s="148">
        <f t="shared" si="119"/>
        <v>5678.6189133333337</v>
      </c>
      <c r="H191" s="148">
        <f t="shared" si="119"/>
        <v>5110.7570219999998</v>
      </c>
      <c r="I191" s="148">
        <f t="shared" si="119"/>
        <v>1703.5856740000002</v>
      </c>
      <c r="J191" s="148">
        <f t="shared" si="119"/>
        <v>12492.971609333334</v>
      </c>
      <c r="K191" s="148">
        <f t="shared" si="119"/>
        <v>1041.0809674444445</v>
      </c>
      <c r="L191" s="148"/>
      <c r="M191" s="148">
        <f>SUM(M76:M78)</f>
        <v>13192.578019456001</v>
      </c>
      <c r="N191" s="148">
        <f>SUM(N76:N78)</f>
        <v>728.75667721111108</v>
      </c>
      <c r="O191" s="148">
        <f>SUM(O76:O78)</f>
        <v>583.00534176888891</v>
      </c>
      <c r="P191" s="148">
        <f>SUM(P76:P78)</f>
        <v>655.88100949</v>
      </c>
      <c r="Q191" s="148">
        <f>SUM(Q76:Q78)</f>
        <v>728.75667721111108</v>
      </c>
      <c r="R191" s="148"/>
      <c r="S191" s="148">
        <f>SUM(S76:S78)</f>
        <v>220.14400000000001</v>
      </c>
      <c r="T191" s="148">
        <f>SUM(T76:T78)</f>
        <v>0</v>
      </c>
      <c r="U191" s="148">
        <f>SUM(U76:U78)</f>
        <v>1355.913</v>
      </c>
      <c r="V191" s="148">
        <f>SUM(V76:V78)</f>
        <v>0</v>
      </c>
      <c r="W191" s="148">
        <f>SUM(W76:W78)+0.01</f>
        <v>656.01482072611111</v>
      </c>
      <c r="X191" s="148">
        <f t="shared" ref="X191:AE191" si="120">SUM(X76:X78)</f>
        <v>7872.0578487133334</v>
      </c>
      <c r="Y191" s="148">
        <f t="shared" si="120"/>
        <v>8690.7518649795202</v>
      </c>
      <c r="Z191" s="148">
        <f t="shared" si="120"/>
        <v>9177.4339694183745</v>
      </c>
      <c r="AA191" s="148">
        <f t="shared" si="120"/>
        <v>9847.3866491859153</v>
      </c>
      <c r="AB191" s="148">
        <f t="shared" si="120"/>
        <v>820.61555409882635</v>
      </c>
      <c r="AC191" s="148">
        <f t="shared" si="120"/>
        <v>1041.0809674444445</v>
      </c>
      <c r="AD191" s="148">
        <f t="shared" si="120"/>
        <v>799.63042403112001</v>
      </c>
      <c r="AE191" s="148">
        <f t="shared" si="120"/>
        <v>473.21824277777773</v>
      </c>
      <c r="AF191" s="148">
        <f>SUM(AF76:AF78)-0.01</f>
        <v>136.35352688059666</v>
      </c>
      <c r="AG191" s="148">
        <f>SUM(AG76:AG78)+0.01</f>
        <v>363.42804287384001</v>
      </c>
      <c r="AH191" s="4"/>
    </row>
    <row r="192" spans="2:34" hidden="1" x14ac:dyDescent="0.25">
      <c r="B192" s="127"/>
      <c r="C192" s="52"/>
      <c r="D192" s="52"/>
      <c r="E192" s="41"/>
      <c r="F192" s="41"/>
      <c r="G192" s="41"/>
      <c r="H192" s="41"/>
      <c r="I192" s="56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"/>
    </row>
    <row r="193" spans="2:34" hidden="1" x14ac:dyDescent="0.25">
      <c r="B193" s="127"/>
      <c r="C193" s="52"/>
      <c r="D193" s="52"/>
      <c r="E193" s="41"/>
      <c r="F193" s="41"/>
      <c r="G193" s="41"/>
      <c r="H193" s="41"/>
      <c r="I193" s="56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"/>
    </row>
    <row r="194" spans="2:34" hidden="1" x14ac:dyDescent="0.25">
      <c r="B194" s="127"/>
      <c r="C194" s="52"/>
      <c r="D194" s="52"/>
      <c r="E194" s="41"/>
      <c r="F194" s="41"/>
      <c r="G194" s="41"/>
      <c r="H194" s="41"/>
      <c r="I194" s="56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"/>
    </row>
    <row r="195" spans="2:34" hidden="1" x14ac:dyDescent="0.25">
      <c r="B195" s="127"/>
      <c r="C195" s="52"/>
      <c r="D195" s="52"/>
      <c r="E195" s="41"/>
      <c r="F195" s="41"/>
      <c r="G195" s="41"/>
      <c r="H195" s="41"/>
      <c r="I195" s="56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"/>
    </row>
    <row r="196" spans="2:34" hidden="1" x14ac:dyDescent="0.25">
      <c r="B196" s="4"/>
      <c r="C196" s="52"/>
      <c r="D196" s="52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"/>
    </row>
    <row r="197" spans="2:34" ht="20.25" hidden="1" x14ac:dyDescent="0.25">
      <c r="B197" s="4"/>
      <c r="C197" s="223" t="s">
        <v>111</v>
      </c>
      <c r="D197" s="223"/>
      <c r="E197" s="223"/>
      <c r="F197" s="223"/>
      <c r="G197" s="22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3"/>
      <c r="X197" s="4"/>
      <c r="Y197" s="4"/>
      <c r="Z197" s="4"/>
      <c r="AA197" s="4"/>
      <c r="AB197" s="4"/>
      <c r="AC197" s="4"/>
      <c r="AD197" s="4"/>
      <c r="AE197" s="4"/>
      <c r="AF197" s="4"/>
      <c r="AG197" s="3"/>
      <c r="AH197" s="4"/>
    </row>
    <row r="198" spans="2:34" hidden="1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2:34" hidden="1" x14ac:dyDescent="0.25">
      <c r="B199" s="4"/>
      <c r="C199" s="231" t="s">
        <v>0</v>
      </c>
      <c r="D199" s="23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2:34" hidden="1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2:34" ht="119.25" hidden="1" customHeight="1" x14ac:dyDescent="0.25">
      <c r="B201" s="215" t="s">
        <v>1</v>
      </c>
      <c r="C201" s="217" t="s">
        <v>56</v>
      </c>
      <c r="D201" s="209" t="s">
        <v>3</v>
      </c>
      <c r="E201" s="209" t="s">
        <v>4</v>
      </c>
      <c r="F201" s="209" t="s">
        <v>5</v>
      </c>
      <c r="G201" s="209" t="s">
        <v>6</v>
      </c>
      <c r="H201" s="209" t="s">
        <v>7</v>
      </c>
      <c r="I201" s="209" t="s">
        <v>8</v>
      </c>
      <c r="J201" s="209" t="s">
        <v>9</v>
      </c>
      <c r="K201" s="209" t="s">
        <v>57</v>
      </c>
      <c r="L201" s="22" t="s">
        <v>10</v>
      </c>
      <c r="M201" s="22" t="s">
        <v>10</v>
      </c>
      <c r="N201" s="22" t="s">
        <v>12</v>
      </c>
      <c r="O201" s="211" t="s">
        <v>13</v>
      </c>
      <c r="P201" s="212"/>
      <c r="Q201" s="213"/>
      <c r="R201" s="209" t="s">
        <v>14</v>
      </c>
      <c r="S201" s="240" t="s">
        <v>58</v>
      </c>
      <c r="T201" s="241"/>
      <c r="U201" s="241"/>
      <c r="V201" s="242"/>
      <c r="W201" s="207" t="s">
        <v>21</v>
      </c>
      <c r="X201" s="209" t="s">
        <v>9</v>
      </c>
      <c r="Y201" s="22" t="s">
        <v>242</v>
      </c>
      <c r="Z201" s="22" t="s">
        <v>243</v>
      </c>
      <c r="AA201" s="22" t="s">
        <v>156</v>
      </c>
      <c r="AB201" s="207" t="s">
        <v>59</v>
      </c>
      <c r="AC201" s="234" t="s">
        <v>18</v>
      </c>
      <c r="AD201" s="235"/>
      <c r="AE201" s="235"/>
      <c r="AF201" s="236"/>
      <c r="AG201" s="205" t="s">
        <v>19</v>
      </c>
      <c r="AH201" s="4"/>
    </row>
    <row r="202" spans="2:34" ht="51" hidden="1" x14ac:dyDescent="0.25">
      <c r="B202" s="216"/>
      <c r="C202" s="218"/>
      <c r="D202" s="210"/>
      <c r="E202" s="210"/>
      <c r="F202" s="210"/>
      <c r="G202" s="210"/>
      <c r="H202" s="210"/>
      <c r="I202" s="210"/>
      <c r="J202" s="210"/>
      <c r="K202" s="210"/>
      <c r="L202" s="22">
        <v>5.6</v>
      </c>
      <c r="M202" s="22">
        <v>5.6</v>
      </c>
      <c r="N202" s="22">
        <v>0.7</v>
      </c>
      <c r="O202" s="23">
        <v>0.8</v>
      </c>
      <c r="P202" s="24">
        <v>0.9</v>
      </c>
      <c r="Q202" s="28">
        <v>1</v>
      </c>
      <c r="R202" s="210"/>
      <c r="S202" s="29">
        <v>0.1</v>
      </c>
      <c r="T202" s="30">
        <v>0.2</v>
      </c>
      <c r="U202" s="30">
        <v>0.3</v>
      </c>
      <c r="V202" s="30">
        <v>0.1</v>
      </c>
      <c r="W202" s="208"/>
      <c r="X202" s="210"/>
      <c r="Y202" s="22">
        <v>10.4</v>
      </c>
      <c r="Z202" s="22">
        <v>5.6</v>
      </c>
      <c r="AA202" s="22">
        <v>7.3</v>
      </c>
      <c r="AB202" s="208"/>
      <c r="AC202" s="33" t="s">
        <v>20</v>
      </c>
      <c r="AD202" s="33" t="s">
        <v>21</v>
      </c>
      <c r="AE202" s="33" t="s">
        <v>22</v>
      </c>
      <c r="AF202" s="33" t="s">
        <v>23</v>
      </c>
      <c r="AG202" s="206"/>
      <c r="AH202" s="4"/>
    </row>
    <row r="203" spans="2:34" hidden="1" x14ac:dyDescent="0.25">
      <c r="B203" s="7"/>
      <c r="C203" s="8"/>
      <c r="D203" s="9">
        <v>0</v>
      </c>
      <c r="E203" s="9">
        <v>1</v>
      </c>
      <c r="F203" s="9">
        <v>2</v>
      </c>
      <c r="G203" s="9" t="s">
        <v>24</v>
      </c>
      <c r="H203" s="9" t="s">
        <v>25</v>
      </c>
      <c r="I203" s="9" t="s">
        <v>26</v>
      </c>
      <c r="J203" s="9" t="s">
        <v>27</v>
      </c>
      <c r="K203" s="25" t="s">
        <v>60</v>
      </c>
      <c r="L203" s="9" t="s">
        <v>61</v>
      </c>
      <c r="M203" s="9" t="s">
        <v>61</v>
      </c>
      <c r="N203" s="9" t="s">
        <v>62</v>
      </c>
      <c r="O203" s="9" t="s">
        <v>63</v>
      </c>
      <c r="P203" s="9" t="s">
        <v>63</v>
      </c>
      <c r="Q203" s="9" t="s">
        <v>63</v>
      </c>
      <c r="R203" s="9">
        <v>9</v>
      </c>
      <c r="S203" s="31" t="s">
        <v>161</v>
      </c>
      <c r="T203" s="31" t="s">
        <v>162</v>
      </c>
      <c r="U203" s="31" t="s">
        <v>163</v>
      </c>
      <c r="V203" s="31" t="s">
        <v>164</v>
      </c>
      <c r="W203" s="31" t="s">
        <v>64</v>
      </c>
      <c r="X203" s="9" t="s">
        <v>65</v>
      </c>
      <c r="Y203" s="9" t="s">
        <v>66</v>
      </c>
      <c r="Z203" s="9" t="s">
        <v>67</v>
      </c>
      <c r="AA203" s="9" t="s">
        <v>246</v>
      </c>
      <c r="AB203" s="9" t="s">
        <v>240</v>
      </c>
      <c r="AC203" s="9">
        <v>16</v>
      </c>
      <c r="AD203" s="31" t="s">
        <v>158</v>
      </c>
      <c r="AE203" s="31" t="s">
        <v>159</v>
      </c>
      <c r="AF203" s="31" t="s">
        <v>160</v>
      </c>
      <c r="AG203" s="9">
        <v>17</v>
      </c>
      <c r="AH203" s="51"/>
    </row>
    <row r="204" spans="2:34" hidden="1" x14ac:dyDescent="0.25">
      <c r="AH204" s="51"/>
    </row>
    <row r="205" spans="2:34" hidden="1" x14ac:dyDescent="0.25">
      <c r="AH205" s="51"/>
    </row>
    <row r="206" spans="2:34" hidden="1" x14ac:dyDescent="0.25">
      <c r="B206" s="7"/>
      <c r="C206" s="237" t="s">
        <v>77</v>
      </c>
      <c r="D206" s="238"/>
      <c r="E206" s="38">
        <f>+E28+E27</f>
        <v>198.3</v>
      </c>
      <c r="F206" s="148">
        <f>SUM(F27:F28)</f>
        <v>236718.64199999999</v>
      </c>
      <c r="G206" s="148">
        <f>SUM(G27:G28)</f>
        <v>3945.3107</v>
      </c>
      <c r="H206" s="148">
        <f>SUM(H27:H28)</f>
        <v>3550.77963</v>
      </c>
      <c r="I206" s="148">
        <f>+I27</f>
        <v>0</v>
      </c>
      <c r="J206" s="148">
        <f>SUM(J27:J28)</f>
        <v>7496.09033</v>
      </c>
      <c r="K206" s="148">
        <f>SUM(K27:K28)</f>
        <v>624.67419416666667</v>
      </c>
      <c r="L206" s="148"/>
      <c r="M206" s="148">
        <f>SUM(M27:M28)</f>
        <v>7915.87138848</v>
      </c>
      <c r="N206" s="148">
        <f>SUM(N27:N28)+0.01</f>
        <v>437.28193591666661</v>
      </c>
      <c r="O206" s="148">
        <f>SUM(O27:O28)</f>
        <v>349.81754873333335</v>
      </c>
      <c r="P206" s="148">
        <f>SUM(P27:P28)+0.01</f>
        <v>393.55474232500001</v>
      </c>
      <c r="Q206" s="148">
        <f>SUM(Q27:Q28)+0.01</f>
        <v>437.28193591666661</v>
      </c>
      <c r="R206" s="148"/>
      <c r="S206" s="148">
        <f>SUM(S27:S28)-0.01</f>
        <v>133.77800000000002</v>
      </c>
      <c r="T206" s="148">
        <f t="shared" ref="T206:AG206" si="121">SUM(T27:T28)</f>
        <v>0</v>
      </c>
      <c r="U206" s="148">
        <f t="shared" si="121"/>
        <v>0</v>
      </c>
      <c r="V206" s="148">
        <f t="shared" si="121"/>
        <v>0</v>
      </c>
      <c r="W206" s="148">
        <f t="shared" si="121"/>
        <v>349.81754873333335</v>
      </c>
      <c r="X206" s="148">
        <f t="shared" si="121"/>
        <v>4197.8405848000002</v>
      </c>
      <c r="Y206" s="148">
        <f t="shared" si="121"/>
        <v>4634.4060056192002</v>
      </c>
      <c r="Z206" s="148">
        <f t="shared" si="121"/>
        <v>4893.9327419338751</v>
      </c>
      <c r="AA206" s="148">
        <f t="shared" si="121"/>
        <v>5251.1898320950477</v>
      </c>
      <c r="AB206" s="148">
        <f t="shared" si="121"/>
        <v>437.59915267458734</v>
      </c>
      <c r="AC206" s="148">
        <f t="shared" si="121"/>
        <v>624.67419416666667</v>
      </c>
      <c r="AD206" s="148">
        <f t="shared" si="121"/>
        <v>146</v>
      </c>
      <c r="AE206" s="148">
        <f t="shared" si="121"/>
        <v>328.77589166666667</v>
      </c>
      <c r="AF206" s="148">
        <f t="shared" si="121"/>
        <v>105.26315789473684</v>
      </c>
      <c r="AG206" s="148">
        <f t="shared" si="121"/>
        <v>76.84210526315789</v>
      </c>
      <c r="AH206" s="51"/>
    </row>
    <row r="207" spans="2:34" hidden="1" x14ac:dyDescent="0.25">
      <c r="B207" s="4"/>
      <c r="C207" s="54"/>
      <c r="D207" s="54"/>
      <c r="E207" s="55"/>
      <c r="F207" s="55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51"/>
    </row>
    <row r="208" spans="2:34" hidden="1" x14ac:dyDescent="0.25">
      <c r="B208" s="4"/>
      <c r="C208" s="159"/>
      <c r="D208" s="159"/>
      <c r="E208" s="17"/>
      <c r="F208" s="17"/>
      <c r="G208" s="41"/>
      <c r="H208" s="56"/>
      <c r="I208" s="41"/>
      <c r="J208" s="41"/>
      <c r="K208" s="56"/>
      <c r="L208" s="56"/>
      <c r="M208" s="5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"/>
    </row>
    <row r="209" spans="2:34" ht="20.25" hidden="1" x14ac:dyDescent="0.25">
      <c r="B209" s="4"/>
      <c r="C209" s="224" t="s">
        <v>101</v>
      </c>
      <c r="D209" s="224"/>
      <c r="E209" s="42"/>
      <c r="F209" s="42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"/>
    </row>
    <row r="210" spans="2:34" ht="15.95" hidden="1" customHeight="1" x14ac:dyDescent="0.25">
      <c r="B210" s="158"/>
      <c r="C210" s="50"/>
      <c r="D210" s="57"/>
      <c r="E210" s="57"/>
      <c r="F210" s="57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61"/>
      <c r="T210" s="61"/>
      <c r="U210" s="61"/>
      <c r="V210" s="61"/>
      <c r="W210" s="62"/>
      <c r="X210" s="48"/>
      <c r="Y210" s="48"/>
      <c r="Z210" s="48"/>
      <c r="AA210" s="48"/>
      <c r="AB210" s="48"/>
      <c r="AC210" s="48"/>
      <c r="AD210" s="48"/>
      <c r="AE210" s="48"/>
      <c r="AF210" s="48"/>
      <c r="AG210" s="49"/>
      <c r="AH210" s="4"/>
    </row>
    <row r="211" spans="2:34" ht="116.1" hidden="1" customHeight="1" x14ac:dyDescent="0.25">
      <c r="B211" s="215" t="s">
        <v>1</v>
      </c>
      <c r="C211" s="217" t="s">
        <v>56</v>
      </c>
      <c r="D211" s="209" t="s">
        <v>3</v>
      </c>
      <c r="E211" s="209" t="s">
        <v>4</v>
      </c>
      <c r="F211" s="209" t="s">
        <v>5</v>
      </c>
      <c r="G211" s="209" t="s">
        <v>6</v>
      </c>
      <c r="H211" s="209" t="s">
        <v>7</v>
      </c>
      <c r="I211" s="209" t="s">
        <v>8</v>
      </c>
      <c r="J211" s="209" t="s">
        <v>9</v>
      </c>
      <c r="K211" s="209" t="s">
        <v>57</v>
      </c>
      <c r="L211" s="22" t="s">
        <v>10</v>
      </c>
      <c r="M211" s="22" t="s">
        <v>10</v>
      </c>
      <c r="N211" s="22" t="s">
        <v>12</v>
      </c>
      <c r="O211" s="211" t="s">
        <v>13</v>
      </c>
      <c r="P211" s="212"/>
      <c r="Q211" s="213"/>
      <c r="R211" s="209" t="s">
        <v>14</v>
      </c>
      <c r="S211" s="240" t="s">
        <v>58</v>
      </c>
      <c r="T211" s="241"/>
      <c r="U211" s="241"/>
      <c r="V211" s="242"/>
      <c r="W211" s="207" t="s">
        <v>21</v>
      </c>
      <c r="X211" s="209" t="s">
        <v>9</v>
      </c>
      <c r="Y211" s="22" t="s">
        <v>242</v>
      </c>
      <c r="Z211" s="22" t="s">
        <v>243</v>
      </c>
      <c r="AA211" s="22" t="s">
        <v>156</v>
      </c>
      <c r="AB211" s="207" t="s">
        <v>59</v>
      </c>
      <c r="AC211" s="234" t="s">
        <v>18</v>
      </c>
      <c r="AD211" s="235"/>
      <c r="AE211" s="235"/>
      <c r="AF211" s="236"/>
      <c r="AG211" s="205" t="s">
        <v>19</v>
      </c>
      <c r="AH211" s="4"/>
    </row>
    <row r="212" spans="2:34" ht="51" hidden="1" x14ac:dyDescent="0.25">
      <c r="B212" s="216"/>
      <c r="C212" s="218"/>
      <c r="D212" s="210"/>
      <c r="E212" s="210"/>
      <c r="F212" s="210"/>
      <c r="G212" s="210"/>
      <c r="H212" s="210"/>
      <c r="I212" s="210"/>
      <c r="J212" s="210"/>
      <c r="K212" s="210"/>
      <c r="L212" s="22">
        <v>5.6</v>
      </c>
      <c r="M212" s="22">
        <v>5.6</v>
      </c>
      <c r="N212" s="22">
        <v>0.7</v>
      </c>
      <c r="O212" s="23">
        <v>0.8</v>
      </c>
      <c r="P212" s="24">
        <v>0.9</v>
      </c>
      <c r="Q212" s="28">
        <v>1</v>
      </c>
      <c r="R212" s="210"/>
      <c r="S212" s="29">
        <v>0.1</v>
      </c>
      <c r="T212" s="30">
        <v>0.2</v>
      </c>
      <c r="U212" s="30">
        <v>0.3</v>
      </c>
      <c r="V212" s="30">
        <v>0.1</v>
      </c>
      <c r="W212" s="208"/>
      <c r="X212" s="210"/>
      <c r="Y212" s="22">
        <v>10.4</v>
      </c>
      <c r="Z212" s="22">
        <v>5.6</v>
      </c>
      <c r="AA212" s="22">
        <v>7.3</v>
      </c>
      <c r="AB212" s="208"/>
      <c r="AC212" s="33" t="s">
        <v>20</v>
      </c>
      <c r="AD212" s="33" t="s">
        <v>21</v>
      </c>
      <c r="AE212" s="33" t="s">
        <v>22</v>
      </c>
      <c r="AF212" s="33" t="s">
        <v>23</v>
      </c>
      <c r="AG212" s="206"/>
      <c r="AH212" s="4"/>
    </row>
    <row r="213" spans="2:34" hidden="1" x14ac:dyDescent="0.25">
      <c r="B213" s="7"/>
      <c r="C213" s="8"/>
      <c r="D213" s="9">
        <v>0</v>
      </c>
      <c r="E213" s="9">
        <v>1</v>
      </c>
      <c r="F213" s="9">
        <v>2</v>
      </c>
      <c r="G213" s="9" t="s">
        <v>24</v>
      </c>
      <c r="H213" s="9" t="s">
        <v>25</v>
      </c>
      <c r="I213" s="9" t="s">
        <v>26</v>
      </c>
      <c r="J213" s="9" t="s">
        <v>27</v>
      </c>
      <c r="K213" s="25" t="s">
        <v>60</v>
      </c>
      <c r="L213" s="9" t="s">
        <v>61</v>
      </c>
      <c r="M213" s="9" t="s">
        <v>61</v>
      </c>
      <c r="N213" s="9" t="s">
        <v>62</v>
      </c>
      <c r="O213" s="9" t="s">
        <v>63</v>
      </c>
      <c r="P213" s="9" t="s">
        <v>63</v>
      </c>
      <c r="Q213" s="9" t="s">
        <v>63</v>
      </c>
      <c r="R213" s="9">
        <v>9</v>
      </c>
      <c r="S213" s="31" t="s">
        <v>161</v>
      </c>
      <c r="T213" s="31" t="s">
        <v>162</v>
      </c>
      <c r="U213" s="31" t="s">
        <v>163</v>
      </c>
      <c r="V213" s="31" t="s">
        <v>164</v>
      </c>
      <c r="W213" s="31" t="s">
        <v>64</v>
      </c>
      <c r="X213" s="9" t="s">
        <v>65</v>
      </c>
      <c r="Y213" s="9" t="s">
        <v>66</v>
      </c>
      <c r="Z213" s="9" t="s">
        <v>67</v>
      </c>
      <c r="AA213" s="9" t="s">
        <v>246</v>
      </c>
      <c r="AB213" s="9" t="s">
        <v>240</v>
      </c>
      <c r="AC213" s="9">
        <v>16</v>
      </c>
      <c r="AD213" s="31" t="s">
        <v>158</v>
      </c>
      <c r="AE213" s="31" t="s">
        <v>159</v>
      </c>
      <c r="AF213" s="31" t="s">
        <v>160</v>
      </c>
      <c r="AG213" s="9">
        <v>17</v>
      </c>
      <c r="AH213" s="51"/>
    </row>
    <row r="214" spans="2:34" hidden="1" x14ac:dyDescent="0.25">
      <c r="AH214" s="51"/>
    </row>
    <row r="215" spans="2:34" hidden="1" x14ac:dyDescent="0.25">
      <c r="AH215" s="51"/>
    </row>
    <row r="216" spans="2:34" hidden="1" x14ac:dyDescent="0.25">
      <c r="AH216" s="51"/>
    </row>
    <row r="217" spans="2:34" hidden="1" x14ac:dyDescent="0.25">
      <c r="AH217" s="51"/>
    </row>
    <row r="218" spans="2:34" hidden="1" x14ac:dyDescent="0.25">
      <c r="AH218" s="51"/>
    </row>
    <row r="219" spans="2:34" hidden="1" x14ac:dyDescent="0.25">
      <c r="AH219" s="51"/>
    </row>
    <row r="220" spans="2:34" hidden="1" x14ac:dyDescent="0.25">
      <c r="B220" s="7"/>
      <c r="C220" s="237" t="s">
        <v>77</v>
      </c>
      <c r="D220" s="238"/>
      <c r="E220" s="38">
        <f>SUM(E79:E84)</f>
        <v>569.07000000000005</v>
      </c>
      <c r="F220" s="148">
        <f>SUM(F79:F84)</f>
        <v>679321.62180000008</v>
      </c>
      <c r="G220" s="148">
        <f>SUM(G79:G84)-0.01</f>
        <v>11322.017029999999</v>
      </c>
      <c r="H220" s="148">
        <f>SUM(H79:H84)+0.01</f>
        <v>10189.834327</v>
      </c>
      <c r="I220" s="148">
        <f>SUM(I79:I84)</f>
        <v>3396.6081089999998</v>
      </c>
      <c r="J220" s="148">
        <f>SUM(J79:J84)+0.01</f>
        <v>24908.461967333333</v>
      </c>
      <c r="K220" s="148">
        <f t="shared" ref="K220:Q220" si="122">SUM(K79:K84)</f>
        <v>2075.7043306111113</v>
      </c>
      <c r="L220" s="148">
        <f t="shared" si="122"/>
        <v>3586.8181631040002</v>
      </c>
      <c r="M220" s="148">
        <f t="shared" si="122"/>
        <v>26303.325277504002</v>
      </c>
      <c r="N220" s="148">
        <f t="shared" si="122"/>
        <v>1452.9930314277776</v>
      </c>
      <c r="O220" s="148">
        <f t="shared" si="122"/>
        <v>1162.3944251422222</v>
      </c>
      <c r="P220" s="148">
        <f t="shared" si="122"/>
        <v>1307.6937282849999</v>
      </c>
      <c r="Q220" s="148">
        <f t="shared" si="122"/>
        <v>1452.9930314277776</v>
      </c>
      <c r="R220" s="148"/>
      <c r="S220" s="148">
        <f>SUM(S79:S84)</f>
        <v>240.65</v>
      </c>
      <c r="T220" s="148">
        <f>SUM(T79:T84)</f>
        <v>555.30000000000007</v>
      </c>
      <c r="U220" s="148">
        <f>SUM(U79:U84)</f>
        <v>0</v>
      </c>
      <c r="V220" s="148">
        <f>SUM(V79:V84)</f>
        <v>257.39999999999998</v>
      </c>
      <c r="W220" s="148">
        <f>SUM(W79:W84)</f>
        <v>1344.0947902533333</v>
      </c>
      <c r="X220" s="148">
        <f>SUM(X79:X84)-0.01</f>
        <v>16129.077483039999</v>
      </c>
      <c r="Y220" s="148">
        <f>SUM(Y79:Y84)+0.01</f>
        <v>17806.512581276158</v>
      </c>
      <c r="Z220" s="148">
        <f t="shared" ref="Z220:AE220" si="123">SUM(Z79:Z84)</f>
        <v>18803.676725827627</v>
      </c>
      <c r="AA220" s="148">
        <f t="shared" si="123"/>
        <v>20176.335126813043</v>
      </c>
      <c r="AB220" s="148">
        <f t="shared" si="123"/>
        <v>1681.3612605677536</v>
      </c>
      <c r="AC220" s="148">
        <f t="shared" si="123"/>
        <v>2075.7043306111113</v>
      </c>
      <c r="AD220" s="148">
        <f t="shared" si="123"/>
        <v>1344.1406195704262</v>
      </c>
      <c r="AE220" s="148">
        <f t="shared" si="123"/>
        <v>943.50225249999994</v>
      </c>
      <c r="AF220" s="148">
        <f>SUM(AF79:AF84)-0.03</f>
        <v>272.69736115519402</v>
      </c>
      <c r="AG220" s="148">
        <f>SUM(AG79:AG84)</f>
        <v>610.91326758908053</v>
      </c>
      <c r="AH220" s="51"/>
    </row>
    <row r="221" spans="2:34" hidden="1" x14ac:dyDescent="0.25">
      <c r="B221" s="4"/>
      <c r="C221" s="52"/>
      <c r="D221" s="52"/>
      <c r="E221" s="41"/>
      <c r="F221" s="41"/>
      <c r="G221" s="41"/>
      <c r="H221" s="41"/>
      <c r="I221" s="41"/>
      <c r="J221" s="41"/>
      <c r="K221" s="40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"/>
    </row>
    <row r="222" spans="2:34" ht="15.95" hidden="1" customHeight="1" x14ac:dyDescent="0.25">
      <c r="C222" s="223" t="s">
        <v>120</v>
      </c>
      <c r="D222" s="223"/>
      <c r="E222" s="223"/>
      <c r="F222" s="223"/>
      <c r="G222" s="223"/>
      <c r="H222" s="223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60"/>
      <c r="X222" s="2"/>
      <c r="Y222" s="2"/>
      <c r="Z222" s="2"/>
      <c r="AA222" s="2"/>
      <c r="AB222" s="2"/>
      <c r="AC222" s="2"/>
      <c r="AD222" s="48"/>
      <c r="AE222" s="48"/>
      <c r="AF222" s="48"/>
      <c r="AG222" s="65"/>
      <c r="AH222" s="4"/>
    </row>
    <row r="223" spans="2:34" ht="24" hidden="1" customHeight="1" x14ac:dyDescent="0.25">
      <c r="B223" s="4"/>
      <c r="C223" s="52"/>
      <c r="D223" s="52"/>
      <c r="E223" s="41"/>
      <c r="F223" s="41"/>
      <c r="G223" s="41"/>
      <c r="H223" s="41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50"/>
      <c r="Y223" s="50"/>
      <c r="Z223" s="50"/>
      <c r="AA223" s="50"/>
      <c r="AB223" s="50"/>
      <c r="AC223" s="50"/>
      <c r="AD223" s="48"/>
      <c r="AE223" s="48"/>
      <c r="AF223" s="48"/>
      <c r="AG223" s="49"/>
      <c r="AH223" s="4"/>
    </row>
    <row r="224" spans="2:34" ht="24" hidden="1" customHeight="1" x14ac:dyDescent="0.25">
      <c r="B224" s="4"/>
      <c r="C224" s="245" t="s">
        <v>101</v>
      </c>
      <c r="D224" s="245"/>
      <c r="E224" s="42"/>
      <c r="F224" s="42"/>
      <c r="G224" s="41"/>
      <c r="H224" s="41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50"/>
      <c r="Y224" s="50"/>
      <c r="Z224" s="50"/>
      <c r="AA224" s="50"/>
      <c r="AB224" s="50"/>
      <c r="AC224" s="50"/>
      <c r="AD224" s="48"/>
      <c r="AE224" s="48"/>
      <c r="AF224" s="48"/>
      <c r="AG224" s="49"/>
      <c r="AH224" s="4"/>
    </row>
    <row r="225" spans="2:34" ht="116.1" hidden="1" customHeight="1" x14ac:dyDescent="0.25">
      <c r="B225" s="215" t="s">
        <v>1</v>
      </c>
      <c r="C225" s="217" t="s">
        <v>56</v>
      </c>
      <c r="D225" s="209" t="s">
        <v>3</v>
      </c>
      <c r="E225" s="209" t="s">
        <v>4</v>
      </c>
      <c r="F225" s="209" t="s">
        <v>5</v>
      </c>
      <c r="G225" s="209" t="s">
        <v>6</v>
      </c>
      <c r="H225" s="209" t="s">
        <v>7</v>
      </c>
      <c r="I225" s="209" t="s">
        <v>8</v>
      </c>
      <c r="J225" s="209" t="s">
        <v>9</v>
      </c>
      <c r="K225" s="209" t="s">
        <v>57</v>
      </c>
      <c r="L225" s="22" t="s">
        <v>10</v>
      </c>
      <c r="M225" s="22" t="s">
        <v>10</v>
      </c>
      <c r="N225" s="22" t="s">
        <v>12</v>
      </c>
      <c r="O225" s="211" t="s">
        <v>13</v>
      </c>
      <c r="P225" s="212"/>
      <c r="Q225" s="213"/>
      <c r="R225" s="209" t="s">
        <v>14</v>
      </c>
      <c r="S225" s="240" t="s">
        <v>58</v>
      </c>
      <c r="T225" s="241"/>
      <c r="U225" s="241"/>
      <c r="V225" s="242"/>
      <c r="W225" s="207" t="s">
        <v>21</v>
      </c>
      <c r="X225" s="209" t="s">
        <v>9</v>
      </c>
      <c r="Y225" s="22" t="s">
        <v>242</v>
      </c>
      <c r="Z225" s="22" t="s">
        <v>243</v>
      </c>
      <c r="AA225" s="22" t="s">
        <v>156</v>
      </c>
      <c r="AB225" s="207" t="s">
        <v>59</v>
      </c>
      <c r="AC225" s="234" t="s">
        <v>18</v>
      </c>
      <c r="AD225" s="235"/>
      <c r="AE225" s="235"/>
      <c r="AF225" s="236"/>
      <c r="AG225" s="205" t="s">
        <v>19</v>
      </c>
      <c r="AH225" s="4"/>
    </row>
    <row r="226" spans="2:34" ht="51" hidden="1" x14ac:dyDescent="0.25">
      <c r="B226" s="216"/>
      <c r="C226" s="218"/>
      <c r="D226" s="210"/>
      <c r="E226" s="210"/>
      <c r="F226" s="210"/>
      <c r="G226" s="210"/>
      <c r="H226" s="210"/>
      <c r="I226" s="210"/>
      <c r="J226" s="210"/>
      <c r="K226" s="210"/>
      <c r="L226" s="22">
        <v>5.6</v>
      </c>
      <c r="M226" s="22">
        <v>5.6</v>
      </c>
      <c r="N226" s="22">
        <v>0.7</v>
      </c>
      <c r="O226" s="23">
        <v>0.8</v>
      </c>
      <c r="P226" s="24">
        <v>0.9</v>
      </c>
      <c r="Q226" s="28">
        <v>1</v>
      </c>
      <c r="R226" s="210"/>
      <c r="S226" s="29">
        <v>0.1</v>
      </c>
      <c r="T226" s="30">
        <v>0.2</v>
      </c>
      <c r="U226" s="30">
        <v>0.3</v>
      </c>
      <c r="V226" s="30">
        <v>0.1</v>
      </c>
      <c r="W226" s="208"/>
      <c r="X226" s="210"/>
      <c r="Y226" s="22">
        <v>10.4</v>
      </c>
      <c r="Z226" s="22">
        <v>5.6</v>
      </c>
      <c r="AA226" s="22">
        <v>7.3</v>
      </c>
      <c r="AB226" s="208"/>
      <c r="AC226" s="33" t="s">
        <v>20</v>
      </c>
      <c r="AD226" s="33" t="s">
        <v>21</v>
      </c>
      <c r="AE226" s="33" t="s">
        <v>22</v>
      </c>
      <c r="AF226" s="33" t="s">
        <v>23</v>
      </c>
      <c r="AG226" s="206"/>
      <c r="AH226" s="4"/>
    </row>
    <row r="227" spans="2:34" hidden="1" x14ac:dyDescent="0.25">
      <c r="B227" s="7"/>
      <c r="C227" s="8"/>
      <c r="D227" s="9">
        <v>0</v>
      </c>
      <c r="E227" s="9">
        <v>1</v>
      </c>
      <c r="F227" s="9">
        <v>2</v>
      </c>
      <c r="G227" s="9" t="s">
        <v>24</v>
      </c>
      <c r="H227" s="9" t="s">
        <v>25</v>
      </c>
      <c r="I227" s="9" t="s">
        <v>26</v>
      </c>
      <c r="J227" s="9" t="s">
        <v>27</v>
      </c>
      <c r="K227" s="25" t="s">
        <v>60</v>
      </c>
      <c r="L227" s="9" t="s">
        <v>61</v>
      </c>
      <c r="M227" s="9" t="s">
        <v>61</v>
      </c>
      <c r="N227" s="9" t="s">
        <v>62</v>
      </c>
      <c r="O227" s="9" t="s">
        <v>63</v>
      </c>
      <c r="P227" s="9" t="s">
        <v>63</v>
      </c>
      <c r="Q227" s="9" t="s">
        <v>63</v>
      </c>
      <c r="R227" s="9">
        <v>9</v>
      </c>
      <c r="S227" s="31" t="s">
        <v>161</v>
      </c>
      <c r="T227" s="31" t="s">
        <v>162</v>
      </c>
      <c r="U227" s="31" t="s">
        <v>163</v>
      </c>
      <c r="V227" s="31" t="s">
        <v>164</v>
      </c>
      <c r="W227" s="31" t="s">
        <v>64</v>
      </c>
      <c r="X227" s="9" t="s">
        <v>65</v>
      </c>
      <c r="Y227" s="9" t="s">
        <v>66</v>
      </c>
      <c r="Z227" s="9" t="s">
        <v>67</v>
      </c>
      <c r="AA227" s="9" t="s">
        <v>246</v>
      </c>
      <c r="AB227" s="9" t="s">
        <v>240</v>
      </c>
      <c r="AC227" s="9">
        <v>16</v>
      </c>
      <c r="AD227" s="31" t="s">
        <v>158</v>
      </c>
      <c r="AE227" s="31" t="s">
        <v>159</v>
      </c>
      <c r="AF227" s="31" t="s">
        <v>160</v>
      </c>
      <c r="AG227" s="9">
        <v>17</v>
      </c>
      <c r="AH227" s="4"/>
    </row>
    <row r="228" spans="2:34" hidden="1" x14ac:dyDescent="0.25">
      <c r="AH228" s="51"/>
    </row>
    <row r="229" spans="2:34" hidden="1" x14ac:dyDescent="0.25">
      <c r="AH229" s="51"/>
    </row>
    <row r="230" spans="2:34" hidden="1" x14ac:dyDescent="0.25">
      <c r="AH230" s="51"/>
    </row>
    <row r="231" spans="2:34" hidden="1" x14ac:dyDescent="0.25">
      <c r="AH231" s="51"/>
    </row>
    <row r="232" spans="2:34" hidden="1" x14ac:dyDescent="0.25">
      <c r="AH232" s="51"/>
    </row>
    <row r="233" spans="2:34" hidden="1" x14ac:dyDescent="0.25">
      <c r="AH233" s="51"/>
    </row>
    <row r="234" spans="2:34" hidden="1" x14ac:dyDescent="0.25">
      <c r="AH234" s="51"/>
    </row>
    <row r="235" spans="2:34" hidden="1" x14ac:dyDescent="0.25">
      <c r="AH235" s="51"/>
    </row>
    <row r="236" spans="2:34" hidden="1" x14ac:dyDescent="0.25">
      <c r="AH236" s="51"/>
    </row>
    <row r="237" spans="2:34" hidden="1" x14ac:dyDescent="0.25">
      <c r="AH237" s="51"/>
    </row>
    <row r="238" spans="2:34" hidden="1" x14ac:dyDescent="0.25">
      <c r="B238" s="8"/>
      <c r="C238" s="237" t="s">
        <v>77</v>
      </c>
      <c r="D238" s="238"/>
      <c r="E238" s="38">
        <f>SUM(E85:E94)</f>
        <v>952.99</v>
      </c>
      <c r="F238" s="148">
        <f>SUM(F85:F94)-0.01</f>
        <v>1137803.3407000001</v>
      </c>
      <c r="G238" s="148">
        <f>SUM(G85:G94)-0.01</f>
        <v>18963.379178333336</v>
      </c>
      <c r="H238" s="148">
        <f>SUM(H85:H94)-0.01</f>
        <v>17067.040260500002</v>
      </c>
      <c r="I238" s="148">
        <f>SUM(I85:I94)-0.01</f>
        <v>5689.0067535000017</v>
      </c>
      <c r="J238" s="148">
        <f>SUM(J85:J94)-0.01</f>
        <v>41719.446192333329</v>
      </c>
      <c r="K238" s="148">
        <f>SUM(K85:K94)</f>
        <v>3476.6213493611112</v>
      </c>
      <c r="L238" s="148"/>
      <c r="M238" s="148">
        <f>SUM(M85:M94)</f>
        <v>44055.745739104008</v>
      </c>
      <c r="N238" s="148">
        <f>SUM(N85:N94)+0.01</f>
        <v>2433.6449445527778</v>
      </c>
      <c r="O238" s="148">
        <f>SUM(O85:O94)-0.02</f>
        <v>1946.8879556422226</v>
      </c>
      <c r="P238" s="148">
        <f>SUM(P85:P94)</f>
        <v>2190.2714500975003</v>
      </c>
      <c r="Q238" s="148">
        <f>SUM(Q85:Q94)+0.01</f>
        <v>2433.6449445527778</v>
      </c>
      <c r="R238" s="148"/>
      <c r="S238" s="148">
        <f>SUM(S85:S94)</f>
        <v>1495.8220000000001</v>
      </c>
      <c r="T238" s="148">
        <f>SUM(T85:T94)</f>
        <v>624.82200000000012</v>
      </c>
      <c r="U238" s="148">
        <f>SUM(U85:U94)</f>
        <v>0</v>
      </c>
      <c r="V238" s="148">
        <f>SUM(V85:V94)</f>
        <v>0</v>
      </c>
      <c r="W238" s="148">
        <f>SUM(W85:W94)-0.01</f>
        <v>2067.5706911644447</v>
      </c>
      <c r="X238" s="148">
        <f>SUM(X85:X94)</f>
        <v>24810.938293973337</v>
      </c>
      <c r="Y238" s="148">
        <f>SUM(Y85:Y94)-0.01</f>
        <v>27391.27587654657</v>
      </c>
      <c r="Z238" s="148">
        <f>SUM(Z85:Z94)</f>
        <v>28925.187885633175</v>
      </c>
      <c r="AA238" s="148">
        <f>SUM(AA85:AA94)-0.02</f>
        <v>31036.726601284394</v>
      </c>
      <c r="AB238" s="148">
        <f>SUM(AB85:AB94)-0.01</f>
        <v>2586.3955501070327</v>
      </c>
      <c r="AC238" s="148">
        <f>SUM(AC85:AC94)</f>
        <v>3476.6213493611112</v>
      </c>
      <c r="AD238" s="148">
        <f>SUM(AD85:AD94)-0.01</f>
        <v>2375.0431658481361</v>
      </c>
      <c r="AE238" s="148">
        <f>SUM(AE85:AE94)</f>
        <v>1580.282431527778</v>
      </c>
      <c r="AF238" s="148">
        <f>SUM(AF85:AF94)-0.05</f>
        <v>454.49545454545444</v>
      </c>
      <c r="AG238" s="148">
        <f>SUM(AG85:AG94)</f>
        <v>1079.4496208400617</v>
      </c>
      <c r="AH238" s="51"/>
    </row>
    <row r="239" spans="2:34" hidden="1" x14ac:dyDescent="0.25">
      <c r="B239" s="4"/>
      <c r="C239" s="159"/>
      <c r="D239" s="159"/>
      <c r="E239" s="17"/>
      <c r="F239" s="17"/>
      <c r="G239" s="17"/>
      <c r="H239" s="17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"/>
    </row>
    <row r="240" spans="2:34" ht="20.25" hidden="1" x14ac:dyDescent="0.25">
      <c r="C240" s="157"/>
      <c r="D240" s="157"/>
      <c r="E240" s="157"/>
      <c r="F240" s="157"/>
      <c r="G240" s="157"/>
      <c r="H240" s="157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"/>
    </row>
    <row r="241" spans="2:34" ht="20.25" hidden="1" x14ac:dyDescent="0.25">
      <c r="C241" s="223" t="s">
        <v>131</v>
      </c>
      <c r="D241" s="223"/>
      <c r="E241" s="223"/>
      <c r="F241" s="223"/>
      <c r="G241" s="223"/>
      <c r="H241" s="223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"/>
    </row>
    <row r="242" spans="2:34" hidden="1" x14ac:dyDescent="0.25">
      <c r="B242" s="4"/>
      <c r="C242" s="52"/>
      <c r="D242" s="52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"/>
    </row>
    <row r="243" spans="2:34" ht="20.25" hidden="1" x14ac:dyDescent="0.25">
      <c r="B243" s="4"/>
      <c r="C243" s="224" t="s">
        <v>0</v>
      </c>
      <c r="D243" s="224"/>
      <c r="E243" s="42"/>
      <c r="F243" s="42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2:34" hidden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2:34" ht="122.1" hidden="1" customHeight="1" x14ac:dyDescent="0.25">
      <c r="B245" s="215" t="s">
        <v>1</v>
      </c>
      <c r="C245" s="217" t="s">
        <v>56</v>
      </c>
      <c r="D245" s="209" t="s">
        <v>3</v>
      </c>
      <c r="E245" s="209" t="s">
        <v>4</v>
      </c>
      <c r="F245" s="209" t="s">
        <v>5</v>
      </c>
      <c r="G245" s="209" t="s">
        <v>6</v>
      </c>
      <c r="H245" s="209" t="s">
        <v>7</v>
      </c>
      <c r="I245" s="209" t="s">
        <v>8</v>
      </c>
      <c r="J245" s="209" t="s">
        <v>9</v>
      </c>
      <c r="K245" s="209" t="s">
        <v>57</v>
      </c>
      <c r="L245" s="22" t="s">
        <v>10</v>
      </c>
      <c r="M245" s="22" t="s">
        <v>10</v>
      </c>
      <c r="N245" s="22" t="s">
        <v>12</v>
      </c>
      <c r="O245" s="211" t="s">
        <v>13</v>
      </c>
      <c r="P245" s="212"/>
      <c r="Q245" s="213"/>
      <c r="R245" s="209" t="s">
        <v>14</v>
      </c>
      <c r="S245" s="240" t="s">
        <v>58</v>
      </c>
      <c r="T245" s="241"/>
      <c r="U245" s="241"/>
      <c r="V245" s="242"/>
      <c r="W245" s="207" t="s">
        <v>21</v>
      </c>
      <c r="X245" s="209" t="s">
        <v>9</v>
      </c>
      <c r="Y245" s="22" t="s">
        <v>242</v>
      </c>
      <c r="Z245" s="22" t="s">
        <v>243</v>
      </c>
      <c r="AA245" s="22" t="s">
        <v>156</v>
      </c>
      <c r="AB245" s="207" t="s">
        <v>59</v>
      </c>
      <c r="AC245" s="234" t="s">
        <v>18</v>
      </c>
      <c r="AD245" s="235"/>
      <c r="AE245" s="235"/>
      <c r="AF245" s="236"/>
      <c r="AG245" s="205" t="s">
        <v>19</v>
      </c>
      <c r="AH245" s="4"/>
    </row>
    <row r="246" spans="2:34" ht="51" hidden="1" x14ac:dyDescent="0.25">
      <c r="B246" s="216"/>
      <c r="C246" s="218"/>
      <c r="D246" s="210"/>
      <c r="E246" s="210"/>
      <c r="F246" s="210"/>
      <c r="G246" s="210"/>
      <c r="H246" s="210"/>
      <c r="I246" s="210"/>
      <c r="J246" s="210"/>
      <c r="K246" s="210"/>
      <c r="L246" s="22">
        <v>5.6</v>
      </c>
      <c r="M246" s="22">
        <v>5.6</v>
      </c>
      <c r="N246" s="22">
        <v>0.7</v>
      </c>
      <c r="O246" s="23">
        <v>0.8</v>
      </c>
      <c r="P246" s="24">
        <v>0.9</v>
      </c>
      <c r="Q246" s="28">
        <v>1</v>
      </c>
      <c r="R246" s="210"/>
      <c r="S246" s="29">
        <v>0.1</v>
      </c>
      <c r="T246" s="30">
        <v>0.2</v>
      </c>
      <c r="U246" s="30">
        <v>0.3</v>
      </c>
      <c r="V246" s="30">
        <v>0.1</v>
      </c>
      <c r="W246" s="208"/>
      <c r="X246" s="210"/>
      <c r="Y246" s="22">
        <v>10.4</v>
      </c>
      <c r="Z246" s="22">
        <v>5.6</v>
      </c>
      <c r="AA246" s="22">
        <v>7.3</v>
      </c>
      <c r="AB246" s="208"/>
      <c r="AC246" s="33" t="s">
        <v>20</v>
      </c>
      <c r="AD246" s="33" t="s">
        <v>21</v>
      </c>
      <c r="AE246" s="33" t="s">
        <v>22</v>
      </c>
      <c r="AF246" s="33" t="s">
        <v>23</v>
      </c>
      <c r="AG246" s="206"/>
      <c r="AH246" s="4"/>
    </row>
    <row r="247" spans="2:34" hidden="1" x14ac:dyDescent="0.25">
      <c r="B247" s="7"/>
      <c r="C247" s="8"/>
      <c r="D247" s="9">
        <v>0</v>
      </c>
      <c r="E247" s="9">
        <v>1</v>
      </c>
      <c r="F247" s="9">
        <v>2</v>
      </c>
      <c r="G247" s="9" t="s">
        <v>24</v>
      </c>
      <c r="H247" s="9" t="s">
        <v>25</v>
      </c>
      <c r="I247" s="9" t="s">
        <v>26</v>
      </c>
      <c r="J247" s="9" t="s">
        <v>27</v>
      </c>
      <c r="K247" s="25" t="s">
        <v>60</v>
      </c>
      <c r="L247" s="9" t="s">
        <v>61</v>
      </c>
      <c r="M247" s="9" t="s">
        <v>61</v>
      </c>
      <c r="N247" s="9" t="s">
        <v>62</v>
      </c>
      <c r="O247" s="9" t="s">
        <v>63</v>
      </c>
      <c r="P247" s="9" t="s">
        <v>63</v>
      </c>
      <c r="Q247" s="9" t="s">
        <v>63</v>
      </c>
      <c r="R247" s="9">
        <v>9</v>
      </c>
      <c r="S247" s="31" t="s">
        <v>161</v>
      </c>
      <c r="T247" s="31" t="s">
        <v>162</v>
      </c>
      <c r="U247" s="31" t="s">
        <v>163</v>
      </c>
      <c r="V247" s="31" t="s">
        <v>164</v>
      </c>
      <c r="W247" s="31" t="s">
        <v>64</v>
      </c>
      <c r="X247" s="9" t="s">
        <v>65</v>
      </c>
      <c r="Y247" s="9" t="s">
        <v>66</v>
      </c>
      <c r="Z247" s="9" t="s">
        <v>67</v>
      </c>
      <c r="AA247" s="9" t="s">
        <v>246</v>
      </c>
      <c r="AB247" s="9" t="s">
        <v>240</v>
      </c>
      <c r="AC247" s="9">
        <v>16</v>
      </c>
      <c r="AD247" s="31" t="s">
        <v>158</v>
      </c>
      <c r="AE247" s="31" t="s">
        <v>159</v>
      </c>
      <c r="AF247" s="31" t="s">
        <v>160</v>
      </c>
      <c r="AG247" s="9">
        <v>17</v>
      </c>
      <c r="AH247" s="4"/>
    </row>
    <row r="248" spans="2:34" hidden="1" x14ac:dyDescent="0.25">
      <c r="AH248" s="51"/>
    </row>
    <row r="249" spans="2:34" hidden="1" x14ac:dyDescent="0.25">
      <c r="B249" s="7"/>
      <c r="C249" s="243" t="s">
        <v>77</v>
      </c>
      <c r="D249" s="244"/>
      <c r="E249" s="132">
        <f>+E29</f>
        <v>87.96</v>
      </c>
      <c r="F249" s="132">
        <f>SUM(F29:F29)</f>
        <v>104982.0192</v>
      </c>
      <c r="G249" s="132">
        <f>SUM(G29:G29)</f>
        <v>1749.7003199999999</v>
      </c>
      <c r="H249" s="132">
        <f>SUM(H29:H29)</f>
        <v>1574.730288</v>
      </c>
      <c r="I249" s="132">
        <f>+I29</f>
        <v>0</v>
      </c>
      <c r="J249" s="132">
        <f>SUM(J29:J29)</f>
        <v>3324.4306079999997</v>
      </c>
      <c r="K249" s="132">
        <f>+K29</f>
        <v>277.03588399999995</v>
      </c>
      <c r="L249" s="132"/>
      <c r="M249" s="132">
        <f>SUM(M29:M29)</f>
        <v>3510.5987220479997</v>
      </c>
      <c r="N249" s="132">
        <f>+N29</f>
        <v>193.92511879999995</v>
      </c>
      <c r="O249" s="132">
        <f>+O29</f>
        <v>155.14009503999998</v>
      </c>
      <c r="P249" s="132">
        <f>+P29</f>
        <v>174.53260691999995</v>
      </c>
      <c r="Q249" s="132">
        <f>+Q29</f>
        <v>193.92511879999995</v>
      </c>
      <c r="R249" s="132"/>
      <c r="S249" s="132">
        <f t="shared" ref="S249:AG249" si="124">SUM(S29)</f>
        <v>0</v>
      </c>
      <c r="T249" s="132">
        <f t="shared" si="124"/>
        <v>0</v>
      </c>
      <c r="U249" s="132">
        <f t="shared" si="124"/>
        <v>0</v>
      </c>
      <c r="V249" s="132">
        <f t="shared" si="124"/>
        <v>0</v>
      </c>
      <c r="W249" s="132">
        <f t="shared" si="124"/>
        <v>193.92511879999995</v>
      </c>
      <c r="X249" s="132">
        <f t="shared" si="124"/>
        <v>2327.1614255999993</v>
      </c>
      <c r="Y249" s="132">
        <f t="shared" si="124"/>
        <v>0</v>
      </c>
      <c r="Z249" s="132">
        <f t="shared" si="124"/>
        <v>0</v>
      </c>
      <c r="AA249" s="132">
        <f t="shared" si="124"/>
        <v>2497.0442096687993</v>
      </c>
      <c r="AB249" s="132">
        <f t="shared" si="124"/>
        <v>208.08701747239994</v>
      </c>
      <c r="AC249" s="132">
        <f t="shared" si="124"/>
        <v>277.03588399999995</v>
      </c>
      <c r="AD249" s="132">
        <f t="shared" si="124"/>
        <v>208.08701747239994</v>
      </c>
      <c r="AE249" s="132">
        <f t="shared" si="124"/>
        <v>145.80835999999999</v>
      </c>
      <c r="AF249" s="132">
        <f t="shared" si="124"/>
        <v>52.631578947368432</v>
      </c>
      <c r="AG249" s="132">
        <f t="shared" si="124"/>
        <v>109.5194828802105</v>
      </c>
      <c r="AH249" s="4"/>
    </row>
    <row r="250" spans="2:34" ht="20.25" hidden="1" x14ac:dyDescent="0.25">
      <c r="B250" s="4"/>
      <c r="C250" s="246" t="s">
        <v>101</v>
      </c>
      <c r="D250" s="246"/>
      <c r="E250" s="42"/>
      <c r="F250" s="42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"/>
    </row>
    <row r="251" spans="2:34" hidden="1" x14ac:dyDescent="0.25">
      <c r="B251" s="4"/>
      <c r="C251" s="4"/>
      <c r="D251" s="4"/>
      <c r="E251" s="4"/>
      <c r="F251" s="4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"/>
    </row>
    <row r="252" spans="2:34" ht="121.5" hidden="1" customHeight="1" x14ac:dyDescent="0.25">
      <c r="B252" s="215" t="s">
        <v>1</v>
      </c>
      <c r="C252" s="217" t="s">
        <v>56</v>
      </c>
      <c r="D252" s="209" t="s">
        <v>3</v>
      </c>
      <c r="E252" s="209" t="s">
        <v>4</v>
      </c>
      <c r="F252" s="209" t="s">
        <v>5</v>
      </c>
      <c r="G252" s="209" t="s">
        <v>6</v>
      </c>
      <c r="H252" s="209" t="s">
        <v>7</v>
      </c>
      <c r="I252" s="209" t="s">
        <v>8</v>
      </c>
      <c r="J252" s="209" t="s">
        <v>9</v>
      </c>
      <c r="K252" s="209" t="s">
        <v>57</v>
      </c>
      <c r="L252" s="22" t="s">
        <v>10</v>
      </c>
      <c r="M252" s="22" t="s">
        <v>10</v>
      </c>
      <c r="N252" s="22" t="s">
        <v>12</v>
      </c>
      <c r="O252" s="211" t="s">
        <v>13</v>
      </c>
      <c r="P252" s="212"/>
      <c r="Q252" s="213"/>
      <c r="R252" s="209" t="s">
        <v>14</v>
      </c>
      <c r="S252" s="240" t="s">
        <v>58</v>
      </c>
      <c r="T252" s="241"/>
      <c r="U252" s="241"/>
      <c r="V252" s="242"/>
      <c r="W252" s="207" t="s">
        <v>21</v>
      </c>
      <c r="X252" s="209" t="s">
        <v>9</v>
      </c>
      <c r="Y252" s="22" t="s">
        <v>242</v>
      </c>
      <c r="Z252" s="22" t="s">
        <v>243</v>
      </c>
      <c r="AA252" s="22" t="s">
        <v>156</v>
      </c>
      <c r="AB252" s="207" t="s">
        <v>59</v>
      </c>
      <c r="AC252" s="234" t="s">
        <v>18</v>
      </c>
      <c r="AD252" s="235"/>
      <c r="AE252" s="235"/>
      <c r="AF252" s="236"/>
      <c r="AG252" s="205" t="s">
        <v>19</v>
      </c>
      <c r="AH252" s="4"/>
    </row>
    <row r="253" spans="2:34" ht="51" hidden="1" x14ac:dyDescent="0.25">
      <c r="B253" s="216"/>
      <c r="C253" s="218"/>
      <c r="D253" s="210"/>
      <c r="E253" s="210"/>
      <c r="F253" s="210"/>
      <c r="G253" s="210"/>
      <c r="H253" s="210"/>
      <c r="I253" s="210"/>
      <c r="J253" s="210"/>
      <c r="K253" s="210"/>
      <c r="L253" s="22">
        <v>5.6</v>
      </c>
      <c r="M253" s="22">
        <v>5.6</v>
      </c>
      <c r="N253" s="22">
        <v>0.7</v>
      </c>
      <c r="O253" s="23">
        <v>0.8</v>
      </c>
      <c r="P253" s="24">
        <v>0.9</v>
      </c>
      <c r="Q253" s="28">
        <v>1</v>
      </c>
      <c r="R253" s="210"/>
      <c r="S253" s="29">
        <v>0.1</v>
      </c>
      <c r="T253" s="30">
        <v>0.2</v>
      </c>
      <c r="U253" s="30">
        <v>0.3</v>
      </c>
      <c r="V253" s="30">
        <v>0.1</v>
      </c>
      <c r="W253" s="208"/>
      <c r="X253" s="210"/>
      <c r="Y253" s="22">
        <v>10.4</v>
      </c>
      <c r="Z253" s="22">
        <v>5.6</v>
      </c>
      <c r="AA253" s="22">
        <v>7.3</v>
      </c>
      <c r="AB253" s="208"/>
      <c r="AC253" s="33" t="s">
        <v>20</v>
      </c>
      <c r="AD253" s="33" t="s">
        <v>21</v>
      </c>
      <c r="AE253" s="33" t="s">
        <v>22</v>
      </c>
      <c r="AF253" s="33" t="s">
        <v>23</v>
      </c>
      <c r="AG253" s="206"/>
      <c r="AH253" s="4"/>
    </row>
    <row r="254" spans="2:34" hidden="1" x14ac:dyDescent="0.25">
      <c r="B254" s="7"/>
      <c r="C254" s="8"/>
      <c r="D254" s="9">
        <v>0</v>
      </c>
      <c r="E254" s="9">
        <v>1</v>
      </c>
      <c r="F254" s="9">
        <v>2</v>
      </c>
      <c r="G254" s="9" t="s">
        <v>24</v>
      </c>
      <c r="H254" s="9" t="s">
        <v>25</v>
      </c>
      <c r="I254" s="9" t="s">
        <v>26</v>
      </c>
      <c r="J254" s="9" t="s">
        <v>27</v>
      </c>
      <c r="K254" s="25" t="s">
        <v>60</v>
      </c>
      <c r="L254" s="9" t="s">
        <v>61</v>
      </c>
      <c r="M254" s="9" t="s">
        <v>61</v>
      </c>
      <c r="N254" s="9" t="s">
        <v>62</v>
      </c>
      <c r="O254" s="9" t="s">
        <v>63</v>
      </c>
      <c r="P254" s="9" t="s">
        <v>63</v>
      </c>
      <c r="Q254" s="9" t="s">
        <v>63</v>
      </c>
      <c r="R254" s="9">
        <v>9</v>
      </c>
      <c r="S254" s="31" t="s">
        <v>161</v>
      </c>
      <c r="T254" s="31" t="s">
        <v>162</v>
      </c>
      <c r="U254" s="31" t="s">
        <v>163</v>
      </c>
      <c r="V254" s="31" t="s">
        <v>164</v>
      </c>
      <c r="W254" s="31" t="s">
        <v>64</v>
      </c>
      <c r="X254" s="9" t="s">
        <v>65</v>
      </c>
      <c r="Y254" s="9" t="s">
        <v>66</v>
      </c>
      <c r="Z254" s="9" t="s">
        <v>67</v>
      </c>
      <c r="AA254" s="9" t="s">
        <v>246</v>
      </c>
      <c r="AB254" s="9" t="s">
        <v>240</v>
      </c>
      <c r="AC254" s="9">
        <v>16</v>
      </c>
      <c r="AD254" s="31" t="s">
        <v>158</v>
      </c>
      <c r="AE254" s="31" t="s">
        <v>159</v>
      </c>
      <c r="AF254" s="31" t="s">
        <v>160</v>
      </c>
      <c r="AG254" s="9">
        <v>17</v>
      </c>
      <c r="AH254" s="4"/>
    </row>
    <row r="255" spans="2:34" hidden="1" x14ac:dyDescent="0.25">
      <c r="AH255" s="4"/>
    </row>
    <row r="256" spans="2:34" hidden="1" x14ac:dyDescent="0.25">
      <c r="AH256" s="4"/>
    </row>
    <row r="257" spans="2:34" hidden="1" x14ac:dyDescent="0.25">
      <c r="AH257" s="4"/>
    </row>
    <row r="258" spans="2:34" hidden="1" x14ac:dyDescent="0.25">
      <c r="AH258" s="4"/>
    </row>
    <row r="259" spans="2:34" hidden="1" x14ac:dyDescent="0.25">
      <c r="AH259" s="4"/>
    </row>
    <row r="260" spans="2:34" hidden="1" x14ac:dyDescent="0.25">
      <c r="B260" s="7"/>
      <c r="C260" s="243" t="s">
        <v>77</v>
      </c>
      <c r="D260" s="244"/>
      <c r="E260" s="15">
        <f>SUM(E95:E99)</f>
        <v>456.34</v>
      </c>
      <c r="F260" s="15">
        <f>SUM(F95:F99)</f>
        <v>544650.91680000001</v>
      </c>
      <c r="G260" s="15">
        <f>SUM(G95:G99)</f>
        <v>9077.527399999999</v>
      </c>
      <c r="H260" s="15">
        <f>SUM(H95:H99)</f>
        <v>8169.7697239999998</v>
      </c>
      <c r="I260" s="59">
        <f>SUM(I95:I99)+0.01</f>
        <v>2723.2699080000002</v>
      </c>
      <c r="J260" s="15">
        <f>SUM(J95:J99)</f>
        <v>19970.565704000001</v>
      </c>
      <c r="K260" s="15">
        <f>SUM(K95:K99)</f>
        <v>1664.2138086666666</v>
      </c>
      <c r="L260" s="15"/>
      <c r="M260" s="15">
        <f>SUM(M95:M99)</f>
        <v>21088.917383423999</v>
      </c>
      <c r="N260" s="15">
        <f>SUM(N95:N99)</f>
        <v>1164.9391166666667</v>
      </c>
      <c r="O260" s="15">
        <f>SUM(O95:O99)</f>
        <v>931.9512933333333</v>
      </c>
      <c r="P260" s="15">
        <f>SUM(P95:P99)</f>
        <v>1048.445205</v>
      </c>
      <c r="Q260" s="15">
        <f>SUM(Q95:Q99)</f>
        <v>1164.9391166666667</v>
      </c>
      <c r="R260" s="15"/>
      <c r="S260" s="15">
        <f t="shared" ref="S260:AE260" si="125">SUM(S95:S99)</f>
        <v>297.76300000000003</v>
      </c>
      <c r="T260" s="15">
        <f t="shared" si="125"/>
        <v>0</v>
      </c>
      <c r="U260" s="15">
        <f t="shared" si="125"/>
        <v>0</v>
      </c>
      <c r="V260" s="15">
        <f t="shared" si="125"/>
        <v>0</v>
      </c>
      <c r="W260" s="15">
        <f t="shared" si="125"/>
        <v>1075.3558933333334</v>
      </c>
      <c r="X260" s="15">
        <f t="shared" si="125"/>
        <v>12904.3149952</v>
      </c>
      <c r="Y260" s="15">
        <f t="shared" si="125"/>
        <v>14246.377994700802</v>
      </c>
      <c r="Z260" s="15">
        <f t="shared" si="125"/>
        <v>15044.157002404045</v>
      </c>
      <c r="AA260" s="15">
        <f t="shared" si="125"/>
        <v>16142.390463579542</v>
      </c>
      <c r="AB260" s="15">
        <f t="shared" si="125"/>
        <v>1345.1992052982951</v>
      </c>
      <c r="AC260" s="15">
        <f t="shared" si="125"/>
        <v>1664.2138086666666</v>
      </c>
      <c r="AD260" s="15">
        <f t="shared" si="125"/>
        <v>1194.7037928306561</v>
      </c>
      <c r="AE260" s="15">
        <f t="shared" si="125"/>
        <v>756.46061666666674</v>
      </c>
      <c r="AF260" s="15">
        <f>SUM(AF95:AF99)-0.02</f>
        <v>227.25266682231174</v>
      </c>
      <c r="AG260" s="15">
        <f>SUM(AG95:AG99)</f>
        <v>542.98718660749307</v>
      </c>
      <c r="AH260" s="4"/>
    </row>
    <row r="261" spans="2:34" hidden="1" x14ac:dyDescent="0.25">
      <c r="B261" s="4"/>
      <c r="C261" s="52"/>
      <c r="D261" s="52"/>
      <c r="E261" s="41"/>
      <c r="F261" s="41"/>
      <c r="G261" s="41"/>
      <c r="H261" s="41"/>
      <c r="I261" s="56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"/>
    </row>
    <row r="262" spans="2:34" hidden="1" x14ac:dyDescent="0.25">
      <c r="B262" s="4"/>
      <c r="C262" s="52"/>
      <c r="D262" s="52"/>
      <c r="E262" s="41"/>
      <c r="F262" s="41"/>
      <c r="G262" s="41"/>
      <c r="H262" s="41"/>
      <c r="I262" s="56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"/>
    </row>
    <row r="263" spans="2:34" hidden="1" x14ac:dyDescent="0.25">
      <c r="B263" s="4"/>
      <c r="C263" s="52"/>
      <c r="D263" s="52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"/>
    </row>
    <row r="264" spans="2:34" ht="20.25" hidden="1" x14ac:dyDescent="0.25">
      <c r="C264" s="223" t="s">
        <v>138</v>
      </c>
      <c r="D264" s="223"/>
      <c r="E264" s="223"/>
      <c r="F264" s="223"/>
      <c r="G264" s="223"/>
      <c r="H264" s="223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"/>
    </row>
    <row r="265" spans="2:34" hidden="1" x14ac:dyDescent="0.25">
      <c r="B265" s="4"/>
      <c r="C265" s="52"/>
      <c r="D265" s="52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"/>
    </row>
    <row r="266" spans="2:34" ht="20.25" hidden="1" x14ac:dyDescent="0.25">
      <c r="B266" s="4"/>
      <c r="C266" s="224" t="s">
        <v>0</v>
      </c>
      <c r="D266" s="224"/>
      <c r="E266" s="42"/>
      <c r="F266" s="42"/>
      <c r="G266" s="4"/>
      <c r="H266" s="4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"/>
    </row>
    <row r="267" spans="2:34" hidden="1" x14ac:dyDescent="0.25">
      <c r="B267" s="4"/>
      <c r="C267" s="52"/>
      <c r="D267" s="5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"/>
    </row>
    <row r="268" spans="2:34" ht="113.1" hidden="1" customHeight="1" x14ac:dyDescent="0.25">
      <c r="B268" s="215" t="s">
        <v>1</v>
      </c>
      <c r="C268" s="217" t="s">
        <v>56</v>
      </c>
      <c r="D268" s="209" t="s">
        <v>3</v>
      </c>
      <c r="E268" s="209" t="s">
        <v>4</v>
      </c>
      <c r="F268" s="209" t="s">
        <v>5</v>
      </c>
      <c r="G268" s="209" t="s">
        <v>6</v>
      </c>
      <c r="H268" s="209" t="s">
        <v>7</v>
      </c>
      <c r="I268" s="209" t="s">
        <v>8</v>
      </c>
      <c r="J268" s="209" t="s">
        <v>9</v>
      </c>
      <c r="K268" s="209" t="s">
        <v>57</v>
      </c>
      <c r="L268" s="22" t="s">
        <v>10</v>
      </c>
      <c r="M268" s="22" t="s">
        <v>10</v>
      </c>
      <c r="N268" s="22" t="s">
        <v>12</v>
      </c>
      <c r="O268" s="211" t="s">
        <v>13</v>
      </c>
      <c r="P268" s="212"/>
      <c r="Q268" s="213"/>
      <c r="R268" s="209" t="s">
        <v>14</v>
      </c>
      <c r="S268" s="240" t="s">
        <v>58</v>
      </c>
      <c r="T268" s="241"/>
      <c r="U268" s="241"/>
      <c r="V268" s="242"/>
      <c r="W268" s="207" t="s">
        <v>21</v>
      </c>
      <c r="X268" s="209" t="s">
        <v>9</v>
      </c>
      <c r="Y268" s="22" t="s">
        <v>242</v>
      </c>
      <c r="Z268" s="22" t="s">
        <v>243</v>
      </c>
      <c r="AA268" s="22" t="s">
        <v>156</v>
      </c>
      <c r="AB268" s="207" t="s">
        <v>59</v>
      </c>
      <c r="AC268" s="234" t="s">
        <v>18</v>
      </c>
      <c r="AD268" s="235"/>
      <c r="AE268" s="235"/>
      <c r="AF268" s="236"/>
      <c r="AG268" s="205" t="s">
        <v>19</v>
      </c>
      <c r="AH268" s="4"/>
    </row>
    <row r="269" spans="2:34" ht="51" hidden="1" x14ac:dyDescent="0.25">
      <c r="B269" s="216"/>
      <c r="C269" s="218"/>
      <c r="D269" s="210"/>
      <c r="E269" s="210"/>
      <c r="F269" s="210"/>
      <c r="G269" s="210"/>
      <c r="H269" s="210"/>
      <c r="I269" s="210"/>
      <c r="J269" s="210"/>
      <c r="K269" s="210"/>
      <c r="L269" s="22">
        <v>5.6</v>
      </c>
      <c r="M269" s="22">
        <v>5.6</v>
      </c>
      <c r="N269" s="22">
        <v>0.7</v>
      </c>
      <c r="O269" s="23">
        <v>0.8</v>
      </c>
      <c r="P269" s="24">
        <v>0.9</v>
      </c>
      <c r="Q269" s="28">
        <v>1</v>
      </c>
      <c r="R269" s="210"/>
      <c r="S269" s="29">
        <v>0.1</v>
      </c>
      <c r="T269" s="30">
        <v>0.2</v>
      </c>
      <c r="U269" s="30">
        <v>0.3</v>
      </c>
      <c r="V269" s="30">
        <v>0.1</v>
      </c>
      <c r="W269" s="208"/>
      <c r="X269" s="210"/>
      <c r="Y269" s="22">
        <v>10.4</v>
      </c>
      <c r="Z269" s="22">
        <v>5.6</v>
      </c>
      <c r="AA269" s="22">
        <v>7.3</v>
      </c>
      <c r="AB269" s="208"/>
      <c r="AC269" s="33" t="s">
        <v>20</v>
      </c>
      <c r="AD269" s="33" t="s">
        <v>21</v>
      </c>
      <c r="AE269" s="33" t="s">
        <v>22</v>
      </c>
      <c r="AF269" s="33" t="s">
        <v>23</v>
      </c>
      <c r="AG269" s="206"/>
      <c r="AH269" s="4"/>
    </row>
    <row r="270" spans="2:34" hidden="1" x14ac:dyDescent="0.25">
      <c r="B270" s="7"/>
      <c r="C270" s="8"/>
      <c r="D270" s="9">
        <v>0</v>
      </c>
      <c r="E270" s="9">
        <v>1</v>
      </c>
      <c r="F270" s="9">
        <v>2</v>
      </c>
      <c r="G270" s="9" t="s">
        <v>24</v>
      </c>
      <c r="H270" s="9" t="s">
        <v>25</v>
      </c>
      <c r="I270" s="9" t="s">
        <v>26</v>
      </c>
      <c r="J270" s="9" t="s">
        <v>27</v>
      </c>
      <c r="K270" s="25" t="s">
        <v>60</v>
      </c>
      <c r="L270" s="9" t="s">
        <v>61</v>
      </c>
      <c r="M270" s="9" t="s">
        <v>61</v>
      </c>
      <c r="N270" s="9" t="s">
        <v>62</v>
      </c>
      <c r="O270" s="9" t="s">
        <v>63</v>
      </c>
      <c r="P270" s="9" t="s">
        <v>63</v>
      </c>
      <c r="Q270" s="9" t="s">
        <v>63</v>
      </c>
      <c r="R270" s="9">
        <v>9</v>
      </c>
      <c r="S270" s="31" t="s">
        <v>161</v>
      </c>
      <c r="T270" s="31" t="s">
        <v>162</v>
      </c>
      <c r="U270" s="31" t="s">
        <v>163</v>
      </c>
      <c r="V270" s="31" t="s">
        <v>164</v>
      </c>
      <c r="W270" s="31" t="s">
        <v>64</v>
      </c>
      <c r="X270" s="9" t="s">
        <v>65</v>
      </c>
      <c r="Y270" s="9" t="s">
        <v>66</v>
      </c>
      <c r="Z270" s="9" t="s">
        <v>67</v>
      </c>
      <c r="AA270" s="9" t="s">
        <v>246</v>
      </c>
      <c r="AB270" s="9" t="s">
        <v>240</v>
      </c>
      <c r="AC270" s="9">
        <v>16</v>
      </c>
      <c r="AD270" s="31" t="s">
        <v>158</v>
      </c>
      <c r="AE270" s="31" t="s">
        <v>159</v>
      </c>
      <c r="AF270" s="31" t="s">
        <v>160</v>
      </c>
      <c r="AG270" s="9">
        <v>17</v>
      </c>
      <c r="AH270" s="4"/>
    </row>
    <row r="271" spans="2:34" hidden="1" x14ac:dyDescent="0.25">
      <c r="AH271" s="51"/>
    </row>
    <row r="272" spans="2:34" hidden="1" x14ac:dyDescent="0.25">
      <c r="AH272" s="51"/>
    </row>
    <row r="273" spans="1:34" hidden="1" x14ac:dyDescent="0.25">
      <c r="AH273" s="51"/>
    </row>
    <row r="274" spans="1:34" hidden="1" x14ac:dyDescent="0.25">
      <c r="AH274" s="51"/>
    </row>
    <row r="275" spans="1:34" hidden="1" x14ac:dyDescent="0.25">
      <c r="AH275" s="51"/>
    </row>
    <row r="276" spans="1:34" hidden="1" x14ac:dyDescent="0.25">
      <c r="AH276" s="51"/>
    </row>
    <row r="277" spans="1:34" hidden="1" x14ac:dyDescent="0.25">
      <c r="AH277" s="51"/>
    </row>
    <row r="278" spans="1:34" hidden="1" x14ac:dyDescent="0.25">
      <c r="AH278" s="51"/>
    </row>
    <row r="279" spans="1:34" hidden="1" x14ac:dyDescent="0.25">
      <c r="AH279" s="51"/>
    </row>
    <row r="280" spans="1:34" hidden="1" x14ac:dyDescent="0.25">
      <c r="B280" s="7"/>
      <c r="C280" s="243" t="s">
        <v>77</v>
      </c>
      <c r="D280" s="244"/>
      <c r="E280" s="38">
        <f>SUM(E30:E38)</f>
        <v>612.41</v>
      </c>
      <c r="F280" s="148">
        <f>SUM(F30:F38)+0.01</f>
        <v>730550.02309999999</v>
      </c>
      <c r="G280" s="148">
        <f>SUM(G30:G38)</f>
        <v>12175.833551666668</v>
      </c>
      <c r="H280" s="148">
        <f>SUM(H30:H38)+0.01</f>
        <v>10958.260196499999</v>
      </c>
      <c r="I280" s="148">
        <f>SUM(I30:I38)</f>
        <v>0</v>
      </c>
      <c r="J280" s="148">
        <f>SUM(J30:J38)</f>
        <v>23134.083748166668</v>
      </c>
      <c r="K280" s="148">
        <f>SUM(K30:K38)+0.01</f>
        <v>1927.8503123472221</v>
      </c>
      <c r="L280" s="148"/>
      <c r="M280" s="148">
        <f>SUM(M30:M38)</f>
        <v>24429.592438064003</v>
      </c>
      <c r="N280" s="148">
        <f>SUM(N30:N38)+0.01</f>
        <v>1349.4982186430555</v>
      </c>
      <c r="O280" s="148">
        <f>SUM(O30:O38)</f>
        <v>1079.5905749144445</v>
      </c>
      <c r="P280" s="148">
        <f>SUM(P30:P38)</f>
        <v>1214.53939677875</v>
      </c>
      <c r="Q280" s="148">
        <f>SUM(Q30:Q38)+0.01</f>
        <v>1349.4982186430555</v>
      </c>
      <c r="R280" s="148"/>
      <c r="S280" s="148">
        <f t="shared" ref="S280:Z280" si="126">SUM(S30:S38)</f>
        <v>388.95299999999997</v>
      </c>
      <c r="T280" s="148">
        <f t="shared" si="126"/>
        <v>1086.2919999999999</v>
      </c>
      <c r="U280" s="148">
        <f t="shared" si="126"/>
        <v>1294.4829999999999</v>
      </c>
      <c r="V280" s="148">
        <f t="shared" si="126"/>
        <v>0</v>
      </c>
      <c r="W280" s="148">
        <f t="shared" si="126"/>
        <v>1206.6349284779167</v>
      </c>
      <c r="X280" s="148">
        <f t="shared" si="126"/>
        <v>14479.489141735003</v>
      </c>
      <c r="Y280" s="148">
        <f t="shared" si="126"/>
        <v>3390.5566036674409</v>
      </c>
      <c r="Z280" s="148">
        <f t="shared" si="126"/>
        <v>10882.398758555539</v>
      </c>
      <c r="AA280" s="148">
        <f>SUM(AA30:AA38)+0.01</f>
        <v>13472.760856587996</v>
      </c>
      <c r="AB280" s="148">
        <f>SUM(AB30:AB38)-0.01</f>
        <v>1357.7054612589995</v>
      </c>
      <c r="AC280" s="148">
        <f>SUM(AC30:AC38)+0.01</f>
        <v>1927.8503123472221</v>
      </c>
      <c r="AD280" s="148">
        <f>SUM(AD30:AD38)-0.01</f>
        <v>1329.021770509788</v>
      </c>
      <c r="AE280" s="148">
        <f>SUM(AE30:AE38)</f>
        <v>1014.6527959722223</v>
      </c>
      <c r="AF280" s="148">
        <f>SUM(AF30:AF38)-0.01</f>
        <v>473.6742105263159</v>
      </c>
      <c r="AG280" s="148">
        <f>SUM(AG30:AG38)</f>
        <v>699.47040553146746</v>
      </c>
      <c r="AH280" s="4"/>
    </row>
    <row r="281" spans="1:34" ht="18" hidden="1" customHeight="1" x14ac:dyDescent="0.25">
      <c r="B281" s="4"/>
      <c r="C281" s="246" t="s">
        <v>101</v>
      </c>
      <c r="D281" s="2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2"/>
      <c r="Y281" s="2"/>
      <c r="Z281" s="2"/>
      <c r="AA281" s="2"/>
      <c r="AB281" s="2"/>
      <c r="AC281" s="2"/>
      <c r="AD281" s="48"/>
      <c r="AE281" s="48"/>
      <c r="AF281" s="48"/>
      <c r="AG281" s="49"/>
      <c r="AH281" s="4"/>
    </row>
    <row r="282" spans="1:34" ht="20.100000000000001" hidden="1" customHeight="1" x14ac:dyDescent="0.25">
      <c r="A282" s="2"/>
      <c r="B282" s="2"/>
      <c r="C282" s="2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2"/>
      <c r="Y282" s="2"/>
      <c r="Z282" s="2"/>
      <c r="AA282" s="2"/>
      <c r="AB282" s="2"/>
      <c r="AC282" s="2"/>
      <c r="AD282" s="48"/>
      <c r="AE282" s="48"/>
      <c r="AF282" s="48"/>
      <c r="AG282" s="49"/>
      <c r="AH282" s="4"/>
    </row>
    <row r="283" spans="1:34" ht="105" hidden="1" customHeight="1" x14ac:dyDescent="0.25">
      <c r="B283" s="215" t="s">
        <v>1</v>
      </c>
      <c r="C283" s="217" t="s">
        <v>56</v>
      </c>
      <c r="D283" s="209" t="s">
        <v>3</v>
      </c>
      <c r="E283" s="209" t="s">
        <v>4</v>
      </c>
      <c r="F283" s="209" t="s">
        <v>5</v>
      </c>
      <c r="G283" s="209" t="s">
        <v>6</v>
      </c>
      <c r="H283" s="209" t="s">
        <v>7</v>
      </c>
      <c r="I283" s="209" t="s">
        <v>8</v>
      </c>
      <c r="J283" s="209" t="s">
        <v>9</v>
      </c>
      <c r="K283" s="209" t="s">
        <v>57</v>
      </c>
      <c r="L283" s="22" t="s">
        <v>10</v>
      </c>
      <c r="M283" s="22" t="s">
        <v>10</v>
      </c>
      <c r="N283" s="22" t="s">
        <v>12</v>
      </c>
      <c r="O283" s="211" t="s">
        <v>13</v>
      </c>
      <c r="P283" s="212"/>
      <c r="Q283" s="213"/>
      <c r="R283" s="209" t="s">
        <v>14</v>
      </c>
      <c r="S283" s="240" t="s">
        <v>58</v>
      </c>
      <c r="T283" s="241"/>
      <c r="U283" s="241"/>
      <c r="V283" s="242"/>
      <c r="W283" s="207" t="s">
        <v>21</v>
      </c>
      <c r="X283" s="209" t="s">
        <v>9</v>
      </c>
      <c r="Y283" s="22" t="s">
        <v>242</v>
      </c>
      <c r="Z283" s="22" t="s">
        <v>243</v>
      </c>
      <c r="AA283" s="22" t="s">
        <v>156</v>
      </c>
      <c r="AB283" s="207" t="s">
        <v>59</v>
      </c>
      <c r="AC283" s="234" t="s">
        <v>18</v>
      </c>
      <c r="AD283" s="235"/>
      <c r="AE283" s="235"/>
      <c r="AF283" s="236"/>
      <c r="AG283" s="205" t="s">
        <v>19</v>
      </c>
      <c r="AH283" s="4"/>
    </row>
    <row r="284" spans="1:34" ht="51" hidden="1" x14ac:dyDescent="0.25">
      <c r="B284" s="216"/>
      <c r="C284" s="218"/>
      <c r="D284" s="210"/>
      <c r="E284" s="210"/>
      <c r="F284" s="210"/>
      <c r="G284" s="210"/>
      <c r="H284" s="210"/>
      <c r="I284" s="210"/>
      <c r="J284" s="210"/>
      <c r="K284" s="210"/>
      <c r="L284" s="22">
        <v>5.6</v>
      </c>
      <c r="M284" s="22">
        <v>5.6</v>
      </c>
      <c r="N284" s="22">
        <v>0.7</v>
      </c>
      <c r="O284" s="23">
        <v>0.8</v>
      </c>
      <c r="P284" s="24">
        <v>0.9</v>
      </c>
      <c r="Q284" s="28">
        <v>1</v>
      </c>
      <c r="R284" s="210"/>
      <c r="S284" s="29">
        <v>0.1</v>
      </c>
      <c r="T284" s="30">
        <v>0.2</v>
      </c>
      <c r="U284" s="30">
        <v>0.3</v>
      </c>
      <c r="V284" s="30">
        <v>0.1</v>
      </c>
      <c r="W284" s="208"/>
      <c r="X284" s="210"/>
      <c r="Y284" s="22">
        <v>10.4</v>
      </c>
      <c r="Z284" s="22">
        <v>5.6</v>
      </c>
      <c r="AA284" s="22">
        <v>7.3</v>
      </c>
      <c r="AB284" s="208"/>
      <c r="AC284" s="33" t="s">
        <v>20</v>
      </c>
      <c r="AD284" s="33" t="s">
        <v>21</v>
      </c>
      <c r="AE284" s="33" t="s">
        <v>22</v>
      </c>
      <c r="AF284" s="33" t="s">
        <v>23</v>
      </c>
      <c r="AG284" s="206"/>
      <c r="AH284" s="4"/>
    </row>
    <row r="285" spans="1:34" hidden="1" x14ac:dyDescent="0.25">
      <c r="B285" s="7"/>
      <c r="C285" s="8"/>
      <c r="D285" s="9">
        <v>0</v>
      </c>
      <c r="E285" s="9">
        <v>1</v>
      </c>
      <c r="F285" s="9">
        <v>2</v>
      </c>
      <c r="G285" s="9" t="s">
        <v>24</v>
      </c>
      <c r="H285" s="9" t="s">
        <v>25</v>
      </c>
      <c r="I285" s="9" t="s">
        <v>26</v>
      </c>
      <c r="J285" s="9" t="s">
        <v>27</v>
      </c>
      <c r="K285" s="25" t="s">
        <v>60</v>
      </c>
      <c r="L285" s="9" t="s">
        <v>61</v>
      </c>
      <c r="M285" s="9" t="s">
        <v>61</v>
      </c>
      <c r="N285" s="9" t="s">
        <v>62</v>
      </c>
      <c r="O285" s="9" t="s">
        <v>63</v>
      </c>
      <c r="P285" s="9" t="s">
        <v>63</v>
      </c>
      <c r="Q285" s="9" t="s">
        <v>63</v>
      </c>
      <c r="R285" s="9">
        <v>9</v>
      </c>
      <c r="S285" s="31" t="s">
        <v>161</v>
      </c>
      <c r="T285" s="31" t="s">
        <v>162</v>
      </c>
      <c r="U285" s="31" t="s">
        <v>163</v>
      </c>
      <c r="V285" s="31" t="s">
        <v>164</v>
      </c>
      <c r="W285" s="31" t="s">
        <v>64</v>
      </c>
      <c r="X285" s="9" t="s">
        <v>65</v>
      </c>
      <c r="Y285" s="9" t="s">
        <v>66</v>
      </c>
      <c r="Z285" s="9" t="s">
        <v>67</v>
      </c>
      <c r="AA285" s="9" t="s">
        <v>246</v>
      </c>
      <c r="AB285" s="9" t="s">
        <v>240</v>
      </c>
      <c r="AC285" s="9">
        <v>16</v>
      </c>
      <c r="AD285" s="31" t="s">
        <v>158</v>
      </c>
      <c r="AE285" s="31" t="s">
        <v>159</v>
      </c>
      <c r="AF285" s="31" t="s">
        <v>160</v>
      </c>
      <c r="AG285" s="9">
        <v>17</v>
      </c>
      <c r="AH285" s="4"/>
    </row>
    <row r="286" spans="1:34" hidden="1" x14ac:dyDescent="0.25">
      <c r="AH286" s="4"/>
    </row>
    <row r="287" spans="1:34" hidden="1" x14ac:dyDescent="0.25">
      <c r="B287" s="7"/>
      <c r="C287" s="243" t="s">
        <v>77</v>
      </c>
      <c r="D287" s="244"/>
      <c r="E287" s="132">
        <f>+E100</f>
        <v>71.23</v>
      </c>
      <c r="F287" s="132">
        <f>SUM(F100:F100)</f>
        <v>84970.979300000006</v>
      </c>
      <c r="G287" s="132">
        <f>SUM(G100:G100)</f>
        <v>1416.1829883333335</v>
      </c>
      <c r="H287" s="132">
        <f>SUM(H100:H100)</f>
        <v>1274.22</v>
      </c>
      <c r="I287" s="132">
        <f>+I100</f>
        <v>424.85489650000005</v>
      </c>
      <c r="J287" s="132">
        <f>SUM(J100:J100)</f>
        <v>3115.2578848333333</v>
      </c>
      <c r="K287" s="132">
        <f>+K100</f>
        <v>259.60482373611109</v>
      </c>
      <c r="L287" s="132"/>
      <c r="M287" s="132">
        <f>SUM(M100:M100)</f>
        <v>3289.7123263839999</v>
      </c>
      <c r="N287" s="132">
        <f>+N100</f>
        <v>181.72337661527774</v>
      </c>
      <c r="O287" s="132">
        <f>+O100</f>
        <v>145.35</v>
      </c>
      <c r="P287" s="132">
        <f>+P100</f>
        <v>163.55103895374998</v>
      </c>
      <c r="Q287" s="132">
        <f>+Q100</f>
        <v>181.72337661527774</v>
      </c>
      <c r="R287" s="132"/>
      <c r="S287" s="132">
        <f t="shared" ref="S287:AG287" si="127">SUM(S100)</f>
        <v>0</v>
      </c>
      <c r="T287" s="132">
        <f t="shared" si="127"/>
        <v>0</v>
      </c>
      <c r="U287" s="132">
        <f t="shared" si="127"/>
        <v>0</v>
      </c>
      <c r="V287" s="132">
        <f t="shared" si="127"/>
        <v>0</v>
      </c>
      <c r="W287" s="132">
        <f t="shared" si="127"/>
        <v>181.72337661527774</v>
      </c>
      <c r="X287" s="132">
        <f t="shared" si="127"/>
        <v>2180.640519383333</v>
      </c>
      <c r="Y287" s="132">
        <f t="shared" si="127"/>
        <v>2407.4271333991996</v>
      </c>
      <c r="Z287" s="132">
        <f t="shared" si="127"/>
        <v>2542.2530528695552</v>
      </c>
      <c r="AA287" s="132">
        <f t="shared" si="127"/>
        <v>2727.8275257290325</v>
      </c>
      <c r="AB287" s="132">
        <f t="shared" si="127"/>
        <v>227.31896047741938</v>
      </c>
      <c r="AC287" s="132">
        <f t="shared" si="127"/>
        <v>259.60482373611109</v>
      </c>
      <c r="AD287" s="132">
        <f t="shared" si="127"/>
        <v>227.31896047741938</v>
      </c>
      <c r="AE287" s="132">
        <f t="shared" si="127"/>
        <v>118.01524902777778</v>
      </c>
      <c r="AF287" s="132">
        <f t="shared" si="127"/>
        <v>45.459574798864509</v>
      </c>
      <c r="AG287" s="132">
        <f t="shared" si="127"/>
        <v>103.33823287023372</v>
      </c>
      <c r="AH287" s="4"/>
    </row>
    <row r="288" spans="1:34" hidden="1" x14ac:dyDescent="0.25">
      <c r="B288" s="4"/>
      <c r="C288" s="52"/>
      <c r="D288" s="52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"/>
    </row>
    <row r="289" spans="2:34" x14ac:dyDescent="0.25">
      <c r="B289" s="4"/>
      <c r="C289" s="52"/>
      <c r="D289" s="5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"/>
    </row>
    <row r="290" spans="2:34" x14ac:dyDescent="0.25">
      <c r="B290" s="4"/>
      <c r="C290" s="52"/>
      <c r="D290" s="52"/>
      <c r="E290" s="165">
        <f>729+725.23+303.22+592.21+294.44+569.07+952.99+456.34+71.23</f>
        <v>4693.7299999999996</v>
      </c>
      <c r="F290" s="165">
        <f>1933661.55+1175351.25+491416.52+563999.46+340717.13+679321.62+1137803.34+544650.92+84970.98</f>
        <v>6951892.7700000005</v>
      </c>
      <c r="G290" s="165">
        <f>32227.71+19589.19+8190.26+9399.98+5678.62+11322.02+18963.38+9077.53+1416.18</f>
        <v>115864.87</v>
      </c>
      <c r="H290" s="165">
        <f>29004.93+17630.27+7371.24+8459.99+5110.76+10189.83+17067.04+8169.77+1274.22</f>
        <v>104278.05</v>
      </c>
      <c r="I290" s="165">
        <f>9668.32+5876.78+2457.08+2819.99+1703.59+3396.61+5689.01+2723.27+424.85</f>
        <v>34759.499999999993</v>
      </c>
      <c r="J290" s="165">
        <f>70900.91+43096.23+18018.58+20679.96+12492.97+24908.46+41719.45+19970.57+3115.26</f>
        <v>254902.39</v>
      </c>
      <c r="K290" s="165">
        <f>5908.41+3591.35+1501.56+1723.33+1041.08+2075.7+3476.62+1664.21+259.6</f>
        <v>21241.859999999997</v>
      </c>
      <c r="L290" s="165"/>
      <c r="M290" s="165"/>
      <c r="N290" s="165">
        <f>4131.22+2513.95+1051.09+1206.33+728.76+1452.99+2433.64+1164.94+181.72</f>
        <v>14864.64</v>
      </c>
      <c r="O290" s="165">
        <f>3304.97+2011.16+840.89+965.06+583.01+1162.39+1946.89+931.95+145.35</f>
        <v>11891.67</v>
      </c>
      <c r="P290" s="165">
        <f>3718.09+2262.55+945.98+1085.71+655.88+1307.69+2190.27+1048.45+163.55</f>
        <v>13378.170000000002</v>
      </c>
      <c r="Q290" s="165">
        <f>4131.22+2513.95+1051.09+1206.33+728.76+1452.99+2433.64+1164.94+181.72</f>
        <v>14864.64</v>
      </c>
      <c r="R290" s="165"/>
      <c r="S290" s="165">
        <f>916.18+1160.05+258.31+575.63+220.14+240.65+1495.82+297.76</f>
        <v>5164.54</v>
      </c>
      <c r="T290" s="165">
        <f>0+0+0+0+0+555.3+624.82+0</f>
        <v>1180.1199999999999</v>
      </c>
      <c r="U290" s="165">
        <f>0+0+1574.78+0+1355.91+0+0+0</f>
        <v>2930.69</v>
      </c>
      <c r="V290" s="165">
        <f>257.4+257.4+0+0+0+257.4+0+0</f>
        <v>772.19999999999993</v>
      </c>
      <c r="W290" s="165">
        <f>3209.12+2059.02+926.83+1045.44+656.01+1344.09+2067.57+1075.36+181.72</f>
        <v>12565.16</v>
      </c>
      <c r="X290" s="165">
        <f>38509.44+24708.19+11121.96+12545.27+7872.06+16129.08+24810.94+12904.31+2180.64</f>
        <v>150781.89000000001</v>
      </c>
      <c r="Y290" s="165">
        <f>0+27277.84+9485.16+13850+8690.75+17806.51+27391.28+14246.38+2407.43</f>
        <v>121155.34999999999</v>
      </c>
      <c r="Z290" s="165">
        <f>40665.98+28805.4+10016.31+14625.58+9177.43+18803.68+28925.19+15044.16+2542.25</f>
        <v>168605.98</v>
      </c>
      <c r="AA290" s="165">
        <f>43634.6+30908.18+13462.54+15693.25+9847.39+20176.34+31036.73+16142.39+2727.83</f>
        <v>183629.25000000003</v>
      </c>
      <c r="AB290" s="165">
        <f>3636.22+2575.7+1121.87+1307.77+820.62+1681.36+2586.4+1345.2+227.32</f>
        <v>15302.460000000001</v>
      </c>
      <c r="AC290" s="165">
        <f>5908.41+3591.35+1501.56+1723.33+1041.08+2075.7+3476.62+1664.21+259.6</f>
        <v>21241.859999999997</v>
      </c>
      <c r="AD290" s="165">
        <f>1219.97+1437.41+830.27+1074.02+799.63+1344.14+2375.04+1194.7+227.32</f>
        <v>10502.5</v>
      </c>
      <c r="AE290" s="165">
        <f>2685.65+1632.42+682.51+783.32+473.22+943.5+1580.28+756.46+118.02</f>
        <v>9655.380000000001</v>
      </c>
      <c r="AF290" s="165">
        <f>409.05+409.05+227.25+272.7+136.35+272.7+454.5+227.25+45.46</f>
        <v>2454.31</v>
      </c>
      <c r="AG290" s="165">
        <f>554.47+653.29+377.35+488.14+363.43+610.91+1079.45+542.99+103.34</f>
        <v>4773.37</v>
      </c>
      <c r="AH290" s="4"/>
    </row>
    <row r="291" spans="2:34" x14ac:dyDescent="0.25">
      <c r="B291" s="4"/>
      <c r="C291" s="52"/>
      <c r="D291" s="52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"/>
    </row>
    <row r="292" spans="2:34" ht="15" x14ac:dyDescent="0.25">
      <c r="B292" s="4"/>
      <c r="C292" s="67"/>
      <c r="D292" s="68"/>
      <c r="E292" s="69" t="s">
        <v>149</v>
      </c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71"/>
      <c r="W292" s="71"/>
      <c r="X292" s="160"/>
      <c r="Y292" s="160"/>
      <c r="Z292" s="160"/>
      <c r="AA292" s="160"/>
      <c r="AB292" s="160"/>
      <c r="AC292" s="160"/>
      <c r="AD292" s="69"/>
      <c r="AE292" s="69"/>
      <c r="AF292" s="69"/>
      <c r="AG292" s="41"/>
      <c r="AH292" s="4"/>
    </row>
    <row r="293" spans="2:34" ht="15" x14ac:dyDescent="0.25">
      <c r="B293" s="4"/>
      <c r="C293" s="4"/>
      <c r="D293" s="220" t="s">
        <v>150</v>
      </c>
      <c r="E293" s="220"/>
      <c r="F293" s="220"/>
      <c r="G293" s="69"/>
      <c r="H293" s="69"/>
      <c r="I293" s="69"/>
      <c r="J293" s="69"/>
      <c r="K293" s="71"/>
      <c r="L293" s="71"/>
      <c r="M293" s="71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160"/>
      <c r="Y293" s="160"/>
      <c r="Z293" s="160"/>
      <c r="AA293" s="160"/>
      <c r="AB293" s="160"/>
      <c r="AC293" s="160"/>
      <c r="AD293" s="69"/>
      <c r="AE293" s="69"/>
      <c r="AF293" s="69"/>
      <c r="AG293" s="41"/>
      <c r="AH293" s="4"/>
    </row>
    <row r="294" spans="2:34" ht="15" x14ac:dyDescent="0.25">
      <c r="B294" s="4"/>
      <c r="C294" s="4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71"/>
      <c r="X294" s="160"/>
      <c r="Y294" s="160"/>
      <c r="Z294" s="160"/>
      <c r="AA294" s="160"/>
      <c r="AB294" s="160"/>
      <c r="AC294" s="160"/>
      <c r="AD294" s="69"/>
      <c r="AE294" s="69"/>
      <c r="AF294" s="69"/>
      <c r="AG294" s="41"/>
      <c r="AH294" s="4"/>
    </row>
    <row r="295" spans="2:34" ht="15" x14ac:dyDescent="0.25">
      <c r="B295" s="4"/>
      <c r="C295" s="4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220" t="s">
        <v>151</v>
      </c>
      <c r="U295" s="220"/>
      <c r="V295" s="220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41"/>
      <c r="AH295" s="4"/>
    </row>
    <row r="296" spans="2:34" ht="15" x14ac:dyDescent="0.25">
      <c r="B296" s="4"/>
      <c r="C296" s="4"/>
      <c r="D296" s="69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69"/>
      <c r="S296" s="71"/>
      <c r="T296" s="220" t="s">
        <v>152</v>
      </c>
      <c r="U296" s="220"/>
      <c r="V296" s="220"/>
      <c r="W296" s="69"/>
      <c r="X296" s="69"/>
      <c r="Y296" s="69"/>
      <c r="Z296" s="69"/>
      <c r="AA296" s="69"/>
      <c r="AB296" s="69"/>
      <c r="AC296" s="69"/>
      <c r="AD296" s="69"/>
      <c r="AE296" s="220" t="s">
        <v>153</v>
      </c>
      <c r="AF296" s="220"/>
      <c r="AG296" s="41"/>
      <c r="AH296" s="4"/>
    </row>
    <row r="297" spans="2:34" ht="15" x14ac:dyDescent="0.25">
      <c r="B297" s="4"/>
      <c r="C297" s="4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214" t="s">
        <v>154</v>
      </c>
      <c r="AF297" s="214"/>
      <c r="AG297" s="41"/>
      <c r="AH297" s="4"/>
    </row>
    <row r="298" spans="2:34" ht="14.25" x14ac:dyDescent="0.25">
      <c r="B298" s="4"/>
      <c r="D298" s="72"/>
      <c r="E298" s="72"/>
      <c r="F298" s="77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4"/>
      <c r="AF298" s="74"/>
      <c r="AG298" s="41"/>
      <c r="AH298" s="4"/>
    </row>
    <row r="299" spans="2:34" x14ac:dyDescent="0.25">
      <c r="B299" s="4"/>
      <c r="C299" s="52"/>
      <c r="D299" s="52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"/>
    </row>
    <row r="300" spans="2:34" x14ac:dyDescent="0.25">
      <c r="B300" s="4"/>
      <c r="C300" s="52"/>
      <c r="D300" s="52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"/>
    </row>
    <row r="301" spans="2:34" x14ac:dyDescent="0.25">
      <c r="B301" s="4"/>
      <c r="C301" s="52"/>
      <c r="D301" s="52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"/>
    </row>
    <row r="302" spans="2:34" x14ac:dyDescent="0.25">
      <c r="B302" s="4"/>
      <c r="C302" s="52"/>
      <c r="D302" s="52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"/>
    </row>
    <row r="303" spans="2:34" x14ac:dyDescent="0.25">
      <c r="B303" s="4"/>
      <c r="C303" s="52"/>
      <c r="D303" s="52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"/>
    </row>
    <row r="304" spans="2:34" x14ac:dyDescent="0.25">
      <c r="B304" s="4"/>
      <c r="C304" s="52"/>
      <c r="D304" s="52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"/>
    </row>
    <row r="305" spans="2:34" x14ac:dyDescent="0.25">
      <c r="B305" s="4"/>
      <c r="C305" s="52"/>
      <c r="D305" s="52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"/>
    </row>
    <row r="306" spans="2:34" x14ac:dyDescent="0.25">
      <c r="B306" s="4"/>
      <c r="C306" s="52"/>
      <c r="D306" s="52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"/>
    </row>
    <row r="307" spans="2:34" x14ac:dyDescent="0.25">
      <c r="B307" s="4"/>
      <c r="C307" s="52"/>
      <c r="D307" s="52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"/>
    </row>
    <row r="308" spans="2:34" x14ac:dyDescent="0.25">
      <c r="B308" s="4"/>
      <c r="C308" s="52"/>
      <c r="D308" s="52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"/>
    </row>
    <row r="309" spans="2:34" x14ac:dyDescent="0.25">
      <c r="B309" s="4"/>
      <c r="C309" s="52"/>
      <c r="D309" s="52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"/>
    </row>
    <row r="310" spans="2:34" x14ac:dyDescent="0.25">
      <c r="B310" s="4"/>
      <c r="C310" s="52"/>
      <c r="D310" s="52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"/>
    </row>
    <row r="311" spans="2:34" x14ac:dyDescent="0.25">
      <c r="B311" s="4"/>
      <c r="C311" s="52"/>
      <c r="D311" s="52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"/>
    </row>
    <row r="312" spans="2:34" x14ac:dyDescent="0.25">
      <c r="B312" s="4"/>
      <c r="C312" s="52"/>
      <c r="D312" s="52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"/>
    </row>
    <row r="313" spans="2:34" x14ac:dyDescent="0.25">
      <c r="B313" s="4"/>
      <c r="C313" s="52"/>
      <c r="D313" s="52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"/>
    </row>
    <row r="314" spans="2:34" x14ac:dyDescent="0.25">
      <c r="B314" s="4"/>
      <c r="C314" s="52"/>
      <c r="D314" s="52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"/>
    </row>
    <row r="315" spans="2:34" x14ac:dyDescent="0.25">
      <c r="B315" s="4"/>
      <c r="C315" s="52"/>
      <c r="D315" s="52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"/>
    </row>
    <row r="316" spans="2:34" x14ac:dyDescent="0.25">
      <c r="B316" s="4"/>
      <c r="C316" s="52"/>
      <c r="D316" s="52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"/>
    </row>
    <row r="317" spans="2:34" x14ac:dyDescent="0.25">
      <c r="B317" s="4"/>
      <c r="C317" s="52"/>
      <c r="D317" s="52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"/>
    </row>
    <row r="318" spans="2:34" x14ac:dyDescent="0.25">
      <c r="B318" s="4"/>
      <c r="C318" s="52"/>
      <c r="D318" s="52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"/>
    </row>
    <row r="319" spans="2:34" x14ac:dyDescent="0.25">
      <c r="B319" s="4"/>
      <c r="C319" s="52"/>
      <c r="D319" s="52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"/>
    </row>
    <row r="320" spans="2:34" x14ac:dyDescent="0.25">
      <c r="B320" s="4"/>
      <c r="C320" s="52"/>
      <c r="D320" s="52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"/>
    </row>
    <row r="321" spans="2:34" x14ac:dyDescent="0.25">
      <c r="B321" s="4"/>
      <c r="C321" s="52"/>
      <c r="D321" s="52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"/>
    </row>
    <row r="322" spans="2:34" x14ac:dyDescent="0.25">
      <c r="B322" s="4"/>
      <c r="C322" s="52"/>
      <c r="D322" s="52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"/>
    </row>
    <row r="323" spans="2:34" x14ac:dyDescent="0.25">
      <c r="B323" s="4"/>
      <c r="C323" s="52"/>
      <c r="D323" s="52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"/>
    </row>
    <row r="324" spans="2:34" x14ac:dyDescent="0.25">
      <c r="B324" s="4"/>
      <c r="C324" s="52"/>
      <c r="D324" s="52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"/>
    </row>
    <row r="325" spans="2:34" x14ac:dyDescent="0.25">
      <c r="B325" s="4"/>
      <c r="C325" s="52"/>
      <c r="D325" s="52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"/>
    </row>
    <row r="326" spans="2:34" x14ac:dyDescent="0.25">
      <c r="B326" s="4"/>
      <c r="C326" s="52"/>
      <c r="D326" s="52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"/>
    </row>
    <row r="327" spans="2:34" x14ac:dyDescent="0.25">
      <c r="B327" s="4"/>
      <c r="C327" s="52"/>
      <c r="D327" s="52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"/>
    </row>
    <row r="328" spans="2:34" x14ac:dyDescent="0.25">
      <c r="B328" s="4"/>
      <c r="C328" s="52"/>
      <c r="D328" s="52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"/>
    </row>
    <row r="329" spans="2:34" x14ac:dyDescent="0.25">
      <c r="B329" s="4"/>
      <c r="C329" s="52"/>
      <c r="D329" s="52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"/>
    </row>
    <row r="330" spans="2:34" x14ac:dyDescent="0.25">
      <c r="B330" s="4"/>
      <c r="C330" s="52"/>
      <c r="D330" s="52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"/>
    </row>
    <row r="331" spans="2:34" x14ac:dyDescent="0.25">
      <c r="B331" s="4"/>
      <c r="C331" s="52"/>
      <c r="D331" s="52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"/>
    </row>
    <row r="332" spans="2:34" x14ac:dyDescent="0.25">
      <c r="B332" s="4"/>
      <c r="C332" s="52"/>
      <c r="D332" s="52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"/>
    </row>
    <row r="333" spans="2:34" x14ac:dyDescent="0.25">
      <c r="B333" s="4"/>
      <c r="C333" s="52"/>
      <c r="D333" s="52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"/>
    </row>
    <row r="334" spans="2:34" x14ac:dyDescent="0.25">
      <c r="B334" s="4"/>
      <c r="C334" s="52"/>
      <c r="D334" s="52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"/>
    </row>
    <row r="335" spans="2:34" x14ac:dyDescent="0.25">
      <c r="B335" s="4"/>
      <c r="C335" s="52"/>
      <c r="D335" s="52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"/>
    </row>
    <row r="336" spans="2:34" x14ac:dyDescent="0.25">
      <c r="B336" s="4"/>
      <c r="C336" s="52"/>
      <c r="D336" s="52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"/>
    </row>
    <row r="337" spans="2:34" x14ac:dyDescent="0.25">
      <c r="B337" s="4"/>
      <c r="C337" s="52"/>
      <c r="D337" s="52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"/>
    </row>
    <row r="338" spans="2:34" x14ac:dyDescent="0.25">
      <c r="B338" s="4"/>
      <c r="C338" s="52"/>
      <c r="D338" s="52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"/>
    </row>
    <row r="339" spans="2:34" x14ac:dyDescent="0.25">
      <c r="B339" s="4"/>
      <c r="C339" s="52"/>
      <c r="D339" s="52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"/>
    </row>
    <row r="340" spans="2:34" x14ac:dyDescent="0.25">
      <c r="B340" s="4"/>
      <c r="C340" s="52"/>
      <c r="D340" s="52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"/>
    </row>
    <row r="341" spans="2:34" x14ac:dyDescent="0.25">
      <c r="B341" s="4"/>
      <c r="C341" s="52"/>
      <c r="D341" s="52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"/>
    </row>
    <row r="342" spans="2:34" x14ac:dyDescent="0.25">
      <c r="B342" s="4"/>
      <c r="C342" s="52"/>
      <c r="D342" s="52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"/>
    </row>
    <row r="343" spans="2:34" x14ac:dyDescent="0.25">
      <c r="B343" s="4"/>
      <c r="C343" s="52"/>
      <c r="D343" s="52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"/>
    </row>
    <row r="344" spans="2:34" x14ac:dyDescent="0.25">
      <c r="B344" s="4"/>
      <c r="C344" s="52"/>
      <c r="D344" s="52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"/>
    </row>
    <row r="345" spans="2:34" x14ac:dyDescent="0.25">
      <c r="B345" s="4"/>
      <c r="C345" s="52"/>
      <c r="D345" s="52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"/>
    </row>
    <row r="346" spans="2:34" x14ac:dyDescent="0.25">
      <c r="B346" s="4"/>
      <c r="C346" s="52"/>
      <c r="D346" s="52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"/>
    </row>
    <row r="347" spans="2:34" x14ac:dyDescent="0.25">
      <c r="B347" s="4"/>
      <c r="C347" s="52"/>
      <c r="D347" s="52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"/>
    </row>
    <row r="348" spans="2:34" x14ac:dyDescent="0.25">
      <c r="B348" s="4"/>
      <c r="C348" s="52"/>
      <c r="D348" s="52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"/>
    </row>
    <row r="349" spans="2:34" x14ac:dyDescent="0.25">
      <c r="B349" s="4"/>
      <c r="C349" s="52"/>
      <c r="D349" s="52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"/>
    </row>
    <row r="350" spans="2:34" x14ac:dyDescent="0.25">
      <c r="B350" s="4"/>
      <c r="C350" s="52"/>
      <c r="D350" s="52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"/>
    </row>
    <row r="351" spans="2:34" x14ac:dyDescent="0.25">
      <c r="B351" s="4"/>
      <c r="C351" s="52"/>
      <c r="D351" s="52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"/>
    </row>
    <row r="352" spans="2:34" x14ac:dyDescent="0.25">
      <c r="B352" s="4"/>
      <c r="C352" s="52"/>
      <c r="D352" s="52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"/>
    </row>
    <row r="353" spans="2:34" x14ac:dyDescent="0.25">
      <c r="B353" s="4"/>
      <c r="C353" s="52"/>
      <c r="D353" s="52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"/>
    </row>
    <row r="354" spans="2:34" x14ac:dyDescent="0.25">
      <c r="B354" s="4"/>
      <c r="C354" s="52"/>
      <c r="D354" s="52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"/>
    </row>
    <row r="355" spans="2:34" x14ac:dyDescent="0.25">
      <c r="B355" s="4"/>
      <c r="C355" s="52"/>
      <c r="D355" s="52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"/>
    </row>
    <row r="356" spans="2:34" x14ac:dyDescent="0.25">
      <c r="B356" s="4"/>
      <c r="C356" s="52"/>
      <c r="D356" s="52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"/>
    </row>
    <row r="357" spans="2:34" x14ac:dyDescent="0.25">
      <c r="B357" s="4"/>
      <c r="C357" s="52"/>
      <c r="D357" s="52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"/>
    </row>
    <row r="358" spans="2:34" x14ac:dyDescent="0.25">
      <c r="B358" s="4"/>
      <c r="C358" s="52"/>
      <c r="D358" s="52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"/>
    </row>
    <row r="359" spans="2:34" x14ac:dyDescent="0.25">
      <c r="B359" s="4"/>
      <c r="C359" s="52"/>
      <c r="D359" s="52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"/>
    </row>
    <row r="360" spans="2:34" x14ac:dyDescent="0.25">
      <c r="B360" s="4"/>
      <c r="C360" s="52"/>
      <c r="D360" s="52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"/>
    </row>
    <row r="361" spans="2:34" x14ac:dyDescent="0.25">
      <c r="B361" s="4"/>
      <c r="C361" s="52"/>
      <c r="D361" s="52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"/>
    </row>
    <row r="362" spans="2:34" x14ac:dyDescent="0.25">
      <c r="B362" s="4"/>
      <c r="C362" s="52"/>
      <c r="D362" s="52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"/>
    </row>
    <row r="363" spans="2:34" x14ac:dyDescent="0.25">
      <c r="B363" s="4"/>
      <c r="C363" s="52"/>
      <c r="D363" s="52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"/>
    </row>
    <row r="364" spans="2:34" x14ac:dyDescent="0.25">
      <c r="B364" s="4"/>
      <c r="C364" s="52"/>
      <c r="D364" s="52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"/>
    </row>
    <row r="365" spans="2:34" x14ac:dyDescent="0.25">
      <c r="B365" s="4"/>
      <c r="C365" s="52"/>
      <c r="D365" s="52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"/>
    </row>
    <row r="366" spans="2:34" x14ac:dyDescent="0.25">
      <c r="B366" s="4"/>
      <c r="C366" s="52"/>
      <c r="D366" s="52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"/>
    </row>
    <row r="367" spans="2:34" x14ac:dyDescent="0.25">
      <c r="B367" s="4"/>
      <c r="C367" s="52"/>
      <c r="D367" s="52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"/>
    </row>
    <row r="368" spans="2:34" x14ac:dyDescent="0.25">
      <c r="B368" s="4"/>
      <c r="C368" s="52"/>
      <c r="D368" s="52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"/>
    </row>
    <row r="369" spans="2:34" x14ac:dyDescent="0.25">
      <c r="B369" s="4"/>
      <c r="C369" s="52"/>
      <c r="D369" s="52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"/>
    </row>
    <row r="370" spans="2:34" x14ac:dyDescent="0.25">
      <c r="B370" s="4"/>
      <c r="C370" s="52"/>
      <c r="D370" s="52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"/>
    </row>
    <row r="371" spans="2:34" x14ac:dyDescent="0.25">
      <c r="B371" s="4"/>
      <c r="C371" s="52"/>
      <c r="D371" s="52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"/>
    </row>
    <row r="372" spans="2:34" x14ac:dyDescent="0.25">
      <c r="B372" s="4"/>
      <c r="C372" s="52"/>
      <c r="D372" s="52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"/>
    </row>
    <row r="373" spans="2:34" x14ac:dyDescent="0.25">
      <c r="B373" s="4"/>
      <c r="C373" s="52"/>
      <c r="D373" s="52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"/>
    </row>
    <row r="374" spans="2:34" x14ac:dyDescent="0.25">
      <c r="B374" s="4"/>
      <c r="C374" s="52"/>
      <c r="D374" s="52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"/>
    </row>
    <row r="375" spans="2:34" x14ac:dyDescent="0.25">
      <c r="B375" s="4"/>
      <c r="C375" s="52"/>
      <c r="D375" s="52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"/>
    </row>
    <row r="376" spans="2:34" x14ac:dyDescent="0.25">
      <c r="B376" s="4"/>
      <c r="C376" s="52"/>
      <c r="D376" s="52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"/>
    </row>
    <row r="377" spans="2:34" x14ac:dyDescent="0.25">
      <c r="B377" s="4"/>
      <c r="C377" s="52"/>
      <c r="D377" s="52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"/>
    </row>
    <row r="378" spans="2:34" x14ac:dyDescent="0.25">
      <c r="B378" s="4"/>
      <c r="C378" s="52"/>
      <c r="D378" s="52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"/>
    </row>
    <row r="379" spans="2:34" x14ac:dyDescent="0.25">
      <c r="B379" s="4"/>
      <c r="C379" s="52"/>
      <c r="D379" s="52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"/>
    </row>
    <row r="380" spans="2:34" x14ac:dyDescent="0.25">
      <c r="B380" s="4"/>
      <c r="C380" s="52"/>
      <c r="D380" s="52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"/>
    </row>
    <row r="381" spans="2:34" x14ac:dyDescent="0.25">
      <c r="B381" s="4"/>
      <c r="C381" s="52"/>
      <c r="D381" s="52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"/>
    </row>
    <row r="382" spans="2:34" x14ac:dyDescent="0.25">
      <c r="B382" s="4"/>
      <c r="C382" s="52"/>
      <c r="D382" s="52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"/>
    </row>
    <row r="383" spans="2:34" x14ac:dyDescent="0.25">
      <c r="B383" s="4"/>
      <c r="C383" s="52"/>
      <c r="D383" s="52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"/>
    </row>
    <row r="384" spans="2:34" x14ac:dyDescent="0.25">
      <c r="B384" s="4"/>
      <c r="C384" s="52"/>
      <c r="D384" s="52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"/>
    </row>
    <row r="385" spans="1:34" x14ac:dyDescent="0.25">
      <c r="B385" s="4"/>
      <c r="C385" s="52"/>
      <c r="D385" s="52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"/>
    </row>
    <row r="386" spans="1:34" x14ac:dyDescent="0.25">
      <c r="B386" s="4"/>
      <c r="C386" s="52"/>
      <c r="D386" s="52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"/>
    </row>
    <row r="387" spans="1:34" x14ac:dyDescent="0.25">
      <c r="B387" s="4"/>
      <c r="C387" s="52"/>
      <c r="D387" s="52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"/>
    </row>
    <row r="388" spans="1:34" x14ac:dyDescent="0.25">
      <c r="B388" s="4"/>
      <c r="C388" s="52"/>
      <c r="D388" s="52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"/>
    </row>
    <row r="389" spans="1:34" x14ac:dyDescent="0.25">
      <c r="B389" s="4"/>
      <c r="C389" s="52"/>
      <c r="D389" s="52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"/>
    </row>
    <row r="390" spans="1:34" ht="15" x14ac:dyDescent="0.25">
      <c r="B390" s="27"/>
      <c r="C390" s="52"/>
      <c r="D390" s="52"/>
      <c r="E390" s="52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"/>
    </row>
    <row r="391" spans="1:34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 s="4"/>
    </row>
    <row r="392" spans="1:34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 s="4"/>
    </row>
    <row r="393" spans="1:34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 s="4"/>
    </row>
    <row r="394" spans="1:34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 s="4"/>
    </row>
    <row r="395" spans="1:34" ht="139.9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 s="4"/>
    </row>
    <row r="396" spans="1:34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 s="4"/>
    </row>
    <row r="397" spans="1:34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 s="4"/>
    </row>
    <row r="398" spans="1:34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 s="4"/>
    </row>
    <row r="399" spans="1:34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 s="4"/>
    </row>
    <row r="400" spans="1:34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 s="4"/>
    </row>
    <row r="401" spans="1:34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 s="4"/>
    </row>
    <row r="402" spans="1:34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 s="4"/>
    </row>
    <row r="403" spans="1:34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 s="4"/>
    </row>
    <row r="404" spans="1:34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 s="4"/>
    </row>
    <row r="405" spans="1:34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 s="4"/>
    </row>
    <row r="406" spans="1:34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 s="4"/>
    </row>
    <row r="407" spans="1:34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x14ac:dyDescent="0.25">
      <c r="B410" s="4"/>
      <c r="C410" s="221"/>
      <c r="D410" s="22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3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x14ac:dyDescent="0.25">
      <c r="B411" s="4"/>
      <c r="AG411" s="4"/>
      <c r="AH411" s="4"/>
    </row>
    <row r="412" spans="1:34" x14ac:dyDescent="0.25">
      <c r="B412" s="4"/>
      <c r="AG412" s="4"/>
      <c r="AH412" s="4"/>
    </row>
    <row r="413" spans="1:34" x14ac:dyDescent="0.25">
      <c r="B413" s="4"/>
      <c r="AG413" s="4"/>
      <c r="AH413" s="4"/>
    </row>
    <row r="414" spans="1:34" x14ac:dyDescent="0.25">
      <c r="B414" s="4"/>
      <c r="AG414" s="4"/>
      <c r="AH414" s="4"/>
    </row>
    <row r="415" spans="1:34" x14ac:dyDescent="0.25">
      <c r="B415" s="4"/>
      <c r="AG415" s="4"/>
      <c r="AH415" s="4"/>
    </row>
    <row r="416" spans="1:34" x14ac:dyDescent="0.25">
      <c r="B416" s="4"/>
      <c r="AG416" s="4"/>
      <c r="AH416" s="4"/>
    </row>
    <row r="418" spans="4:32" ht="14.25" x14ac:dyDescent="0.25"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</row>
    <row r="434" spans="2:33" ht="15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2:33" ht="15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2:33" ht="15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2:33" ht="15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2:33" ht="95.1" customHeigh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2:33" ht="15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2:33" ht="15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2:33" ht="15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2:33" ht="15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2:33" ht="15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2:33" ht="15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2:33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8" spans="2:33" x14ac:dyDescent="0.25">
      <c r="C448" s="222"/>
      <c r="D448" s="222"/>
      <c r="V448" s="74"/>
    </row>
    <row r="449" spans="3:33" ht="15" x14ac:dyDescent="0.25">
      <c r="C449" s="75"/>
      <c r="D449" s="76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7"/>
      <c r="W449" s="72"/>
      <c r="X449" s="161"/>
      <c r="Y449" s="161"/>
      <c r="Z449" s="161"/>
      <c r="AA449" s="161"/>
      <c r="AB449" s="161"/>
      <c r="AC449" s="161"/>
      <c r="AD449" s="72"/>
      <c r="AE449" s="72"/>
      <c r="AF449" s="72"/>
      <c r="AG449" s="72"/>
    </row>
    <row r="450" spans="3:33" ht="14.25" x14ac:dyDescent="0.25">
      <c r="D450" s="214"/>
      <c r="E450" s="214"/>
      <c r="F450" s="214"/>
      <c r="G450" s="72"/>
      <c r="H450" s="72"/>
      <c r="I450" s="72"/>
      <c r="J450" s="72"/>
      <c r="K450" s="77"/>
      <c r="L450" s="77"/>
      <c r="M450" s="77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161"/>
      <c r="Y450" s="161"/>
      <c r="Z450" s="161"/>
      <c r="AA450" s="161"/>
      <c r="AB450" s="161"/>
      <c r="AC450" s="161"/>
      <c r="AD450" s="72"/>
      <c r="AE450" s="72"/>
      <c r="AF450" s="72"/>
      <c r="AG450" s="72"/>
    </row>
    <row r="451" spans="3:33" ht="14.25" x14ac:dyDescent="0.25"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161"/>
      <c r="Y451" s="161"/>
      <c r="Z451" s="161"/>
      <c r="AA451" s="161"/>
      <c r="AB451" s="161"/>
      <c r="AC451" s="161"/>
      <c r="AD451" s="72"/>
      <c r="AE451" s="72"/>
      <c r="AF451" s="72"/>
      <c r="AG451" s="72"/>
    </row>
    <row r="452" spans="3:33" ht="14.25" x14ac:dyDescent="0.25"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214"/>
      <c r="U452" s="214"/>
      <c r="V452" s="214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</row>
    <row r="453" spans="3:33" ht="14.25" x14ac:dyDescent="0.25"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214"/>
      <c r="U453" s="214"/>
      <c r="V453" s="214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</row>
    <row r="454" spans="3:33" ht="14.25" x14ac:dyDescent="0.25"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214"/>
      <c r="AF454" s="214"/>
      <c r="AG454" s="72"/>
    </row>
    <row r="455" spans="3:33" ht="14.25" x14ac:dyDescent="0.25"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214"/>
      <c r="AF455" s="214"/>
      <c r="AG455" s="72"/>
    </row>
    <row r="456" spans="3:33" ht="14.25" x14ac:dyDescent="0.25"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</row>
    <row r="457" spans="3:33" ht="14.25" x14ac:dyDescent="0.25"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</row>
    <row r="464" spans="3:33" x14ac:dyDescent="0.25">
      <c r="M464" s="1" t="s">
        <v>155</v>
      </c>
    </row>
  </sheetData>
  <mergeCells count="337">
    <mergeCell ref="C102:G102"/>
    <mergeCell ref="C101:D101"/>
    <mergeCell ref="C39:D39"/>
    <mergeCell ref="G106:G107"/>
    <mergeCell ref="F106:F107"/>
    <mergeCell ref="E106:E107"/>
    <mergeCell ref="D106:D107"/>
    <mergeCell ref="C106:C107"/>
    <mergeCell ref="B106:B107"/>
    <mergeCell ref="C41:D41"/>
    <mergeCell ref="B44:B45"/>
    <mergeCell ref="C44:C45"/>
    <mergeCell ref="D44:D45"/>
    <mergeCell ref="E44:E45"/>
    <mergeCell ref="C448:D448"/>
    <mergeCell ref="D450:F450"/>
    <mergeCell ref="T452:V452"/>
    <mergeCell ref="T453:V453"/>
    <mergeCell ref="AE454:AF454"/>
    <mergeCell ref="AE455:AF455"/>
    <mergeCell ref="D293:F293"/>
    <mergeCell ref="T295:V295"/>
    <mergeCell ref="T296:V296"/>
    <mergeCell ref="AE296:AF296"/>
    <mergeCell ref="AE297:AF297"/>
    <mergeCell ref="C410:D410"/>
    <mergeCell ref="W283:W284"/>
    <mergeCell ref="X283:X284"/>
    <mergeCell ref="AB283:AB284"/>
    <mergeCell ref="AC283:AF283"/>
    <mergeCell ref="AG283:AG284"/>
    <mergeCell ref="C287:D287"/>
    <mergeCell ref="I283:I284"/>
    <mergeCell ref="J283:J284"/>
    <mergeCell ref="K283:K284"/>
    <mergeCell ref="O283:Q283"/>
    <mergeCell ref="R283:R284"/>
    <mergeCell ref="S283:V283"/>
    <mergeCell ref="S268:V268"/>
    <mergeCell ref="W268:W269"/>
    <mergeCell ref="X268:X269"/>
    <mergeCell ref="AB268:AB269"/>
    <mergeCell ref="AC268:AF268"/>
    <mergeCell ref="G268:G269"/>
    <mergeCell ref="H268:H269"/>
    <mergeCell ref="I268:I269"/>
    <mergeCell ref="J268:J269"/>
    <mergeCell ref="K268:K269"/>
    <mergeCell ref="O268:Q268"/>
    <mergeCell ref="C280:D280"/>
    <mergeCell ref="C281:D281"/>
    <mergeCell ref="B283:B284"/>
    <mergeCell ref="C283:C284"/>
    <mergeCell ref="D283:D284"/>
    <mergeCell ref="E283:E284"/>
    <mergeCell ref="F283:F284"/>
    <mergeCell ref="G283:G284"/>
    <mergeCell ref="H283:H284"/>
    <mergeCell ref="AC252:AF252"/>
    <mergeCell ref="AG252:AG253"/>
    <mergeCell ref="C260:D260"/>
    <mergeCell ref="C264:H264"/>
    <mergeCell ref="C266:D266"/>
    <mergeCell ref="B268:B269"/>
    <mergeCell ref="C268:C269"/>
    <mergeCell ref="D268:D269"/>
    <mergeCell ref="E268:E269"/>
    <mergeCell ref="F268:F269"/>
    <mergeCell ref="O252:Q252"/>
    <mergeCell ref="R252:R253"/>
    <mergeCell ref="S252:V252"/>
    <mergeCell ref="W252:W253"/>
    <mergeCell ref="X252:X253"/>
    <mergeCell ref="AB252:AB253"/>
    <mergeCell ref="F252:F253"/>
    <mergeCell ref="G252:G253"/>
    <mergeCell ref="H252:H253"/>
    <mergeCell ref="I252:I253"/>
    <mergeCell ref="J252:J253"/>
    <mergeCell ref="K252:K253"/>
    <mergeCell ref="AG268:AG269"/>
    <mergeCell ref="R268:R269"/>
    <mergeCell ref="C249:D249"/>
    <mergeCell ref="C250:D250"/>
    <mergeCell ref="B252:B253"/>
    <mergeCell ref="C252:C253"/>
    <mergeCell ref="D252:D253"/>
    <mergeCell ref="E252:E253"/>
    <mergeCell ref="S245:V245"/>
    <mergeCell ref="W245:W246"/>
    <mergeCell ref="X245:X246"/>
    <mergeCell ref="AB245:AB246"/>
    <mergeCell ref="AC245:AF245"/>
    <mergeCell ref="AG245:AG246"/>
    <mergeCell ref="H245:H246"/>
    <mergeCell ref="I245:I246"/>
    <mergeCell ref="J245:J246"/>
    <mergeCell ref="K245:K246"/>
    <mergeCell ref="O245:Q245"/>
    <mergeCell ref="R245:R246"/>
    <mergeCell ref="S225:V225"/>
    <mergeCell ref="W225:W226"/>
    <mergeCell ref="X225:X226"/>
    <mergeCell ref="AB225:AB226"/>
    <mergeCell ref="AC225:AF225"/>
    <mergeCell ref="G225:G226"/>
    <mergeCell ref="H225:H226"/>
    <mergeCell ref="I225:I226"/>
    <mergeCell ref="J225:J226"/>
    <mergeCell ref="K225:K226"/>
    <mergeCell ref="O225:Q225"/>
    <mergeCell ref="C238:D238"/>
    <mergeCell ref="C241:H241"/>
    <mergeCell ref="C243:D243"/>
    <mergeCell ref="B245:B246"/>
    <mergeCell ref="C245:C246"/>
    <mergeCell ref="D245:D246"/>
    <mergeCell ref="E245:E246"/>
    <mergeCell ref="F245:F246"/>
    <mergeCell ref="G245:G246"/>
    <mergeCell ref="AC211:AF211"/>
    <mergeCell ref="AG211:AG212"/>
    <mergeCell ref="C220:D220"/>
    <mergeCell ref="C222:H222"/>
    <mergeCell ref="C224:D224"/>
    <mergeCell ref="B225:B226"/>
    <mergeCell ref="C225:C226"/>
    <mergeCell ref="D225:D226"/>
    <mergeCell ref="E225:E226"/>
    <mergeCell ref="F225:F226"/>
    <mergeCell ref="O211:Q211"/>
    <mergeCell ref="R211:R212"/>
    <mergeCell ref="S211:V211"/>
    <mergeCell ref="W211:W212"/>
    <mergeCell ref="X211:X212"/>
    <mergeCell ref="AB211:AB212"/>
    <mergeCell ref="F211:F212"/>
    <mergeCell ref="G211:G212"/>
    <mergeCell ref="H211:H212"/>
    <mergeCell ref="I211:I212"/>
    <mergeCell ref="J211:J212"/>
    <mergeCell ref="K211:K212"/>
    <mergeCell ref="AG225:AG226"/>
    <mergeCell ref="R225:R226"/>
    <mergeCell ref="C206:D206"/>
    <mergeCell ref="C209:D209"/>
    <mergeCell ref="B211:B212"/>
    <mergeCell ref="C211:C212"/>
    <mergeCell ref="D211:D212"/>
    <mergeCell ref="E211:E212"/>
    <mergeCell ref="S201:V201"/>
    <mergeCell ref="W201:W202"/>
    <mergeCell ref="X201:X202"/>
    <mergeCell ref="AB201:AB202"/>
    <mergeCell ref="AC201:AF201"/>
    <mergeCell ref="AG201:AG202"/>
    <mergeCell ref="H201:H202"/>
    <mergeCell ref="I201:I202"/>
    <mergeCell ref="J201:J202"/>
    <mergeCell ref="K201:K202"/>
    <mergeCell ref="O201:Q201"/>
    <mergeCell ref="R201:R202"/>
    <mergeCell ref="C197:G197"/>
    <mergeCell ref="C199:D199"/>
    <mergeCell ref="B201:B202"/>
    <mergeCell ref="C201:C202"/>
    <mergeCell ref="D201:D202"/>
    <mergeCell ref="E201:E202"/>
    <mergeCell ref="F201:F202"/>
    <mergeCell ref="G201:G202"/>
    <mergeCell ref="R185:R186"/>
    <mergeCell ref="G185:G186"/>
    <mergeCell ref="H185:H186"/>
    <mergeCell ref="I185:I186"/>
    <mergeCell ref="J185:J186"/>
    <mergeCell ref="K185:K186"/>
    <mergeCell ref="O185:Q185"/>
    <mergeCell ref="C183:D183"/>
    <mergeCell ref="B185:B186"/>
    <mergeCell ref="C185:C186"/>
    <mergeCell ref="D185:D186"/>
    <mergeCell ref="E185:E186"/>
    <mergeCell ref="F185:F186"/>
    <mergeCell ref="S176:V176"/>
    <mergeCell ref="AG185:AG186"/>
    <mergeCell ref="C191:D191"/>
    <mergeCell ref="S185:V185"/>
    <mergeCell ref="W185:W186"/>
    <mergeCell ref="X185:X186"/>
    <mergeCell ref="AB185:AB186"/>
    <mergeCell ref="AC185:AF185"/>
    <mergeCell ref="AG176:AG177"/>
    <mergeCell ref="H176:H177"/>
    <mergeCell ref="I176:I177"/>
    <mergeCell ref="J176:J177"/>
    <mergeCell ref="K176:K177"/>
    <mergeCell ref="O176:Q176"/>
    <mergeCell ref="R176:R177"/>
    <mergeCell ref="C180:D180"/>
    <mergeCell ref="C182:F182"/>
    <mergeCell ref="H162:H163"/>
    <mergeCell ref="I162:I163"/>
    <mergeCell ref="J162:J163"/>
    <mergeCell ref="K162:K163"/>
    <mergeCell ref="O162:Q162"/>
    <mergeCell ref="W176:W177"/>
    <mergeCell ref="X176:X177"/>
    <mergeCell ref="AB176:AB177"/>
    <mergeCell ref="AC176:AF176"/>
    <mergeCell ref="C171:D171"/>
    <mergeCell ref="C173:F173"/>
    <mergeCell ref="C175:D175"/>
    <mergeCell ref="B176:B177"/>
    <mergeCell ref="C176:C177"/>
    <mergeCell ref="D176:D177"/>
    <mergeCell ref="E176:E177"/>
    <mergeCell ref="F176:F177"/>
    <mergeCell ref="G176:G177"/>
    <mergeCell ref="AG148:AG149"/>
    <mergeCell ref="H148:H149"/>
    <mergeCell ref="I148:I149"/>
    <mergeCell ref="J148:J149"/>
    <mergeCell ref="K148:K149"/>
    <mergeCell ref="O148:Q148"/>
    <mergeCell ref="R148:R149"/>
    <mergeCell ref="C153:D153"/>
    <mergeCell ref="B162:B163"/>
    <mergeCell ref="C162:C163"/>
    <mergeCell ref="D162:D163"/>
    <mergeCell ref="E162:E163"/>
    <mergeCell ref="F162:F163"/>
    <mergeCell ref="S148:V148"/>
    <mergeCell ref="W148:W149"/>
    <mergeCell ref="X148:X149"/>
    <mergeCell ref="AG162:AG163"/>
    <mergeCell ref="R162:R163"/>
    <mergeCell ref="S162:V162"/>
    <mergeCell ref="W162:W163"/>
    <mergeCell ref="X162:X163"/>
    <mergeCell ref="AB162:AB163"/>
    <mergeCell ref="AC162:AF162"/>
    <mergeCell ref="G162:G163"/>
    <mergeCell ref="AG134:AG135"/>
    <mergeCell ref="C142:D142"/>
    <mergeCell ref="C144:F144"/>
    <mergeCell ref="B146:E146"/>
    <mergeCell ref="B148:B149"/>
    <mergeCell ref="C148:C149"/>
    <mergeCell ref="D148:D149"/>
    <mergeCell ref="E148:E149"/>
    <mergeCell ref="F148:F149"/>
    <mergeCell ref="G148:G149"/>
    <mergeCell ref="R134:R135"/>
    <mergeCell ref="S134:V134"/>
    <mergeCell ref="W134:W135"/>
    <mergeCell ref="X134:X135"/>
    <mergeCell ref="AB134:AB135"/>
    <mergeCell ref="AC134:AF134"/>
    <mergeCell ref="G134:G135"/>
    <mergeCell ref="H134:H135"/>
    <mergeCell ref="I134:I135"/>
    <mergeCell ref="J134:J135"/>
    <mergeCell ref="K134:K135"/>
    <mergeCell ref="O134:Q134"/>
    <mergeCell ref="AB148:AB149"/>
    <mergeCell ref="AC148:AF148"/>
    <mergeCell ref="C130:D130"/>
    <mergeCell ref="B134:B135"/>
    <mergeCell ref="C134:C135"/>
    <mergeCell ref="D134:D135"/>
    <mergeCell ref="E134:E135"/>
    <mergeCell ref="F134:F135"/>
    <mergeCell ref="S123:V123"/>
    <mergeCell ref="W123:W124"/>
    <mergeCell ref="X123:X124"/>
    <mergeCell ref="AB123:AB124"/>
    <mergeCell ref="AC123:AF123"/>
    <mergeCell ref="AG123:AG124"/>
    <mergeCell ref="H123:H124"/>
    <mergeCell ref="I123:I124"/>
    <mergeCell ref="J123:J124"/>
    <mergeCell ref="K123:K124"/>
    <mergeCell ref="O123:Q123"/>
    <mergeCell ref="R123:R124"/>
    <mergeCell ref="C118:D118"/>
    <mergeCell ref="C119:G119"/>
    <mergeCell ref="B123:B124"/>
    <mergeCell ref="C123:C124"/>
    <mergeCell ref="D123:D124"/>
    <mergeCell ref="E123:E124"/>
    <mergeCell ref="F123:F124"/>
    <mergeCell ref="G123:G124"/>
    <mergeCell ref="S106:V106"/>
    <mergeCell ref="W106:W107"/>
    <mergeCell ref="X106:X107"/>
    <mergeCell ref="AB106:AB107"/>
    <mergeCell ref="AC106:AF106"/>
    <mergeCell ref="AG106:AG107"/>
    <mergeCell ref="H106:H107"/>
    <mergeCell ref="I106:I107"/>
    <mergeCell ref="J106:J107"/>
    <mergeCell ref="K106:K107"/>
    <mergeCell ref="O106:Q106"/>
    <mergeCell ref="R106:R107"/>
    <mergeCell ref="AC44:AF44"/>
    <mergeCell ref="AG44:AG45"/>
    <mergeCell ref="O44:Q44"/>
    <mergeCell ref="R44:R45"/>
    <mergeCell ref="S44:V44"/>
    <mergeCell ref="W44:W45"/>
    <mergeCell ref="X44:X45"/>
    <mergeCell ref="AB44:AB45"/>
    <mergeCell ref="F44:F45"/>
    <mergeCell ref="G44:G45"/>
    <mergeCell ref="H44:H45"/>
    <mergeCell ref="I44:I45"/>
    <mergeCell ref="J44:J45"/>
    <mergeCell ref="K44:K45"/>
    <mergeCell ref="X10:X11"/>
    <mergeCell ref="AB10:AB11"/>
    <mergeCell ref="AC10:AF10"/>
    <mergeCell ref="AG10:AG11"/>
    <mergeCell ref="H10:H11"/>
    <mergeCell ref="I10:I11"/>
    <mergeCell ref="J10:J11"/>
    <mergeCell ref="K10:K11"/>
    <mergeCell ref="O10:Q10"/>
    <mergeCell ref="R10:R11"/>
    <mergeCell ref="C6:G6"/>
    <mergeCell ref="B10:B11"/>
    <mergeCell ref="C10:C11"/>
    <mergeCell ref="D10:D11"/>
    <mergeCell ref="E10:E11"/>
    <mergeCell ref="F10:F11"/>
    <mergeCell ref="G10:G11"/>
    <mergeCell ref="S10:V10"/>
    <mergeCell ref="W10:W11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02"/>
  <sheetViews>
    <sheetView topLeftCell="A196" zoomScale="80" zoomScaleNormal="80" workbookViewId="0">
      <selection activeCell="C165" sqref="C165:D165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0.71093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hidden="1" customWidth="1"/>
    <col min="9" max="9" width="11.140625" style="1" hidden="1" customWidth="1"/>
    <col min="10" max="10" width="13.140625" style="1" hidden="1" customWidth="1"/>
    <col min="11" max="13" width="12.5703125" style="1" hidden="1" customWidth="1"/>
    <col min="14" max="14" width="12.7109375" style="1" hidden="1" customWidth="1"/>
    <col min="15" max="15" width="11.42578125" style="1" hidden="1" customWidth="1"/>
    <col min="16" max="16" width="10.42578125" style="1" hidden="1" customWidth="1"/>
    <col min="17" max="18" width="12.28515625" style="1" hidden="1" customWidth="1"/>
    <col min="19" max="19" width="9.140625" style="1" hidden="1" customWidth="1"/>
    <col min="20" max="20" width="8.42578125" style="1" hidden="1" customWidth="1"/>
    <col min="21" max="21" width="9.28515625" style="1" hidden="1" customWidth="1"/>
    <col min="22" max="22" width="7" style="1" hidden="1" customWidth="1"/>
    <col min="23" max="23" width="10.5703125" style="1" hidden="1" customWidth="1"/>
    <col min="24" max="29" width="13.140625" style="1" hidden="1" customWidth="1"/>
    <col min="30" max="30" width="13" style="1" customWidth="1"/>
    <col min="31" max="31" width="10.85546875" style="1" hidden="1" customWidth="1"/>
    <col min="32" max="32" width="10.5703125" style="1" hidden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30.75" customHeight="1" x14ac:dyDescent="0.25">
      <c r="A2" s="247" t="s">
        <v>252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0.25" x14ac:dyDescent="0.25">
      <c r="B6" s="3"/>
      <c r="C6" s="223" t="s">
        <v>55</v>
      </c>
      <c r="D6" s="223"/>
      <c r="E6" s="223"/>
      <c r="F6" s="223"/>
      <c r="G6" s="2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7"/>
      <c r="W6" s="27"/>
      <c r="X6" s="27"/>
      <c r="Y6" s="27"/>
      <c r="Z6" s="27"/>
      <c r="AA6" s="27"/>
      <c r="AB6" s="27"/>
      <c r="AC6" s="27"/>
      <c r="AD6" s="4"/>
      <c r="AE6" s="4"/>
      <c r="AF6" s="4"/>
      <c r="AG6" s="4"/>
      <c r="AH6" s="4"/>
    </row>
    <row r="7" spans="1:34" ht="12.9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1"/>
      <c r="U7" s="51"/>
      <c r="V7" s="138"/>
      <c r="W7" s="138"/>
      <c r="X7" s="27"/>
      <c r="Y7" s="27"/>
      <c r="Z7" s="27"/>
      <c r="AA7" s="27"/>
      <c r="AB7" s="27"/>
      <c r="AC7" s="27"/>
      <c r="AD7" s="4"/>
      <c r="AE7" s="4"/>
      <c r="AF7" s="4"/>
      <c r="AG7" s="4"/>
      <c r="AH7" s="4"/>
    </row>
    <row r="8" spans="1:34" ht="15" x14ac:dyDescent="0.25">
      <c r="B8" s="4"/>
      <c r="C8" s="4"/>
      <c r="D8" s="5" t="s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1"/>
      <c r="U8" s="51"/>
      <c r="V8" s="138"/>
      <c r="W8" s="138"/>
      <c r="X8" s="27"/>
      <c r="Y8" s="27"/>
      <c r="Z8" s="27"/>
      <c r="AA8" s="27"/>
      <c r="AB8" s="27"/>
      <c r="AC8" s="27"/>
      <c r="AD8" s="4"/>
      <c r="AE8" s="4"/>
      <c r="AF8" s="4"/>
      <c r="AG8" s="4"/>
      <c r="AH8" s="4"/>
    </row>
    <row r="9" spans="1:34" x14ac:dyDescent="0.25">
      <c r="B9" s="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6" customHeight="1" x14ac:dyDescent="0.25">
      <c r="B10" s="215" t="s">
        <v>1</v>
      </c>
      <c r="C10" s="217" t="s">
        <v>56</v>
      </c>
      <c r="D10" s="209" t="s">
        <v>3</v>
      </c>
      <c r="E10" s="209" t="s">
        <v>4</v>
      </c>
      <c r="F10" s="209" t="s">
        <v>5</v>
      </c>
      <c r="G10" s="209" t="s">
        <v>6</v>
      </c>
      <c r="H10" s="209" t="s">
        <v>7</v>
      </c>
      <c r="I10" s="209" t="s">
        <v>8</v>
      </c>
      <c r="J10" s="209" t="s">
        <v>9</v>
      </c>
      <c r="K10" s="209" t="s">
        <v>57</v>
      </c>
      <c r="L10" s="22" t="s">
        <v>10</v>
      </c>
      <c r="M10" s="22" t="s">
        <v>10</v>
      </c>
      <c r="N10" s="22" t="s">
        <v>12</v>
      </c>
      <c r="O10" s="211" t="s">
        <v>13</v>
      </c>
      <c r="P10" s="212"/>
      <c r="Q10" s="213"/>
      <c r="R10" s="209" t="s">
        <v>14</v>
      </c>
      <c r="S10" s="225" t="s">
        <v>58</v>
      </c>
      <c r="T10" s="226"/>
      <c r="U10" s="226"/>
      <c r="V10" s="227"/>
      <c r="W10" s="207" t="s">
        <v>21</v>
      </c>
      <c r="X10" s="209" t="s">
        <v>9</v>
      </c>
      <c r="Y10" s="22" t="s">
        <v>242</v>
      </c>
      <c r="Z10" s="22" t="s">
        <v>243</v>
      </c>
      <c r="AA10" s="22" t="s">
        <v>156</v>
      </c>
      <c r="AB10" s="207" t="s">
        <v>59</v>
      </c>
      <c r="AC10" s="228" t="s">
        <v>18</v>
      </c>
      <c r="AD10" s="229"/>
      <c r="AE10" s="229"/>
      <c r="AF10" s="229"/>
      <c r="AG10" s="205" t="s">
        <v>19</v>
      </c>
      <c r="AH10" s="4"/>
    </row>
    <row r="11" spans="1:34" ht="66.599999999999994" customHeight="1" x14ac:dyDescent="0.25">
      <c r="B11" s="216"/>
      <c r="C11" s="218"/>
      <c r="D11" s="210"/>
      <c r="E11" s="210"/>
      <c r="F11" s="210"/>
      <c r="G11" s="210"/>
      <c r="H11" s="210"/>
      <c r="I11" s="210"/>
      <c r="J11" s="210"/>
      <c r="K11" s="210"/>
      <c r="L11" s="22">
        <v>5.6</v>
      </c>
      <c r="M11" s="22">
        <v>5.6</v>
      </c>
      <c r="N11" s="22">
        <v>0.7</v>
      </c>
      <c r="O11" s="23">
        <v>0.8</v>
      </c>
      <c r="P11" s="24">
        <v>0.9</v>
      </c>
      <c r="Q11" s="28">
        <v>1</v>
      </c>
      <c r="R11" s="210"/>
      <c r="S11" s="29">
        <v>0.1</v>
      </c>
      <c r="T11" s="30">
        <v>0.2</v>
      </c>
      <c r="U11" s="30">
        <v>0.3</v>
      </c>
      <c r="V11" s="30">
        <v>0.1</v>
      </c>
      <c r="W11" s="208"/>
      <c r="X11" s="210"/>
      <c r="Y11" s="22">
        <v>10.4</v>
      </c>
      <c r="Z11" s="22">
        <v>5.6</v>
      </c>
      <c r="AA11" s="22">
        <v>7.3</v>
      </c>
      <c r="AB11" s="208"/>
      <c r="AC11" s="33" t="s">
        <v>20</v>
      </c>
      <c r="AD11" s="33" t="s">
        <v>21</v>
      </c>
      <c r="AE11" s="33" t="s">
        <v>22</v>
      </c>
      <c r="AF11" s="33" t="s">
        <v>23</v>
      </c>
      <c r="AG11" s="206"/>
      <c r="AH11" s="4"/>
    </row>
    <row r="12" spans="1:34" ht="13.35" customHeight="1" x14ac:dyDescent="0.25">
      <c r="B12" s="7"/>
      <c r="C12" s="8"/>
      <c r="D12" s="9">
        <v>0</v>
      </c>
      <c r="E12" s="9">
        <v>1</v>
      </c>
      <c r="F12" s="9">
        <v>2</v>
      </c>
      <c r="G12" s="9" t="s">
        <v>24</v>
      </c>
      <c r="H12" s="9" t="s">
        <v>25</v>
      </c>
      <c r="I12" s="9" t="s">
        <v>26</v>
      </c>
      <c r="J12" s="9" t="s">
        <v>27</v>
      </c>
      <c r="K12" s="25" t="s">
        <v>60</v>
      </c>
      <c r="L12" s="9" t="s">
        <v>61</v>
      </c>
      <c r="M12" s="9" t="s">
        <v>61</v>
      </c>
      <c r="N12" s="9" t="s">
        <v>62</v>
      </c>
      <c r="O12" s="9" t="s">
        <v>63</v>
      </c>
      <c r="P12" s="9" t="s">
        <v>63</v>
      </c>
      <c r="Q12" s="9" t="s">
        <v>63</v>
      </c>
      <c r="R12" s="9">
        <v>9</v>
      </c>
      <c r="S12" s="31" t="s">
        <v>161</v>
      </c>
      <c r="T12" s="31" t="s">
        <v>162</v>
      </c>
      <c r="U12" s="31" t="s">
        <v>163</v>
      </c>
      <c r="V12" s="31" t="s">
        <v>164</v>
      </c>
      <c r="W12" s="31" t="s">
        <v>64</v>
      </c>
      <c r="X12" s="9" t="s">
        <v>65</v>
      </c>
      <c r="Y12" s="9" t="s">
        <v>66</v>
      </c>
      <c r="Z12" s="9" t="s">
        <v>67</v>
      </c>
      <c r="AA12" s="9" t="s">
        <v>246</v>
      </c>
      <c r="AB12" s="9" t="s">
        <v>240</v>
      </c>
      <c r="AC12" s="9">
        <v>16</v>
      </c>
      <c r="AD12" s="31" t="s">
        <v>158</v>
      </c>
      <c r="AE12" s="31" t="s">
        <v>159</v>
      </c>
      <c r="AF12" s="31" t="s">
        <v>160</v>
      </c>
      <c r="AG12" s="9">
        <v>17</v>
      </c>
      <c r="AH12" s="4"/>
    </row>
    <row r="13" spans="1:34" ht="13.35" customHeight="1" x14ac:dyDescent="0.25">
      <c r="A13" s="1" t="s">
        <v>165</v>
      </c>
      <c r="B13" s="10">
        <v>1</v>
      </c>
      <c r="C13" s="36" t="s">
        <v>69</v>
      </c>
      <c r="D13" s="36">
        <v>2</v>
      </c>
      <c r="E13" s="12">
        <v>83.13</v>
      </c>
      <c r="F13" s="128">
        <f t="shared" ref="F13:F19" si="0">E13*2652.48+0.4025</f>
        <v>220501.0649</v>
      </c>
      <c r="G13" s="128">
        <f t="shared" ref="G13:G19" si="1">F13/60</f>
        <v>3675.0177483333332</v>
      </c>
      <c r="H13" s="128">
        <f>F13*1.5%</f>
        <v>3307.5159734999997</v>
      </c>
      <c r="I13" s="128">
        <v>0</v>
      </c>
      <c r="J13" s="128">
        <f>G13+H13+I13+0.01</f>
        <v>6982.5437218333336</v>
      </c>
      <c r="K13" s="128">
        <f>+J13/12</f>
        <v>581.87864348611117</v>
      </c>
      <c r="L13" s="128"/>
      <c r="M13" s="128">
        <f t="shared" ref="M13:M19" si="2">+J13*(100%+5.6%)</f>
        <v>7373.566170256001</v>
      </c>
      <c r="N13" s="128">
        <f>+K13*N11</f>
        <v>407.31505044027779</v>
      </c>
      <c r="O13" s="128">
        <f>+N13*O11</f>
        <v>325.85204035222228</v>
      </c>
      <c r="P13" s="128">
        <f>+N13*P11</f>
        <v>366.58354539625003</v>
      </c>
      <c r="Q13" s="128">
        <f>+N13*Q11</f>
        <v>407.31505044027779</v>
      </c>
      <c r="R13" s="128">
        <v>534.19000000000005</v>
      </c>
      <c r="S13" s="128">
        <f>R13*S11</f>
        <v>53.419000000000011</v>
      </c>
      <c r="T13" s="128">
        <v>0</v>
      </c>
      <c r="U13" s="128">
        <v>0</v>
      </c>
      <c r="V13" s="129">
        <v>0</v>
      </c>
      <c r="W13" s="128">
        <f>O13</f>
        <v>325.85204035222228</v>
      </c>
      <c r="X13" s="128">
        <f>W13*12-0.02</f>
        <v>3910.2044842266673</v>
      </c>
      <c r="Y13" s="128">
        <v>0</v>
      </c>
      <c r="Z13" s="128">
        <f>X13*(100+5.6)%-0.01</f>
        <v>4129.1659353433606</v>
      </c>
      <c r="AA13" s="128">
        <f>Z13*(100+7.3)%</f>
        <v>4430.595048623426</v>
      </c>
      <c r="AB13" s="128">
        <f t="shared" ref="AB13:AB19" si="3">AA13/12</f>
        <v>369.21625405195215</v>
      </c>
      <c r="AC13" s="128">
        <f>K13</f>
        <v>581.87864348611117</v>
      </c>
      <c r="AD13" s="139">
        <v>73</v>
      </c>
      <c r="AE13" s="128">
        <f>G13/12</f>
        <v>306.25147902777775</v>
      </c>
      <c r="AF13" s="130">
        <f>AE13/AC13*100</f>
        <v>52.631503571429441</v>
      </c>
      <c r="AG13" s="131">
        <f>AD13*AF13%</f>
        <v>38.420997607143491</v>
      </c>
      <c r="AH13" s="4"/>
    </row>
    <row r="14" spans="1:34" ht="13.35" customHeight="1" x14ac:dyDescent="0.25">
      <c r="A14" s="1" t="s">
        <v>166</v>
      </c>
      <c r="B14" s="10">
        <v>2</v>
      </c>
      <c r="C14" s="36" t="s">
        <v>70</v>
      </c>
      <c r="D14" s="36">
        <v>2</v>
      </c>
      <c r="E14" s="12">
        <v>84.24</v>
      </c>
      <c r="F14" s="128">
        <f t="shared" si="0"/>
        <v>223445.31769999999</v>
      </c>
      <c r="G14" s="128">
        <f t="shared" si="1"/>
        <v>3724.088628333333</v>
      </c>
      <c r="H14" s="128">
        <f t="shared" ref="H14:H19" si="4">F14*1.5%</f>
        <v>3351.6797654999996</v>
      </c>
      <c r="I14" s="128">
        <v>0</v>
      </c>
      <c r="J14" s="128">
        <f t="shared" ref="J14:J19" si="5">G14+H14+I14</f>
        <v>7075.7683938333321</v>
      </c>
      <c r="K14" s="128">
        <f>J14/12</f>
        <v>589.64736615277764</v>
      </c>
      <c r="L14" s="128"/>
      <c r="M14" s="128">
        <f t="shared" si="2"/>
        <v>7472.0114238879987</v>
      </c>
      <c r="N14" s="128">
        <f>+K14*N11</f>
        <v>412.75315630694433</v>
      </c>
      <c r="O14" s="128">
        <f>+N14*O11</f>
        <v>330.20252504555549</v>
      </c>
      <c r="P14" s="128">
        <f>+N14*P11</f>
        <v>371.47784067624991</v>
      </c>
      <c r="Q14" s="128">
        <f>+N14*Q11</f>
        <v>412.75315630694433</v>
      </c>
      <c r="R14" s="128">
        <v>3676.86</v>
      </c>
      <c r="S14" s="128">
        <v>0</v>
      </c>
      <c r="T14" s="128">
        <f>R14*T11</f>
        <v>735.37200000000007</v>
      </c>
      <c r="U14" s="128">
        <v>0</v>
      </c>
      <c r="V14" s="129">
        <v>0</v>
      </c>
      <c r="W14" s="128">
        <f>P14</f>
        <v>371.47784067624991</v>
      </c>
      <c r="X14" s="128">
        <f>W14*12+0.03</f>
        <v>4457.7640881149991</v>
      </c>
      <c r="Y14" s="128">
        <v>0</v>
      </c>
      <c r="Z14" s="128">
        <f>X14*(100+5.6)%-0.01</f>
        <v>4707.3888770494395</v>
      </c>
      <c r="AA14" s="128">
        <f>Z14*(100+7.3)%</f>
        <v>5051.0282650740482</v>
      </c>
      <c r="AB14" s="128">
        <f t="shared" si="3"/>
        <v>420.91902208950404</v>
      </c>
      <c r="AC14" s="128">
        <f t="shared" ref="AC14:AC19" si="6">K14</f>
        <v>589.64736615277764</v>
      </c>
      <c r="AD14" s="139">
        <f>AB14</f>
        <v>420.91902208950404</v>
      </c>
      <c r="AE14" s="128">
        <f t="shared" ref="AE14:AE19" si="7">G14/12</f>
        <v>310.34071902777777</v>
      </c>
      <c r="AF14" s="130">
        <f t="shared" ref="AF14:AF19" si="8">AE14/AC14*100</f>
        <v>52.631578947368432</v>
      </c>
      <c r="AG14" s="131">
        <f>AD14*AF14%-0.01</f>
        <v>221.5263274155285</v>
      </c>
      <c r="AH14" s="4"/>
    </row>
    <row r="15" spans="1:34" ht="13.35" customHeight="1" x14ac:dyDescent="0.25">
      <c r="A15" s="1" t="s">
        <v>167</v>
      </c>
      <c r="B15" s="10">
        <v>3</v>
      </c>
      <c r="C15" s="36" t="s">
        <v>72</v>
      </c>
      <c r="D15" s="36">
        <v>2</v>
      </c>
      <c r="E15" s="12">
        <v>83.6</v>
      </c>
      <c r="F15" s="128">
        <f t="shared" si="0"/>
        <v>221747.73049999998</v>
      </c>
      <c r="G15" s="128">
        <f t="shared" si="1"/>
        <v>3695.7955083333331</v>
      </c>
      <c r="H15" s="128">
        <f t="shared" si="4"/>
        <v>3326.2159574999996</v>
      </c>
      <c r="I15" s="128">
        <v>0</v>
      </c>
      <c r="J15" s="128">
        <f t="shared" si="5"/>
        <v>7022.0114658333332</v>
      </c>
      <c r="K15" s="128">
        <f t="shared" ref="K15:K19" si="9">+J15/12</f>
        <v>585.16762215277777</v>
      </c>
      <c r="L15" s="128"/>
      <c r="M15" s="128">
        <f t="shared" si="2"/>
        <v>7415.2441079199998</v>
      </c>
      <c r="N15" s="128">
        <f>+K15*N11</f>
        <v>409.61733550694441</v>
      </c>
      <c r="O15" s="128">
        <f>+N15*O11</f>
        <v>327.69386840555558</v>
      </c>
      <c r="P15" s="128">
        <f>+N15*P11</f>
        <v>368.65560195625</v>
      </c>
      <c r="Q15" s="128">
        <f>+N15*Q11</f>
        <v>409.61733550694441</v>
      </c>
      <c r="R15" s="128">
        <v>1582.81</v>
      </c>
      <c r="S15" s="128">
        <f>R15*S11</f>
        <v>158.28100000000001</v>
      </c>
      <c r="T15" s="128">
        <v>0</v>
      </c>
      <c r="U15" s="128">
        <v>0</v>
      </c>
      <c r="V15" s="129">
        <v>0</v>
      </c>
      <c r="W15" s="128">
        <f>O15</f>
        <v>327.69386840555558</v>
      </c>
      <c r="X15" s="128">
        <f>W15*12-0.05</f>
        <v>3932.2764208666667</v>
      </c>
      <c r="Y15" s="128">
        <v>0</v>
      </c>
      <c r="Z15" s="128">
        <f>X15*(100+5.6)%+0.01</f>
        <v>4152.4939004352009</v>
      </c>
      <c r="AA15" s="128">
        <f>Z15*(100+7.3)%-0.01</f>
        <v>4455.6159551669698</v>
      </c>
      <c r="AB15" s="128">
        <f t="shared" si="3"/>
        <v>371.3013295972475</v>
      </c>
      <c r="AC15" s="128">
        <f t="shared" si="6"/>
        <v>585.16762215277777</v>
      </c>
      <c r="AD15" s="139">
        <f>S15</f>
        <v>158.28100000000001</v>
      </c>
      <c r="AE15" s="128">
        <f t="shared" si="7"/>
        <v>307.98295902777778</v>
      </c>
      <c r="AF15" s="130">
        <f t="shared" si="8"/>
        <v>52.631578947368418</v>
      </c>
      <c r="AG15" s="131">
        <f>AD15*AF15%-0.01</f>
        <v>83.295789473684209</v>
      </c>
      <c r="AH15" s="4"/>
    </row>
    <row r="16" spans="1:34" ht="13.35" customHeight="1" x14ac:dyDescent="0.25">
      <c r="A16" s="1" t="s">
        <v>168</v>
      </c>
      <c r="B16" s="10">
        <v>4</v>
      </c>
      <c r="C16" s="36" t="s">
        <v>73</v>
      </c>
      <c r="D16" s="36">
        <v>2</v>
      </c>
      <c r="E16" s="12">
        <v>83.42</v>
      </c>
      <c r="F16" s="128">
        <f t="shared" si="0"/>
        <v>221270.28409999999</v>
      </c>
      <c r="G16" s="128">
        <f t="shared" si="1"/>
        <v>3687.838068333333</v>
      </c>
      <c r="H16" s="128">
        <f t="shared" si="4"/>
        <v>3319.0542614999999</v>
      </c>
      <c r="I16" s="128">
        <v>0</v>
      </c>
      <c r="J16" s="128">
        <f t="shared" si="5"/>
        <v>7006.892329833333</v>
      </c>
      <c r="K16" s="128">
        <f t="shared" si="9"/>
        <v>583.90769415277771</v>
      </c>
      <c r="L16" s="128"/>
      <c r="M16" s="128">
        <f t="shared" si="2"/>
        <v>7399.2783003040004</v>
      </c>
      <c r="N16" s="128">
        <f>+K16*N11</f>
        <v>408.73538590694437</v>
      </c>
      <c r="O16" s="128">
        <f>+N16*O11</f>
        <v>326.9883087255555</v>
      </c>
      <c r="P16" s="128">
        <f>+N16*P11</f>
        <v>367.86184731624996</v>
      </c>
      <c r="Q16" s="128">
        <f>+N16*Q11</f>
        <v>408.73538590694437</v>
      </c>
      <c r="R16" s="139" t="s">
        <v>251</v>
      </c>
      <c r="S16" s="139">
        <v>0</v>
      </c>
      <c r="T16" s="139">
        <v>0</v>
      </c>
      <c r="U16" s="139">
        <v>0</v>
      </c>
      <c r="V16" s="140">
        <v>0</v>
      </c>
      <c r="W16" s="139">
        <f>N16</f>
        <v>408.73538590694437</v>
      </c>
      <c r="X16" s="139">
        <f>W16*12+0.06</f>
        <v>4904.8846308833326</v>
      </c>
      <c r="Y16" s="139">
        <v>0</v>
      </c>
      <c r="Z16" s="139">
        <f>X16*(100+5.6)%-0.01</f>
        <v>5179.5481702127991</v>
      </c>
      <c r="AA16" s="139">
        <f>Z16*(100+7.3)%</f>
        <v>5557.6551866383334</v>
      </c>
      <c r="AB16" s="139">
        <f t="shared" si="3"/>
        <v>463.13793221986111</v>
      </c>
      <c r="AC16" s="139">
        <f t="shared" si="6"/>
        <v>583.90769415277771</v>
      </c>
      <c r="AD16" s="139">
        <f>AB16</f>
        <v>463.13793221986111</v>
      </c>
      <c r="AE16" s="139">
        <f t="shared" si="7"/>
        <v>307.31983902777773</v>
      </c>
      <c r="AF16" s="141">
        <f t="shared" si="8"/>
        <v>52.631578947368418</v>
      </c>
      <c r="AG16" s="131">
        <f>AD16*AF16%-0.01</f>
        <v>243.74680643150583</v>
      </c>
      <c r="AH16" s="4"/>
    </row>
    <row r="17" spans="1:34" ht="13.35" customHeight="1" x14ac:dyDescent="0.25">
      <c r="A17" s="1" t="s">
        <v>169</v>
      </c>
      <c r="B17" s="10">
        <v>5</v>
      </c>
      <c r="C17" s="36" t="s">
        <v>74</v>
      </c>
      <c r="D17" s="36">
        <v>2</v>
      </c>
      <c r="E17" s="12">
        <v>84.38</v>
      </c>
      <c r="F17" s="128">
        <f t="shared" si="0"/>
        <v>223816.66489999997</v>
      </c>
      <c r="G17" s="128">
        <f t="shared" si="1"/>
        <v>3730.277748333333</v>
      </c>
      <c r="H17" s="128">
        <f t="shared" si="4"/>
        <v>3357.2499734999997</v>
      </c>
      <c r="I17" s="128">
        <v>0</v>
      </c>
      <c r="J17" s="128">
        <f t="shared" si="5"/>
        <v>7087.5277218333322</v>
      </c>
      <c r="K17" s="128">
        <f t="shared" si="9"/>
        <v>590.62731015277768</v>
      </c>
      <c r="L17" s="128"/>
      <c r="M17" s="128">
        <f t="shared" si="2"/>
        <v>7484.4292742559992</v>
      </c>
      <c r="N17" s="128">
        <f>K17*N11</f>
        <v>413.43911710694437</v>
      </c>
      <c r="O17" s="128">
        <f>+N17*O11</f>
        <v>330.75129368555554</v>
      </c>
      <c r="P17" s="128">
        <f>+N17*P11</f>
        <v>372.09520539624992</v>
      </c>
      <c r="Q17" s="128">
        <f>+N17*Q11</f>
        <v>413.43911710694437</v>
      </c>
      <c r="R17" s="128">
        <v>934.67</v>
      </c>
      <c r="S17" s="128">
        <f>R17*S11</f>
        <v>93.466999999999999</v>
      </c>
      <c r="T17" s="128">
        <v>0</v>
      </c>
      <c r="U17" s="128">
        <v>0</v>
      </c>
      <c r="V17" s="129">
        <v>0</v>
      </c>
      <c r="W17" s="128">
        <f>O17</f>
        <v>330.75129368555554</v>
      </c>
      <c r="X17" s="128">
        <f>W17*12-0.02</f>
        <v>3968.9955242266665</v>
      </c>
      <c r="Y17" s="128">
        <v>0</v>
      </c>
      <c r="Z17" s="128">
        <f>X17*(100+5.6)%</f>
        <v>4191.2592735833596</v>
      </c>
      <c r="AA17" s="128">
        <f>Z17*(100+7.3)%</f>
        <v>4497.2212005549445</v>
      </c>
      <c r="AB17" s="128">
        <f t="shared" si="3"/>
        <v>374.76843337957871</v>
      </c>
      <c r="AC17" s="128">
        <f t="shared" si="6"/>
        <v>590.62731015277768</v>
      </c>
      <c r="AD17" s="139">
        <f>S17</f>
        <v>93.466999999999999</v>
      </c>
      <c r="AE17" s="128">
        <f t="shared" si="7"/>
        <v>310.85647902777777</v>
      </c>
      <c r="AF17" s="130">
        <f t="shared" si="8"/>
        <v>52.631578947368432</v>
      </c>
      <c r="AG17" s="131">
        <f t="shared" ref="AG17:AG19" si="10">AD17*AF17%</f>
        <v>49.193157894736849</v>
      </c>
      <c r="AH17" s="4"/>
    </row>
    <row r="18" spans="1:34" ht="13.35" customHeight="1" x14ac:dyDescent="0.25">
      <c r="A18" s="1" t="s">
        <v>170</v>
      </c>
      <c r="B18" s="10">
        <v>6</v>
      </c>
      <c r="C18" s="36" t="s">
        <v>75</v>
      </c>
      <c r="D18" s="36">
        <v>2</v>
      </c>
      <c r="E18" s="12">
        <v>84.7</v>
      </c>
      <c r="F18" s="128">
        <f t="shared" si="0"/>
        <v>224665.45850000001</v>
      </c>
      <c r="G18" s="128">
        <f t="shared" si="1"/>
        <v>3744.4243083333336</v>
      </c>
      <c r="H18" s="128">
        <f t="shared" si="4"/>
        <v>3369.9818774999999</v>
      </c>
      <c r="I18" s="128">
        <v>0</v>
      </c>
      <c r="J18" s="128">
        <f t="shared" si="5"/>
        <v>7114.4061858333334</v>
      </c>
      <c r="K18" s="128">
        <f t="shared" si="9"/>
        <v>592.86718215277779</v>
      </c>
      <c r="L18" s="128"/>
      <c r="M18" s="128">
        <f t="shared" si="2"/>
        <v>7512.8129322400009</v>
      </c>
      <c r="N18" s="128">
        <f>+K18*N11</f>
        <v>415.00702750694444</v>
      </c>
      <c r="O18" s="128">
        <f>+N18*O11</f>
        <v>332.00562200555555</v>
      </c>
      <c r="P18" s="128">
        <f>+N18*P11</f>
        <v>373.50632475625002</v>
      </c>
      <c r="Q18" s="128">
        <f>+N18*Q11</f>
        <v>415.00702750694444</v>
      </c>
      <c r="R18" s="128">
        <v>3490.81</v>
      </c>
      <c r="S18" s="128">
        <v>0</v>
      </c>
      <c r="T18" s="128">
        <f>R18*T11</f>
        <v>698.16200000000003</v>
      </c>
      <c r="U18" s="128">
        <v>0</v>
      </c>
      <c r="V18" s="129">
        <v>0</v>
      </c>
      <c r="W18" s="128">
        <f>P18</f>
        <v>373.50632475625002</v>
      </c>
      <c r="X18" s="128">
        <f>W18*12+0.04</f>
        <v>4482.1158970750002</v>
      </c>
      <c r="Y18" s="128">
        <v>0</v>
      </c>
      <c r="Z18" s="128">
        <f>X18*(100+5.6)%+0.01</f>
        <v>4733.1243873112007</v>
      </c>
      <c r="AA18" s="128">
        <f>Z18*(100+7.3)%</f>
        <v>5078.6424675849184</v>
      </c>
      <c r="AB18" s="128">
        <f t="shared" si="3"/>
        <v>423.22020563207656</v>
      </c>
      <c r="AC18" s="128">
        <f t="shared" si="6"/>
        <v>592.86718215277779</v>
      </c>
      <c r="AD18" s="139">
        <f>AB18</f>
        <v>423.22020563207656</v>
      </c>
      <c r="AE18" s="128">
        <f t="shared" si="7"/>
        <v>312.03535902777782</v>
      </c>
      <c r="AF18" s="130">
        <f t="shared" si="8"/>
        <v>52.631578947368432</v>
      </c>
      <c r="AG18" s="131">
        <f>AD18*AF18%-0.01</f>
        <v>222.73747664846138</v>
      </c>
      <c r="AH18" s="4"/>
    </row>
    <row r="19" spans="1:34" ht="13.35" customHeight="1" x14ac:dyDescent="0.25">
      <c r="A19" s="1" t="s">
        <v>171</v>
      </c>
      <c r="B19" s="10">
        <v>7</v>
      </c>
      <c r="C19" s="36" t="s">
        <v>76</v>
      </c>
      <c r="D19" s="36">
        <v>2</v>
      </c>
      <c r="E19" s="12">
        <v>84.53</v>
      </c>
      <c r="F19" s="128">
        <f t="shared" si="0"/>
        <v>224214.53690000001</v>
      </c>
      <c r="G19" s="128">
        <f t="shared" si="1"/>
        <v>3736.9089483333332</v>
      </c>
      <c r="H19" s="128">
        <f t="shared" si="4"/>
        <v>3363.2180534999998</v>
      </c>
      <c r="I19" s="128">
        <v>0</v>
      </c>
      <c r="J19" s="128">
        <f t="shared" si="5"/>
        <v>7100.1270018333325</v>
      </c>
      <c r="K19" s="128">
        <f t="shared" si="9"/>
        <v>591.67725015277767</v>
      </c>
      <c r="L19" s="128"/>
      <c r="M19" s="128">
        <f t="shared" si="2"/>
        <v>7497.7341139359996</v>
      </c>
      <c r="N19" s="128">
        <f>+K19*N11</f>
        <v>414.17407510694437</v>
      </c>
      <c r="O19" s="128">
        <f>+N19*O11</f>
        <v>331.33926008555551</v>
      </c>
      <c r="P19" s="128">
        <v>369.06</v>
      </c>
      <c r="Q19" s="128">
        <f>+N19*Q11</f>
        <v>414.17407510694437</v>
      </c>
      <c r="R19" s="128">
        <v>1586.25</v>
      </c>
      <c r="S19" s="128">
        <f>R19*S11</f>
        <v>158.625</v>
      </c>
      <c r="T19" s="128">
        <v>0</v>
      </c>
      <c r="U19" s="128">
        <v>0</v>
      </c>
      <c r="V19" s="129">
        <v>0</v>
      </c>
      <c r="W19" s="128">
        <f>O19</f>
        <v>331.33926008555551</v>
      </c>
      <c r="X19" s="128">
        <f>W19*12+0.01</f>
        <v>3976.0811210266666</v>
      </c>
      <c r="Y19" s="128">
        <v>0</v>
      </c>
      <c r="Z19" s="128">
        <f>X19*(100+5.6)%</f>
        <v>4198.7416638041605</v>
      </c>
      <c r="AA19" s="128">
        <f>Z19*(100+7.3)%</f>
        <v>4505.2498052618639</v>
      </c>
      <c r="AB19" s="128">
        <f t="shared" si="3"/>
        <v>375.43748377182197</v>
      </c>
      <c r="AC19" s="128">
        <f t="shared" si="6"/>
        <v>591.67725015277767</v>
      </c>
      <c r="AD19" s="139">
        <f>S19</f>
        <v>158.625</v>
      </c>
      <c r="AE19" s="128">
        <f t="shared" si="7"/>
        <v>311.40907902777775</v>
      </c>
      <c r="AF19" s="130">
        <f t="shared" si="8"/>
        <v>52.631578947368432</v>
      </c>
      <c r="AG19" s="131">
        <f t="shared" si="10"/>
        <v>83.486842105263165</v>
      </c>
      <c r="AH19" s="4"/>
    </row>
    <row r="20" spans="1:34" ht="13.35" customHeight="1" x14ac:dyDescent="0.25">
      <c r="B20" s="176"/>
      <c r="C20" s="249" t="s">
        <v>77</v>
      </c>
      <c r="D20" s="249"/>
      <c r="E20" s="177">
        <f>+E19+E18+E17+E16+E15++E14+E13</f>
        <v>588</v>
      </c>
      <c r="F20" s="175">
        <f>SUM(F13:F19)-0.01</f>
        <v>1559661.0474999999</v>
      </c>
      <c r="G20" s="175">
        <f>SUM(G13:G19)+0.01</f>
        <v>25994.360958333331</v>
      </c>
      <c r="H20" s="175">
        <f>SUM(H13:H19)</f>
        <v>23394.915862499998</v>
      </c>
      <c r="I20" s="175">
        <v>0</v>
      </c>
      <c r="J20" s="175">
        <f>SUM(J13:J19)</f>
        <v>49389.276820833329</v>
      </c>
      <c r="K20" s="175">
        <f>SUM(K13:K19)+0.02</f>
        <v>4115.7930684027779</v>
      </c>
      <c r="L20" s="175"/>
      <c r="M20" s="175">
        <f>SUM(M13:M19)</f>
        <v>52155.0763228</v>
      </c>
      <c r="N20" s="175">
        <f>SUM(N13:N19)+0.01</f>
        <v>2881.051147881944</v>
      </c>
      <c r="O20" s="175">
        <f>SUM(O13:O19)</f>
        <v>2304.8329183055557</v>
      </c>
      <c r="P20" s="175">
        <f>SUM(P13:P19)+0.01</f>
        <v>2589.2503654974998</v>
      </c>
      <c r="Q20" s="175">
        <f>SUM(Q13:Q19)+0.01</f>
        <v>2881.051147881944</v>
      </c>
      <c r="R20" s="175"/>
      <c r="S20" s="175">
        <f>SUM(S13:S19)+0.01</f>
        <v>463.80200000000002</v>
      </c>
      <c r="T20" s="175">
        <f t="shared" ref="T20:U20" si="11">SUM(T13:T19)</f>
        <v>1433.5340000000001</v>
      </c>
      <c r="U20" s="175">
        <f t="shared" si="11"/>
        <v>0</v>
      </c>
      <c r="V20" s="175">
        <f>SUM(V13:V19)</f>
        <v>0</v>
      </c>
      <c r="W20" s="175">
        <f t="shared" ref="W20" si="12">SUM(W11:W19)</f>
        <v>2469.3560138683329</v>
      </c>
      <c r="X20" s="175">
        <f t="shared" ref="X20:AE20" si="13">SUM(X13:X19)</f>
        <v>29632.322166419995</v>
      </c>
      <c r="Y20" s="175">
        <f t="shared" si="13"/>
        <v>0</v>
      </c>
      <c r="Z20" s="175">
        <f t="shared" si="13"/>
        <v>31291.72220773952</v>
      </c>
      <c r="AA20" s="175">
        <f>SUM(AA13:AA19)+0.01</f>
        <v>33576.017928904505</v>
      </c>
      <c r="AB20" s="175">
        <f>SUM(AB13:AB19)+0.01</f>
        <v>2798.0106607420421</v>
      </c>
      <c r="AC20" s="175">
        <f>SUM(AC13:AC19)+0.02</f>
        <v>4115.7930684027779</v>
      </c>
      <c r="AD20" s="175">
        <f>SUM(AD13:AD19)+0.01</f>
        <v>1790.6601599414419</v>
      </c>
      <c r="AE20" s="175">
        <f t="shared" si="13"/>
        <v>2166.1959131944445</v>
      </c>
      <c r="AF20" s="175">
        <f>SUM(AF13:AF19)-0.01</f>
        <v>368.41097725564003</v>
      </c>
      <c r="AG20" s="175">
        <f>SUM(AG13:AG19)+0.01</f>
        <v>942.41739757632331</v>
      </c>
      <c r="AH20" s="4"/>
    </row>
    <row r="21" spans="1:34" x14ac:dyDescent="0.25">
      <c r="B21" s="4"/>
      <c r="C21" s="174"/>
      <c r="D21" s="174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4"/>
    </row>
    <row r="22" spans="1:34" x14ac:dyDescent="0.25">
      <c r="B22" s="4"/>
      <c r="C22" s="126"/>
      <c r="D22" s="17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4"/>
    </row>
    <row r="23" spans="1:34" x14ac:dyDescent="0.25">
      <c r="B23" s="4"/>
      <c r="C23" s="174"/>
      <c r="D23" s="174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4"/>
    </row>
    <row r="24" spans="1:34" x14ac:dyDescent="0.25">
      <c r="B24" s="4"/>
      <c r="C24" s="174"/>
      <c r="D24" s="17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4"/>
    </row>
    <row r="25" spans="1:34" x14ac:dyDescent="0.25">
      <c r="B25" s="4"/>
      <c r="C25" s="174"/>
      <c r="D25" s="174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4"/>
    </row>
    <row r="26" spans="1:34" ht="12.95" customHeight="1" x14ac:dyDescent="0.25">
      <c r="B26" s="4"/>
      <c r="C26" s="233"/>
      <c r="D26" s="233"/>
      <c r="E26" s="4"/>
      <c r="F26" s="4"/>
      <c r="G26" s="4"/>
      <c r="H26" s="4"/>
      <c r="I26" s="4"/>
      <c r="J26" s="2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B27" s="3"/>
      <c r="C27" s="4"/>
      <c r="D27" s="5" t="s">
        <v>42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B28" s="3"/>
      <c r="C28" s="4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23.75" customHeight="1" x14ac:dyDescent="0.25">
      <c r="B29" s="215" t="s">
        <v>1</v>
      </c>
      <c r="C29" s="217" t="s">
        <v>56</v>
      </c>
      <c r="D29" s="209" t="s">
        <v>3</v>
      </c>
      <c r="E29" s="209" t="s">
        <v>4</v>
      </c>
      <c r="F29" s="209" t="s">
        <v>5</v>
      </c>
      <c r="G29" s="209" t="s">
        <v>6</v>
      </c>
      <c r="H29" s="209" t="s">
        <v>7</v>
      </c>
      <c r="I29" s="209" t="s">
        <v>8</v>
      </c>
      <c r="J29" s="209" t="s">
        <v>9</v>
      </c>
      <c r="K29" s="209" t="s">
        <v>57</v>
      </c>
      <c r="L29" s="22" t="s">
        <v>10</v>
      </c>
      <c r="M29" s="22" t="s">
        <v>10</v>
      </c>
      <c r="N29" s="22" t="s">
        <v>12</v>
      </c>
      <c r="O29" s="211" t="s">
        <v>13</v>
      </c>
      <c r="P29" s="212"/>
      <c r="Q29" s="213"/>
      <c r="R29" s="209" t="s">
        <v>14</v>
      </c>
      <c r="S29" s="225" t="s">
        <v>58</v>
      </c>
      <c r="T29" s="226"/>
      <c r="U29" s="226"/>
      <c r="V29" s="227"/>
      <c r="W29" s="207" t="s">
        <v>21</v>
      </c>
      <c r="X29" s="209" t="s">
        <v>9</v>
      </c>
      <c r="Y29" s="22" t="s">
        <v>242</v>
      </c>
      <c r="Z29" s="22" t="s">
        <v>243</v>
      </c>
      <c r="AA29" s="22" t="s">
        <v>156</v>
      </c>
      <c r="AB29" s="207" t="s">
        <v>59</v>
      </c>
      <c r="AC29" s="228" t="s">
        <v>18</v>
      </c>
      <c r="AD29" s="229"/>
      <c r="AE29" s="229"/>
      <c r="AF29" s="229"/>
      <c r="AG29" s="205" t="s">
        <v>19</v>
      </c>
      <c r="AH29" s="4"/>
    </row>
    <row r="30" spans="1:34" ht="42" customHeight="1" x14ac:dyDescent="0.25">
      <c r="B30" s="216"/>
      <c r="C30" s="218"/>
      <c r="D30" s="210"/>
      <c r="E30" s="210"/>
      <c r="F30" s="210"/>
      <c r="G30" s="210"/>
      <c r="H30" s="210"/>
      <c r="I30" s="210"/>
      <c r="J30" s="210"/>
      <c r="K30" s="210"/>
      <c r="L30" s="22">
        <v>5.6</v>
      </c>
      <c r="M30" s="22">
        <v>5.6</v>
      </c>
      <c r="N30" s="22">
        <v>0.7</v>
      </c>
      <c r="O30" s="23">
        <v>0.8</v>
      </c>
      <c r="P30" s="24">
        <v>0.9</v>
      </c>
      <c r="Q30" s="28">
        <v>1</v>
      </c>
      <c r="R30" s="210"/>
      <c r="S30" s="29">
        <v>0.1</v>
      </c>
      <c r="T30" s="30">
        <v>0.2</v>
      </c>
      <c r="U30" s="30">
        <v>0.3</v>
      </c>
      <c r="V30" s="30">
        <v>0.1</v>
      </c>
      <c r="W30" s="208"/>
      <c r="X30" s="210"/>
      <c r="Y30" s="22">
        <v>10.4</v>
      </c>
      <c r="Z30" s="22">
        <v>5.6</v>
      </c>
      <c r="AA30" s="22">
        <v>7.3</v>
      </c>
      <c r="AB30" s="208"/>
      <c r="AC30" s="33" t="s">
        <v>20</v>
      </c>
      <c r="AD30" s="33" t="s">
        <v>21</v>
      </c>
      <c r="AE30" s="33" t="s">
        <v>22</v>
      </c>
      <c r="AF30" s="33" t="s">
        <v>23</v>
      </c>
      <c r="AG30" s="206"/>
      <c r="AH30" s="4"/>
    </row>
    <row r="31" spans="1:34" x14ac:dyDescent="0.25">
      <c r="B31" s="7"/>
      <c r="C31" s="8"/>
      <c r="D31" s="9">
        <v>0</v>
      </c>
      <c r="E31" s="9">
        <v>1</v>
      </c>
      <c r="F31" s="9">
        <v>2</v>
      </c>
      <c r="G31" s="9" t="s">
        <v>24</v>
      </c>
      <c r="H31" s="9" t="s">
        <v>25</v>
      </c>
      <c r="I31" s="9" t="s">
        <v>26</v>
      </c>
      <c r="J31" s="9" t="s">
        <v>27</v>
      </c>
      <c r="K31" s="25" t="s">
        <v>60</v>
      </c>
      <c r="L31" s="9" t="s">
        <v>61</v>
      </c>
      <c r="M31" s="9" t="s">
        <v>61</v>
      </c>
      <c r="N31" s="9" t="s">
        <v>62</v>
      </c>
      <c r="O31" s="9" t="s">
        <v>63</v>
      </c>
      <c r="P31" s="9" t="s">
        <v>63</v>
      </c>
      <c r="Q31" s="9" t="s">
        <v>63</v>
      </c>
      <c r="R31" s="9">
        <v>9</v>
      </c>
      <c r="S31" s="31" t="s">
        <v>161</v>
      </c>
      <c r="T31" s="31" t="s">
        <v>162</v>
      </c>
      <c r="U31" s="31" t="s">
        <v>163</v>
      </c>
      <c r="V31" s="31" t="s">
        <v>164</v>
      </c>
      <c r="W31" s="31" t="s">
        <v>64</v>
      </c>
      <c r="X31" s="9" t="s">
        <v>65</v>
      </c>
      <c r="Y31" s="9" t="s">
        <v>66</v>
      </c>
      <c r="Z31" s="9" t="s">
        <v>67</v>
      </c>
      <c r="AA31" s="9" t="s">
        <v>246</v>
      </c>
      <c r="AB31" s="9" t="s">
        <v>240</v>
      </c>
      <c r="AC31" s="9">
        <v>16</v>
      </c>
      <c r="AD31" s="31" t="s">
        <v>158</v>
      </c>
      <c r="AE31" s="31" t="s">
        <v>159</v>
      </c>
      <c r="AF31" s="31" t="s">
        <v>160</v>
      </c>
      <c r="AG31" s="9">
        <v>17</v>
      </c>
      <c r="AH31" s="4"/>
    </row>
    <row r="32" spans="1:34" ht="13.15" customHeight="1" x14ac:dyDescent="0.25">
      <c r="A32" s="1" t="s">
        <v>172</v>
      </c>
      <c r="B32" s="10">
        <v>1</v>
      </c>
      <c r="C32" s="36" t="s">
        <v>78</v>
      </c>
      <c r="D32" s="36">
        <v>2</v>
      </c>
      <c r="E32" s="43">
        <v>76.97</v>
      </c>
      <c r="F32" s="128">
        <f>E32*2652.48+0.4025</f>
        <v>204161.78810000001</v>
      </c>
      <c r="G32" s="128">
        <f>F32/60</f>
        <v>3402.6964683333335</v>
      </c>
      <c r="H32" s="128">
        <f>F32*1.5%</f>
        <v>3062.4268215000002</v>
      </c>
      <c r="I32" s="128">
        <f>F32*0.5%</f>
        <v>1020.8089405000001</v>
      </c>
      <c r="J32" s="128">
        <f>G32+H32+I32</f>
        <v>7485.9322303333338</v>
      </c>
      <c r="K32" s="128">
        <f>+J32/12</f>
        <v>623.82768586111115</v>
      </c>
      <c r="L32" s="128"/>
      <c r="M32" s="128">
        <f>+J32*(100%*5.65%)</f>
        <v>422.95517101383336</v>
      </c>
      <c r="N32" s="128">
        <f>+K32*N30</f>
        <v>436.67938010277777</v>
      </c>
      <c r="O32" s="128">
        <f>+N32*O30</f>
        <v>349.34350408222224</v>
      </c>
      <c r="P32" s="128">
        <f>+N32*P30</f>
        <v>393.01144209249998</v>
      </c>
      <c r="Q32" s="128">
        <f>+N32*Q30</f>
        <v>436.67938010277777</v>
      </c>
      <c r="R32" s="128">
        <v>944.46</v>
      </c>
      <c r="S32" s="128">
        <f>R32*S30</f>
        <v>94.446000000000012</v>
      </c>
      <c r="T32" s="128">
        <v>0</v>
      </c>
      <c r="U32" s="128">
        <v>0</v>
      </c>
      <c r="V32" s="128">
        <v>0</v>
      </c>
      <c r="W32" s="128">
        <f>O32</f>
        <v>349.34350408222224</v>
      </c>
      <c r="X32" s="128">
        <f>W32*12-0.04</f>
        <v>4192.0820489866665</v>
      </c>
      <c r="Y32" s="128">
        <v>0</v>
      </c>
      <c r="Z32" s="128">
        <f t="shared" ref="Z32:Z38" si="14">X32*(100+5.6)%</f>
        <v>4426.8386437299196</v>
      </c>
      <c r="AA32" s="128">
        <f>Z32*(100+7.3)%</f>
        <v>4749.9978647222033</v>
      </c>
      <c r="AB32" s="128">
        <f t="shared" ref="AB32:AB40" si="15">AA32/12</f>
        <v>395.83315539351696</v>
      </c>
      <c r="AC32" s="128">
        <f>K32</f>
        <v>623.82768586111115</v>
      </c>
      <c r="AD32" s="139">
        <f>S32</f>
        <v>94.446000000000012</v>
      </c>
      <c r="AE32" s="128">
        <f t="shared" ref="AE32:AE40" si="16">G32/12</f>
        <v>283.5580390277778</v>
      </c>
      <c r="AF32" s="130">
        <f>AE32/AC32*100</f>
        <v>45.454545454545453</v>
      </c>
      <c r="AG32" s="131">
        <f>AD32*AF32%</f>
        <v>42.930000000000007</v>
      </c>
      <c r="AH32" s="4"/>
    </row>
    <row r="33" spans="1:34" ht="12" customHeight="1" x14ac:dyDescent="0.25">
      <c r="A33" s="1" t="s">
        <v>173</v>
      </c>
      <c r="B33" s="10">
        <v>2</v>
      </c>
      <c r="C33" s="36" t="s">
        <v>79</v>
      </c>
      <c r="D33" s="36">
        <v>2</v>
      </c>
      <c r="E33" s="43">
        <v>77.83</v>
      </c>
      <c r="F33" s="128">
        <f>E33*2652.48+0.4025+0.01</f>
        <v>206442.93090000001</v>
      </c>
      <c r="G33" s="128">
        <f t="shared" ref="G33:G40" si="17">F33/60</f>
        <v>3440.7155150000003</v>
      </c>
      <c r="H33" s="128">
        <f t="shared" ref="H33:H40" si="18">F33*1.5%</f>
        <v>3096.6439635000002</v>
      </c>
      <c r="I33" s="128">
        <f t="shared" ref="I33:I40" si="19">F33*0.5%</f>
        <v>1032.2146545000001</v>
      </c>
      <c r="J33" s="128">
        <f t="shared" ref="J33:J40" si="20">G33+H33+I33</f>
        <v>7569.5741330000001</v>
      </c>
      <c r="K33" s="128">
        <f t="shared" ref="K33:K40" si="21">+J33/12</f>
        <v>630.79784441666663</v>
      </c>
      <c r="L33" s="128"/>
      <c r="M33" s="128">
        <f t="shared" ref="M33:M40" si="22">+J33*(100%*5.65%)</f>
        <v>427.68093851450004</v>
      </c>
      <c r="N33" s="128">
        <f>+K33*N30</f>
        <v>441.55849109166661</v>
      </c>
      <c r="O33" s="128">
        <f>+N33*O30</f>
        <v>353.24679287333333</v>
      </c>
      <c r="P33" s="128">
        <f>+N33*P30</f>
        <v>397.40264198249997</v>
      </c>
      <c r="Q33" s="128">
        <f>+N33*Q30</f>
        <v>441.55849109166661</v>
      </c>
      <c r="R33" s="145" t="s">
        <v>245</v>
      </c>
      <c r="S33" s="145">
        <v>0</v>
      </c>
      <c r="T33" s="145">
        <v>0</v>
      </c>
      <c r="U33" s="145">
        <v>0</v>
      </c>
      <c r="V33" s="145">
        <v>257.39999999999998</v>
      </c>
      <c r="W33" s="145">
        <v>257.39999999999998</v>
      </c>
      <c r="X33" s="145">
        <f>W33*12</f>
        <v>3088.7999999999997</v>
      </c>
      <c r="Y33" s="145">
        <v>0</v>
      </c>
      <c r="Z33" s="145">
        <f t="shared" si="14"/>
        <v>3261.7727999999997</v>
      </c>
      <c r="AA33" s="145">
        <f>Z33*(100+7.3)%</f>
        <v>3499.8822143999996</v>
      </c>
      <c r="AB33" s="145">
        <f t="shared" si="15"/>
        <v>291.65685119999995</v>
      </c>
      <c r="AC33" s="145">
        <f>K33</f>
        <v>630.79784441666663</v>
      </c>
      <c r="AD33" s="139">
        <f>W33</f>
        <v>257.39999999999998</v>
      </c>
      <c r="AE33" s="128">
        <f t="shared" si="16"/>
        <v>286.72629291666669</v>
      </c>
      <c r="AF33" s="130">
        <f t="shared" ref="AF33:AF40" si="23">AE33/AC33*100</f>
        <v>45.45454545454546</v>
      </c>
      <c r="AG33" s="131">
        <f>AD33*AF33%-0.01</f>
        <v>116.99</v>
      </c>
      <c r="AH33" s="4"/>
    </row>
    <row r="34" spans="1:34" ht="12" customHeight="1" x14ac:dyDescent="0.25">
      <c r="A34" s="1" t="s">
        <v>174</v>
      </c>
      <c r="B34" s="10">
        <v>3</v>
      </c>
      <c r="C34" s="36" t="s">
        <v>80</v>
      </c>
      <c r="D34" s="36">
        <v>2</v>
      </c>
      <c r="E34" s="43">
        <v>76.97</v>
      </c>
      <c r="F34" s="128">
        <f>E34*2652.48+0.4025+0.01</f>
        <v>204161.79810000001</v>
      </c>
      <c r="G34" s="128">
        <f t="shared" si="17"/>
        <v>3402.6966350000002</v>
      </c>
      <c r="H34" s="128">
        <f t="shared" si="18"/>
        <v>3062.4269715</v>
      </c>
      <c r="I34" s="128">
        <f t="shared" si="19"/>
        <v>1020.8089905</v>
      </c>
      <c r="J34" s="128">
        <f t="shared" si="20"/>
        <v>7485.932597</v>
      </c>
      <c r="K34" s="128">
        <f t="shared" si="21"/>
        <v>623.8277164166667</v>
      </c>
      <c r="L34" s="128"/>
      <c r="M34" s="128">
        <f t="shared" si="22"/>
        <v>422.95519173050002</v>
      </c>
      <c r="N34" s="128">
        <f>+K34*N30</f>
        <v>436.67940149166668</v>
      </c>
      <c r="O34" s="128">
        <f>+N34*O30</f>
        <v>349.34352119333334</v>
      </c>
      <c r="P34" s="128">
        <f>+N34*P30</f>
        <v>393.01146134250001</v>
      </c>
      <c r="Q34" s="128">
        <f>+N34*Q30</f>
        <v>436.67940149166668</v>
      </c>
      <c r="R34" s="128">
        <v>977.47</v>
      </c>
      <c r="S34" s="128">
        <f>R34*S30</f>
        <v>97.747000000000014</v>
      </c>
      <c r="T34" s="128">
        <v>0</v>
      </c>
      <c r="U34" s="128">
        <v>0</v>
      </c>
      <c r="V34" s="128">
        <v>0</v>
      </c>
      <c r="W34" s="128">
        <f t="shared" ref="W34:W40" si="24">O34</f>
        <v>349.34352119333334</v>
      </c>
      <c r="X34" s="128">
        <f>W34*12-0.04</f>
        <v>4192.0822543200002</v>
      </c>
      <c r="Y34" s="128">
        <v>0</v>
      </c>
      <c r="Z34" s="128">
        <f t="shared" si="14"/>
        <v>4426.8388605619202</v>
      </c>
      <c r="AA34" s="128">
        <f>Z34*(100+7.3)%</f>
        <v>4749.9980973829406</v>
      </c>
      <c r="AB34" s="128">
        <f t="shared" si="15"/>
        <v>395.83317478191174</v>
      </c>
      <c r="AC34" s="128">
        <f>+K34</f>
        <v>623.8277164166667</v>
      </c>
      <c r="AD34" s="139">
        <v>97.75</v>
      </c>
      <c r="AE34" s="128">
        <f t="shared" si="16"/>
        <v>283.55805291666667</v>
      </c>
      <c r="AF34" s="130">
        <f t="shared" si="23"/>
        <v>45.454545454545453</v>
      </c>
      <c r="AG34" s="131">
        <f>AD34*AF34%</f>
        <v>44.43181818181818</v>
      </c>
      <c r="AH34" s="4"/>
    </row>
    <row r="35" spans="1:34" ht="12" customHeight="1" x14ac:dyDescent="0.25">
      <c r="A35" s="1" t="s">
        <v>175</v>
      </c>
      <c r="B35" s="10">
        <v>4</v>
      </c>
      <c r="C35" s="36" t="s">
        <v>81</v>
      </c>
      <c r="D35" s="36">
        <v>2</v>
      </c>
      <c r="E35" s="43">
        <v>76.83</v>
      </c>
      <c r="F35" s="128">
        <f t="shared" ref="F35:F40" si="25">E35*2652.48+0.4025</f>
        <v>203790.44089999999</v>
      </c>
      <c r="G35" s="128">
        <f t="shared" si="17"/>
        <v>3396.5073483333331</v>
      </c>
      <c r="H35" s="128">
        <f t="shared" si="18"/>
        <v>3056.8566134999996</v>
      </c>
      <c r="I35" s="128">
        <f t="shared" si="19"/>
        <v>1018.9522045</v>
      </c>
      <c r="J35" s="128">
        <f t="shared" si="20"/>
        <v>7472.3161663333331</v>
      </c>
      <c r="K35" s="128">
        <f t="shared" si="21"/>
        <v>622.69301386111113</v>
      </c>
      <c r="L35" s="128"/>
      <c r="M35" s="128">
        <f t="shared" si="22"/>
        <v>422.18586339783332</v>
      </c>
      <c r="N35" s="128">
        <f>+K35*N30</f>
        <v>435.88510970277775</v>
      </c>
      <c r="O35" s="128">
        <f>+N35*O30</f>
        <v>348.70808776222225</v>
      </c>
      <c r="P35" s="128">
        <f>+N35*P30</f>
        <v>392.2965987325</v>
      </c>
      <c r="Q35" s="128">
        <f>+N35*Q30</f>
        <v>435.88510970277775</v>
      </c>
      <c r="R35" s="128">
        <v>776.76</v>
      </c>
      <c r="S35" s="128">
        <f>R35*S30</f>
        <v>77.676000000000002</v>
      </c>
      <c r="T35" s="128">
        <v>0</v>
      </c>
      <c r="U35" s="128">
        <v>0</v>
      </c>
      <c r="V35" s="128">
        <v>0</v>
      </c>
      <c r="W35" s="128">
        <f t="shared" si="24"/>
        <v>348.70808776222225</v>
      </c>
      <c r="X35" s="128">
        <f>W35*12+0.02</f>
        <v>4184.5170531466674</v>
      </c>
      <c r="Y35" s="128">
        <v>0</v>
      </c>
      <c r="Z35" s="128">
        <f t="shared" si="14"/>
        <v>4418.8500081228813</v>
      </c>
      <c r="AA35" s="128">
        <f>Z35*(100+7.3)%</f>
        <v>4741.4260587158515</v>
      </c>
      <c r="AB35" s="128">
        <f t="shared" si="15"/>
        <v>395.11883822632097</v>
      </c>
      <c r="AC35" s="128">
        <f t="shared" ref="AC35:AC40" si="26">K35</f>
        <v>622.69301386111113</v>
      </c>
      <c r="AD35" s="139">
        <v>85</v>
      </c>
      <c r="AE35" s="128">
        <f t="shared" si="16"/>
        <v>283.04227902777774</v>
      </c>
      <c r="AF35" s="130">
        <f t="shared" si="23"/>
        <v>45.454545454545446</v>
      </c>
      <c r="AG35" s="131">
        <f>AD35*AF35%-0.01</f>
        <v>38.626363636363635</v>
      </c>
      <c r="AH35" s="4"/>
    </row>
    <row r="36" spans="1:34" ht="12" customHeight="1" x14ac:dyDescent="0.25">
      <c r="A36" s="1" t="s">
        <v>176</v>
      </c>
      <c r="B36" s="10">
        <v>5</v>
      </c>
      <c r="C36" s="36" t="s">
        <v>68</v>
      </c>
      <c r="D36" s="36">
        <v>2</v>
      </c>
      <c r="E36" s="12">
        <v>83.9</v>
      </c>
      <c r="F36" s="128">
        <f t="shared" si="25"/>
        <v>222543.47450000001</v>
      </c>
      <c r="G36" s="128">
        <f t="shared" si="17"/>
        <v>3709.0579083333337</v>
      </c>
      <c r="H36" s="128">
        <f t="shared" si="18"/>
        <v>3338.1521175000003</v>
      </c>
      <c r="I36" s="128">
        <f t="shared" si="19"/>
        <v>1112.7173725</v>
      </c>
      <c r="J36" s="128">
        <f t="shared" si="20"/>
        <v>8159.9273983333342</v>
      </c>
      <c r="K36" s="128">
        <f t="shared" si="21"/>
        <v>679.99394986111122</v>
      </c>
      <c r="L36" s="128"/>
      <c r="M36" s="128"/>
      <c r="N36" s="128">
        <f>K36*N30</f>
        <v>475.99576490277781</v>
      </c>
      <c r="O36" s="128">
        <f>N36*O30</f>
        <v>380.79661192222227</v>
      </c>
      <c r="P36" s="128">
        <f>N36*P30</f>
        <v>428.39618841250001</v>
      </c>
      <c r="Q36" s="128">
        <f>N36*Q30</f>
        <v>475.99576490277781</v>
      </c>
      <c r="R36" s="128">
        <v>1358.25</v>
      </c>
      <c r="S36" s="128">
        <f>R36*S30</f>
        <v>135.82500000000002</v>
      </c>
      <c r="T36" s="128">
        <v>0</v>
      </c>
      <c r="U36" s="128">
        <v>0</v>
      </c>
      <c r="V36" s="128">
        <v>0</v>
      </c>
      <c r="W36" s="128">
        <f t="shared" si="24"/>
        <v>380.79661192222227</v>
      </c>
      <c r="X36" s="128">
        <f>W36*12+0.04</f>
        <v>4569.5993430666667</v>
      </c>
      <c r="Y36" s="128">
        <v>0</v>
      </c>
      <c r="Z36" s="128">
        <f t="shared" si="14"/>
        <v>4825.4969062784003</v>
      </c>
      <c r="AA36" s="128">
        <f>Z36*(100+7.3)%</f>
        <v>5177.7581804367237</v>
      </c>
      <c r="AB36" s="128">
        <f t="shared" si="15"/>
        <v>431.47984836972699</v>
      </c>
      <c r="AC36" s="128">
        <f t="shared" si="26"/>
        <v>679.99394986111122</v>
      </c>
      <c r="AD36" s="139">
        <v>135.83000000000001</v>
      </c>
      <c r="AE36" s="128">
        <f t="shared" si="16"/>
        <v>309.08815902777781</v>
      </c>
      <c r="AF36" s="130">
        <f>AE36/AC36*100</f>
        <v>45.454545454545453</v>
      </c>
      <c r="AG36" s="131">
        <f>AD36*AF36%-0.01</f>
        <v>61.730909090909094</v>
      </c>
      <c r="AH36" s="4"/>
    </row>
    <row r="37" spans="1:34" ht="12" customHeight="1" x14ac:dyDescent="0.25">
      <c r="A37" s="1" t="s">
        <v>177</v>
      </c>
      <c r="B37" s="10">
        <v>6</v>
      </c>
      <c r="C37" s="35" t="s">
        <v>82</v>
      </c>
      <c r="D37" s="36">
        <v>2</v>
      </c>
      <c r="E37" s="43">
        <v>82.98</v>
      </c>
      <c r="F37" s="128">
        <f t="shared" si="25"/>
        <v>220103.19289999999</v>
      </c>
      <c r="G37" s="128">
        <f t="shared" si="17"/>
        <v>3668.3865483333334</v>
      </c>
      <c r="H37" s="128">
        <f t="shared" si="18"/>
        <v>3301.5478934999996</v>
      </c>
      <c r="I37" s="128">
        <f t="shared" si="19"/>
        <v>1100.5159645000001</v>
      </c>
      <c r="J37" s="128">
        <f t="shared" si="20"/>
        <v>8070.4504063333334</v>
      </c>
      <c r="K37" s="128">
        <f t="shared" si="21"/>
        <v>672.53753386111111</v>
      </c>
      <c r="L37" s="128"/>
      <c r="M37" s="128">
        <f t="shared" si="22"/>
        <v>455.98044795783335</v>
      </c>
      <c r="N37" s="128">
        <v>466.1</v>
      </c>
      <c r="O37" s="128">
        <f>+N37*O30</f>
        <v>372.88000000000005</v>
      </c>
      <c r="P37" s="128">
        <f>+N37*P30</f>
        <v>419.49</v>
      </c>
      <c r="Q37" s="128">
        <f>+N37*Q30</f>
        <v>466.1</v>
      </c>
      <c r="R37" s="128">
        <v>2486.2800000000002</v>
      </c>
      <c r="S37" s="128">
        <f>R37*S30</f>
        <v>248.62800000000004</v>
      </c>
      <c r="T37" s="128">
        <v>0</v>
      </c>
      <c r="U37" s="128">
        <v>0</v>
      </c>
      <c r="V37" s="128">
        <v>0</v>
      </c>
      <c r="W37" s="128">
        <f t="shared" si="24"/>
        <v>372.88000000000005</v>
      </c>
      <c r="X37" s="128">
        <f>W37*12</f>
        <v>4474.5600000000004</v>
      </c>
      <c r="Y37" s="128">
        <v>0</v>
      </c>
      <c r="Z37" s="128">
        <f t="shared" si="14"/>
        <v>4725.1353600000002</v>
      </c>
      <c r="AA37" s="128">
        <f>Z37*(100+7.3)%+0.01</f>
        <v>5070.0802412800003</v>
      </c>
      <c r="AB37" s="128">
        <f t="shared" si="15"/>
        <v>422.50668677333334</v>
      </c>
      <c r="AC37" s="128">
        <f>K37</f>
        <v>672.53753386111111</v>
      </c>
      <c r="AD37" s="139">
        <f>S37</f>
        <v>248.62800000000004</v>
      </c>
      <c r="AE37" s="128">
        <f t="shared" si="16"/>
        <v>305.69887902777776</v>
      </c>
      <c r="AF37" s="130">
        <f>AE37/AC37*100</f>
        <v>45.454545454545453</v>
      </c>
      <c r="AG37" s="131">
        <f>AD37*AF37%-0.01</f>
        <v>113.00272727272728</v>
      </c>
      <c r="AH37" s="4"/>
    </row>
    <row r="38" spans="1:34" ht="12" customHeight="1" x14ac:dyDescent="0.25">
      <c r="A38" s="1" t="s">
        <v>178</v>
      </c>
      <c r="B38" s="10">
        <v>7</v>
      </c>
      <c r="C38" s="36" t="s">
        <v>71</v>
      </c>
      <c r="D38" s="36">
        <v>2</v>
      </c>
      <c r="E38" s="12">
        <v>84.43</v>
      </c>
      <c r="F38" s="128">
        <f t="shared" si="25"/>
        <v>223949.28890000001</v>
      </c>
      <c r="G38" s="128">
        <f t="shared" si="17"/>
        <v>3732.4881483333334</v>
      </c>
      <c r="H38" s="128">
        <f t="shared" si="18"/>
        <v>3359.2393335000002</v>
      </c>
      <c r="I38" s="128">
        <f t="shared" si="19"/>
        <v>1119.7464445000001</v>
      </c>
      <c r="J38" s="128">
        <f t="shared" si="20"/>
        <v>8211.473926333334</v>
      </c>
      <c r="K38" s="128">
        <f t="shared" si="21"/>
        <v>684.28949386111117</v>
      </c>
      <c r="L38" s="128"/>
      <c r="M38" s="128"/>
      <c r="N38" s="128">
        <f>K38*N30</f>
        <v>479.00264570277778</v>
      </c>
      <c r="O38" s="128">
        <f>N38*O30</f>
        <v>383.20211656222227</v>
      </c>
      <c r="P38" s="128">
        <f>N38*P30</f>
        <v>431.1023811325</v>
      </c>
      <c r="Q38" s="128">
        <f>N38*Q30</f>
        <v>479.00264570277778</v>
      </c>
      <c r="R38" s="128">
        <v>459.28</v>
      </c>
      <c r="S38" s="128">
        <f>R38*S30</f>
        <v>45.927999999999997</v>
      </c>
      <c r="T38" s="128">
        <v>0</v>
      </c>
      <c r="U38" s="128">
        <v>0</v>
      </c>
      <c r="V38" s="128">
        <v>0</v>
      </c>
      <c r="W38" s="128">
        <f t="shared" si="24"/>
        <v>383.20211656222227</v>
      </c>
      <c r="X38" s="128">
        <f>W38*12-0.03</f>
        <v>4598.3953987466675</v>
      </c>
      <c r="Y38" s="128">
        <v>0</v>
      </c>
      <c r="Z38" s="128">
        <f t="shared" si="14"/>
        <v>4855.9055410764813</v>
      </c>
      <c r="AA38" s="128">
        <f>Z38*(100+7.3)%</f>
        <v>5210.386645575064</v>
      </c>
      <c r="AB38" s="128">
        <f t="shared" si="15"/>
        <v>434.19888713125533</v>
      </c>
      <c r="AC38" s="128">
        <f t="shared" si="26"/>
        <v>684.28949386111117</v>
      </c>
      <c r="AD38" s="139">
        <v>85</v>
      </c>
      <c r="AE38" s="128">
        <f t="shared" si="16"/>
        <v>311.0406790277778</v>
      </c>
      <c r="AF38" s="130">
        <f t="shared" si="23"/>
        <v>45.454545454545453</v>
      </c>
      <c r="AG38" s="131">
        <f>AD38*AF38%-0.01</f>
        <v>38.626363636363635</v>
      </c>
      <c r="AH38" s="4"/>
    </row>
    <row r="39" spans="1:34" ht="12" customHeight="1" x14ac:dyDescent="0.25">
      <c r="A39" s="1" t="s">
        <v>179</v>
      </c>
      <c r="B39" s="10">
        <v>8</v>
      </c>
      <c r="C39" s="36" t="s">
        <v>83</v>
      </c>
      <c r="D39" s="36">
        <v>2</v>
      </c>
      <c r="E39" s="43">
        <v>84.54</v>
      </c>
      <c r="F39" s="128">
        <f t="shared" si="25"/>
        <v>224241.06170000002</v>
      </c>
      <c r="G39" s="128">
        <f t="shared" si="17"/>
        <v>3737.3510283333335</v>
      </c>
      <c r="H39" s="128">
        <f t="shared" si="18"/>
        <v>3363.6159255000002</v>
      </c>
      <c r="I39" s="128">
        <f t="shared" si="19"/>
        <v>1121.2053085000002</v>
      </c>
      <c r="J39" s="128">
        <f t="shared" si="20"/>
        <v>8222.1722623333335</v>
      </c>
      <c r="K39" s="128">
        <f t="shared" si="21"/>
        <v>685.18102186111116</v>
      </c>
      <c r="L39" s="128"/>
      <c r="M39" s="128">
        <f t="shared" si="22"/>
        <v>464.55273282183333</v>
      </c>
      <c r="N39" s="128">
        <f>+K39*N30</f>
        <v>479.62671530277777</v>
      </c>
      <c r="O39" s="128">
        <f>+N39*O30</f>
        <v>383.70137224222225</v>
      </c>
      <c r="P39" s="128">
        <f>+N39*P30</f>
        <v>431.66404377250001</v>
      </c>
      <c r="Q39" s="128">
        <f>+N39*Q30</f>
        <v>479.62671530277777</v>
      </c>
      <c r="R39" s="128">
        <v>1120.31</v>
      </c>
      <c r="S39" s="128">
        <f>R39*S30</f>
        <v>112.03100000000001</v>
      </c>
      <c r="T39" s="128">
        <v>0</v>
      </c>
      <c r="U39" s="128">
        <v>0</v>
      </c>
      <c r="V39" s="128">
        <v>0</v>
      </c>
      <c r="W39" s="128">
        <f t="shared" si="24"/>
        <v>383.70137224222225</v>
      </c>
      <c r="X39" s="128">
        <f>W39*12-0.02</f>
        <v>4604.3964669066663</v>
      </c>
      <c r="Y39" s="128">
        <v>0</v>
      </c>
      <c r="Z39" s="128">
        <f>X39*(100+5.6)%+0.01</f>
        <v>4862.2526690534405</v>
      </c>
      <c r="AA39" s="128">
        <f>Z39*(100+7.3)%-0.01</f>
        <v>5217.1871138943416</v>
      </c>
      <c r="AB39" s="128">
        <f t="shared" si="15"/>
        <v>434.76559282452848</v>
      </c>
      <c r="AC39" s="128">
        <f t="shared" si="26"/>
        <v>685.18102186111116</v>
      </c>
      <c r="AD39" s="139">
        <f>S39</f>
        <v>112.03100000000001</v>
      </c>
      <c r="AE39" s="128">
        <f t="shared" si="16"/>
        <v>311.44591902777779</v>
      </c>
      <c r="AF39" s="130">
        <f t="shared" si="23"/>
        <v>45.454545454545453</v>
      </c>
      <c r="AG39" s="131">
        <f>AD39*AF39%</f>
        <v>50.923181818181817</v>
      </c>
      <c r="AH39" s="4"/>
    </row>
    <row r="40" spans="1:34" ht="12" customHeight="1" x14ac:dyDescent="0.25">
      <c r="A40" s="1" t="s">
        <v>180</v>
      </c>
      <c r="B40" s="10">
        <v>9</v>
      </c>
      <c r="C40" s="36" t="s">
        <v>84</v>
      </c>
      <c r="D40" s="36">
        <v>2</v>
      </c>
      <c r="E40" s="43">
        <v>84.55</v>
      </c>
      <c r="F40" s="128">
        <f t="shared" si="25"/>
        <v>224267.5865</v>
      </c>
      <c r="G40" s="128">
        <f t="shared" si="17"/>
        <v>3737.7931083333333</v>
      </c>
      <c r="H40" s="128">
        <f t="shared" si="18"/>
        <v>3364.0137974999998</v>
      </c>
      <c r="I40" s="128">
        <f t="shared" si="19"/>
        <v>1121.3379325000001</v>
      </c>
      <c r="J40" s="128">
        <f t="shared" si="20"/>
        <v>8223.1448383333336</v>
      </c>
      <c r="K40" s="128">
        <f t="shared" si="21"/>
        <v>685.26206986111117</v>
      </c>
      <c r="L40" s="128"/>
      <c r="M40" s="128">
        <f t="shared" si="22"/>
        <v>464.60768336583334</v>
      </c>
      <c r="N40" s="128">
        <f>+K40*N30</f>
        <v>479.6834489027778</v>
      </c>
      <c r="O40" s="128">
        <f>+N40*O30</f>
        <v>383.74675912222227</v>
      </c>
      <c r="P40" s="128">
        <f>+N40*P30</f>
        <v>431.71510401250003</v>
      </c>
      <c r="Q40" s="128">
        <f>+N40*Q30</f>
        <v>479.6834489027778</v>
      </c>
      <c r="R40" s="128">
        <v>1038.78</v>
      </c>
      <c r="S40" s="128">
        <f>R40*S30</f>
        <v>103.878</v>
      </c>
      <c r="T40" s="128">
        <v>0</v>
      </c>
      <c r="U40" s="128">
        <v>0</v>
      </c>
      <c r="V40" s="128">
        <v>0</v>
      </c>
      <c r="W40" s="128">
        <f t="shared" si="24"/>
        <v>383.74675912222227</v>
      </c>
      <c r="X40" s="128">
        <f>W40*12+0.04</f>
        <v>4605.001109466667</v>
      </c>
      <c r="Y40" s="128">
        <v>0</v>
      </c>
      <c r="Z40" s="128">
        <f>X40*(100+5.6)%</f>
        <v>4862.8811715968004</v>
      </c>
      <c r="AA40" s="128">
        <f>Z40*(100+7.3)%</f>
        <v>5217.8714971233667</v>
      </c>
      <c r="AB40" s="128">
        <f t="shared" si="15"/>
        <v>434.82262476028058</v>
      </c>
      <c r="AC40" s="128">
        <f t="shared" si="26"/>
        <v>685.26206986111117</v>
      </c>
      <c r="AD40" s="139">
        <f>S40</f>
        <v>103.878</v>
      </c>
      <c r="AE40" s="128">
        <f t="shared" si="16"/>
        <v>311.48275902777777</v>
      </c>
      <c r="AF40" s="130">
        <f t="shared" si="23"/>
        <v>45.454545454545446</v>
      </c>
      <c r="AG40" s="131">
        <f>AD40*AF40%-0.01</f>
        <v>47.207272727272724</v>
      </c>
      <c r="AH40" s="4"/>
    </row>
    <row r="41" spans="1:34" x14ac:dyDescent="0.25">
      <c r="B41" s="176"/>
      <c r="C41" s="248" t="s">
        <v>77</v>
      </c>
      <c r="D41" s="248"/>
      <c r="E41" s="177">
        <f>SUM(E32:E40)</f>
        <v>729</v>
      </c>
      <c r="F41" s="175">
        <f>SUM(F32:F40)-0.01</f>
        <v>1933661.5525</v>
      </c>
      <c r="G41" s="175">
        <f>SUM(G32:G40)+0.02</f>
        <v>32227.712708333336</v>
      </c>
      <c r="H41" s="175">
        <f>SUM(H32:H40)+0.01</f>
        <v>29004.933437500003</v>
      </c>
      <c r="I41" s="175">
        <f>SUM(I32:I40)+0.01</f>
        <v>9668.3178125000013</v>
      </c>
      <c r="J41" s="175">
        <f>SUM(J32:J40)-0.01</f>
        <v>70900.913958333345</v>
      </c>
      <c r="K41" s="175">
        <f>SUM(K32:K40)</f>
        <v>5908.4103298611099</v>
      </c>
      <c r="L41" s="175"/>
      <c r="M41" s="175">
        <f>SUM(M32:M40)</f>
        <v>3080.9180288021671</v>
      </c>
      <c r="N41" s="175">
        <f>SUM(N32:N40)+0.01</f>
        <v>4131.2209572000002</v>
      </c>
      <c r="O41" s="175">
        <f>SUM(O32:O40)</f>
        <v>3304.9687657599998</v>
      </c>
      <c r="P41" s="175">
        <f>SUM(P32:P40)</f>
        <v>3718.0898614800003</v>
      </c>
      <c r="Q41" s="175">
        <f>SUM(Q32:Q40)+0.01</f>
        <v>4131.2209572000002</v>
      </c>
      <c r="R41" s="175"/>
      <c r="S41" s="175">
        <f>SUM(S32:S40)+0.02</f>
        <v>916.1790000000002</v>
      </c>
      <c r="T41" s="175">
        <f t="shared" ref="T41:W41" si="27">SUM(T32:T40)</f>
        <v>0</v>
      </c>
      <c r="U41" s="175">
        <f t="shared" si="27"/>
        <v>0</v>
      </c>
      <c r="V41" s="175">
        <f t="shared" si="27"/>
        <v>257.39999999999998</v>
      </c>
      <c r="W41" s="175">
        <f t="shared" si="27"/>
        <v>3209.1219728866668</v>
      </c>
      <c r="X41" s="175">
        <f>SUM(X32:X40)+0.01</f>
        <v>38509.44367464001</v>
      </c>
      <c r="Y41" s="175">
        <f t="shared" ref="Y41:AG41" si="28">SUM(Y32:Y40)</f>
        <v>0</v>
      </c>
      <c r="Z41" s="175">
        <f>SUM(Z32:Z40)+0.01</f>
        <v>40665.981960419849</v>
      </c>
      <c r="AA41" s="175">
        <f>SUM(AA32:AA40)+0.01</f>
        <v>43634.597913530488</v>
      </c>
      <c r="AB41" s="175">
        <f t="shared" si="28"/>
        <v>3636.215659460875</v>
      </c>
      <c r="AC41" s="175">
        <f>SUM(AC32:AC40)</f>
        <v>5908.4103298611099</v>
      </c>
      <c r="AD41" s="175">
        <f>SUM(AD32:AD40)+0.01</f>
        <v>1219.973</v>
      </c>
      <c r="AE41" s="175">
        <f>SUM(AE32:AE40)+0.01</f>
        <v>2685.651059027778</v>
      </c>
      <c r="AF41" s="175">
        <f>SUM(AF32:AF40)-0.04</f>
        <v>409.05090909090899</v>
      </c>
      <c r="AG41" s="175">
        <f t="shared" si="28"/>
        <v>554.46863636363639</v>
      </c>
      <c r="AH41" s="4"/>
    </row>
    <row r="42" spans="1:34" x14ac:dyDescent="0.25">
      <c r="B42" s="4"/>
      <c r="C42" s="172"/>
      <c r="D42" s="17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55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4"/>
    </row>
    <row r="43" spans="1:34" x14ac:dyDescent="0.25">
      <c r="B43" s="4"/>
      <c r="C43" s="172"/>
      <c r="D43" s="172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55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4"/>
    </row>
    <row r="44" spans="1:34" x14ac:dyDescent="0.25">
      <c r="B44" s="4"/>
      <c r="C44" s="172"/>
      <c r="D44" s="172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55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4"/>
    </row>
    <row r="45" spans="1:34" x14ac:dyDescent="0.25">
      <c r="B45" s="4"/>
      <c r="C45" s="172"/>
      <c r="D45" s="17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4"/>
    </row>
    <row r="46" spans="1:34" x14ac:dyDescent="0.25">
      <c r="B46" s="4"/>
      <c r="C46" s="172"/>
      <c r="D46" s="17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4"/>
    </row>
    <row r="47" spans="1:34" x14ac:dyDescent="0.25">
      <c r="B47" s="4"/>
      <c r="C47" s="172"/>
      <c r="D47" s="172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4"/>
    </row>
    <row r="48" spans="1:34" ht="20.25" x14ac:dyDescent="0.25">
      <c r="B48" s="4"/>
      <c r="C48" s="223" t="s">
        <v>85</v>
      </c>
      <c r="D48" s="223"/>
      <c r="E48" s="223"/>
      <c r="F48" s="223"/>
      <c r="G48" s="22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x14ac:dyDescent="0.25">
      <c r="B49" s="4"/>
      <c r="C49" s="172"/>
      <c r="D49" s="172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4"/>
    </row>
    <row r="50" spans="1:34" x14ac:dyDescent="0.25">
      <c r="B50" s="3"/>
      <c r="C50" s="4"/>
      <c r="D50" s="5" t="s">
        <v>42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/>
      <c r="AG50" s="4"/>
      <c r="AH50" s="4"/>
    </row>
    <row r="51" spans="1:34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17" customHeight="1" x14ac:dyDescent="0.25">
      <c r="B52" s="215" t="s">
        <v>1</v>
      </c>
      <c r="C52" s="217" t="s">
        <v>56</v>
      </c>
      <c r="D52" s="209" t="s">
        <v>3</v>
      </c>
      <c r="E52" s="209" t="s">
        <v>4</v>
      </c>
      <c r="F52" s="209" t="s">
        <v>5</v>
      </c>
      <c r="G52" s="209" t="s">
        <v>6</v>
      </c>
      <c r="H52" s="209" t="s">
        <v>7</v>
      </c>
      <c r="I52" s="209" t="s">
        <v>8</v>
      </c>
      <c r="J52" s="209" t="s">
        <v>9</v>
      </c>
      <c r="K52" s="209" t="s">
        <v>57</v>
      </c>
      <c r="L52" s="22" t="s">
        <v>10</v>
      </c>
      <c r="M52" s="22" t="s">
        <v>10</v>
      </c>
      <c r="N52" s="22" t="s">
        <v>12</v>
      </c>
      <c r="O52" s="211" t="s">
        <v>13</v>
      </c>
      <c r="P52" s="212"/>
      <c r="Q52" s="213"/>
      <c r="R52" s="209" t="s">
        <v>14</v>
      </c>
      <c r="S52" s="225" t="s">
        <v>58</v>
      </c>
      <c r="T52" s="226"/>
      <c r="U52" s="226"/>
      <c r="V52" s="227"/>
      <c r="W52" s="207" t="s">
        <v>21</v>
      </c>
      <c r="X52" s="209" t="s">
        <v>9</v>
      </c>
      <c r="Y52" s="22" t="s">
        <v>242</v>
      </c>
      <c r="Z52" s="22" t="s">
        <v>243</v>
      </c>
      <c r="AA52" s="22" t="s">
        <v>156</v>
      </c>
      <c r="AB52" s="207" t="s">
        <v>59</v>
      </c>
      <c r="AC52" s="228" t="s">
        <v>18</v>
      </c>
      <c r="AD52" s="229"/>
      <c r="AE52" s="229"/>
      <c r="AF52" s="229"/>
      <c r="AG52" s="205" t="s">
        <v>19</v>
      </c>
      <c r="AH52" s="4"/>
    </row>
    <row r="53" spans="1:34" ht="51" x14ac:dyDescent="0.25">
      <c r="B53" s="216"/>
      <c r="C53" s="218"/>
      <c r="D53" s="210"/>
      <c r="E53" s="210"/>
      <c r="F53" s="210"/>
      <c r="G53" s="210"/>
      <c r="H53" s="210"/>
      <c r="I53" s="210"/>
      <c r="J53" s="210"/>
      <c r="K53" s="210"/>
      <c r="L53" s="22">
        <v>5.6</v>
      </c>
      <c r="M53" s="22">
        <v>5.6</v>
      </c>
      <c r="N53" s="22">
        <v>0.7</v>
      </c>
      <c r="O53" s="23">
        <v>0.8</v>
      </c>
      <c r="P53" s="24">
        <v>0.9</v>
      </c>
      <c r="Q53" s="28">
        <v>1</v>
      </c>
      <c r="R53" s="210"/>
      <c r="S53" s="29">
        <v>0.1</v>
      </c>
      <c r="T53" s="30">
        <v>0.2</v>
      </c>
      <c r="U53" s="30">
        <v>0.3</v>
      </c>
      <c r="V53" s="30">
        <v>0.1</v>
      </c>
      <c r="W53" s="208"/>
      <c r="X53" s="210"/>
      <c r="Y53" s="22">
        <v>10.4</v>
      </c>
      <c r="Z53" s="22">
        <v>5.6</v>
      </c>
      <c r="AA53" s="22">
        <v>7.3</v>
      </c>
      <c r="AB53" s="208"/>
      <c r="AC53" s="33" t="s">
        <v>20</v>
      </c>
      <c r="AD53" s="33" t="s">
        <v>21</v>
      </c>
      <c r="AE53" s="33" t="s">
        <v>22</v>
      </c>
      <c r="AF53" s="33" t="s">
        <v>23</v>
      </c>
      <c r="AG53" s="206"/>
      <c r="AH53" s="4"/>
    </row>
    <row r="54" spans="1:34" x14ac:dyDescent="0.25">
      <c r="B54" s="7"/>
      <c r="C54" s="8"/>
      <c r="D54" s="9">
        <v>0</v>
      </c>
      <c r="E54" s="9">
        <v>1</v>
      </c>
      <c r="F54" s="9">
        <v>2</v>
      </c>
      <c r="G54" s="9" t="s">
        <v>24</v>
      </c>
      <c r="H54" s="9" t="s">
        <v>25</v>
      </c>
      <c r="I54" s="9" t="s">
        <v>26</v>
      </c>
      <c r="J54" s="9" t="s">
        <v>27</v>
      </c>
      <c r="K54" s="25" t="s">
        <v>60</v>
      </c>
      <c r="L54" s="9" t="s">
        <v>61</v>
      </c>
      <c r="M54" s="9" t="s">
        <v>61</v>
      </c>
      <c r="N54" s="9" t="s">
        <v>62</v>
      </c>
      <c r="O54" s="9" t="s">
        <v>63</v>
      </c>
      <c r="P54" s="9" t="s">
        <v>63</v>
      </c>
      <c r="Q54" s="9" t="s">
        <v>63</v>
      </c>
      <c r="R54" s="9">
        <v>9</v>
      </c>
      <c r="S54" s="31" t="s">
        <v>161</v>
      </c>
      <c r="T54" s="31" t="s">
        <v>162</v>
      </c>
      <c r="U54" s="31" t="s">
        <v>163</v>
      </c>
      <c r="V54" s="31" t="s">
        <v>164</v>
      </c>
      <c r="W54" s="31" t="s">
        <v>64</v>
      </c>
      <c r="X54" s="9" t="s">
        <v>65</v>
      </c>
      <c r="Y54" s="9" t="s">
        <v>66</v>
      </c>
      <c r="Z54" s="9" t="s">
        <v>67</v>
      </c>
      <c r="AA54" s="9" t="s">
        <v>246</v>
      </c>
      <c r="AB54" s="9" t="s">
        <v>240</v>
      </c>
      <c r="AC54" s="9">
        <v>16</v>
      </c>
      <c r="AD54" s="31" t="s">
        <v>158</v>
      </c>
      <c r="AE54" s="31" t="s">
        <v>159</v>
      </c>
      <c r="AF54" s="31" t="s">
        <v>160</v>
      </c>
      <c r="AG54" s="9">
        <v>17</v>
      </c>
      <c r="AH54" s="4"/>
    </row>
    <row r="55" spans="1:34" x14ac:dyDescent="0.25">
      <c r="A55" s="1" t="s">
        <v>181</v>
      </c>
      <c r="B55" s="173">
        <v>1</v>
      </c>
      <c r="C55" s="35" t="s">
        <v>86</v>
      </c>
      <c r="D55" s="36">
        <v>1</v>
      </c>
      <c r="E55" s="37">
        <v>74.47</v>
      </c>
      <c r="F55" s="149">
        <f>E55*1620.66</f>
        <v>120690.5502</v>
      </c>
      <c r="G55" s="149">
        <f>F55/60</f>
        <v>2011.50917</v>
      </c>
      <c r="H55" s="149">
        <f>F55*1.5%</f>
        <v>1810.3582529999999</v>
      </c>
      <c r="I55" s="149">
        <f>F55*0.5%</f>
        <v>603.45275100000003</v>
      </c>
      <c r="J55" s="149">
        <f>I55+H55+G55</f>
        <v>4425.3201740000004</v>
      </c>
      <c r="K55" s="149">
        <f>J55/12</f>
        <v>368.77668116666672</v>
      </c>
      <c r="L55" s="149"/>
      <c r="M55" s="149"/>
      <c r="N55" s="149">
        <f>K55*N53</f>
        <v>258.1436768166667</v>
      </c>
      <c r="O55" s="149">
        <f>N55*O53</f>
        <v>206.51494145333336</v>
      </c>
      <c r="P55" s="149">
        <f>N55*P53</f>
        <v>232.32930913500005</v>
      </c>
      <c r="Q55" s="149">
        <f>N55*Q53</f>
        <v>258.1436768166667</v>
      </c>
      <c r="R55" s="149">
        <v>1270.56</v>
      </c>
      <c r="S55" s="149">
        <f>R55*S53</f>
        <v>127.056</v>
      </c>
      <c r="T55" s="149">
        <v>0</v>
      </c>
      <c r="U55" s="149">
        <v>0</v>
      </c>
      <c r="V55" s="149">
        <v>0</v>
      </c>
      <c r="W55" s="149">
        <f>O55</f>
        <v>206.51494145333336</v>
      </c>
      <c r="X55" s="149">
        <f>W55*12-0.06</f>
        <v>2478.1192974400005</v>
      </c>
      <c r="Y55" s="149">
        <f t="shared" ref="Y55:Y63" si="29">X55*(100+10.4)%</f>
        <v>2735.8437043737608</v>
      </c>
      <c r="Z55" s="149">
        <f>Y55*(100+5.6)%</f>
        <v>2889.0509518186914</v>
      </c>
      <c r="AA55" s="149">
        <f t="shared" ref="AA55:AA60" si="30">Z55*(100+7.3)%</f>
        <v>3099.9516713014559</v>
      </c>
      <c r="AB55" s="149">
        <f t="shared" ref="AB55:AB63" si="31">AA55/12</f>
        <v>258.32930594178799</v>
      </c>
      <c r="AC55" s="149">
        <f>K55</f>
        <v>368.77668116666672</v>
      </c>
      <c r="AD55" s="178">
        <f>S55</f>
        <v>127.056</v>
      </c>
      <c r="AE55" s="149">
        <f>G55/12</f>
        <v>167.62576416666667</v>
      </c>
      <c r="AF55" s="149">
        <f>AE55/AC55*100</f>
        <v>45.454545454545446</v>
      </c>
      <c r="AG55" s="150">
        <f t="shared" ref="AG55:AG62" si="32">AD55*AF55%</f>
        <v>57.752727272727263</v>
      </c>
      <c r="AH55" s="4"/>
    </row>
    <row r="56" spans="1:34" x14ac:dyDescent="0.25">
      <c r="A56" s="1" t="s">
        <v>179</v>
      </c>
      <c r="B56" s="35">
        <v>2</v>
      </c>
      <c r="C56" s="35" t="s">
        <v>88</v>
      </c>
      <c r="D56" s="36">
        <v>2</v>
      </c>
      <c r="E56" s="35">
        <v>75.56</v>
      </c>
      <c r="F56" s="128">
        <f>+E56*1620.66</f>
        <v>122457.06960000002</v>
      </c>
      <c r="G56" s="128">
        <f>+F56/60</f>
        <v>2040.9511600000003</v>
      </c>
      <c r="H56" s="128">
        <f>+F56*1.5%</f>
        <v>1836.8560440000001</v>
      </c>
      <c r="I56" s="128">
        <f>F56*0.5%</f>
        <v>612.28534800000011</v>
      </c>
      <c r="J56" s="128">
        <f>G56+H56+I56</f>
        <v>4490.092552000001</v>
      </c>
      <c r="K56" s="128">
        <f>+J56/12</f>
        <v>374.17437933333343</v>
      </c>
      <c r="L56" s="128"/>
      <c r="M56" s="128">
        <f>J56*(100%+5.6%)</f>
        <v>4741.5377349120008</v>
      </c>
      <c r="N56" s="128">
        <f>+K56*N53</f>
        <v>261.92206553333341</v>
      </c>
      <c r="O56" s="128">
        <f>+N56*O53</f>
        <v>209.53765242666674</v>
      </c>
      <c r="P56" s="128">
        <f>+N56*P53</f>
        <v>235.72985898000007</v>
      </c>
      <c r="Q56" s="128">
        <f>+N56*Q53</f>
        <v>261.92206553333341</v>
      </c>
      <c r="R56" s="128" t="s">
        <v>245</v>
      </c>
      <c r="S56" s="128">
        <v>0</v>
      </c>
      <c r="T56" s="128">
        <v>0</v>
      </c>
      <c r="U56" s="128">
        <v>0</v>
      </c>
      <c r="V56" s="128">
        <v>257.39999999999998</v>
      </c>
      <c r="W56" s="128">
        <v>257.39999999999998</v>
      </c>
      <c r="X56" s="128">
        <f>W56*12</f>
        <v>3088.7999999999997</v>
      </c>
      <c r="Y56" s="128">
        <f t="shared" si="29"/>
        <v>3410.0351999999998</v>
      </c>
      <c r="Z56" s="128">
        <f>Y56*(100+5.6)%</f>
        <v>3600.9971712000001</v>
      </c>
      <c r="AA56" s="128">
        <f t="shared" si="30"/>
        <v>3863.8699646976002</v>
      </c>
      <c r="AB56" s="128">
        <f t="shared" si="31"/>
        <v>321.98916372479999</v>
      </c>
      <c r="AC56" s="149">
        <f t="shared" ref="AC56:AC63" si="33">K56</f>
        <v>374.17437933333343</v>
      </c>
      <c r="AD56" s="139">
        <f>V56</f>
        <v>257.39999999999998</v>
      </c>
      <c r="AE56" s="149">
        <f t="shared" ref="AE56:AE63" si="34">G56/12</f>
        <v>170.07926333333336</v>
      </c>
      <c r="AF56" s="149">
        <f t="shared" ref="AF56:AF63" si="35">AE56/AC56*100</f>
        <v>45.454545454545446</v>
      </c>
      <c r="AG56" s="131">
        <f>AD56*AF56%-0.01</f>
        <v>116.98999999999997</v>
      </c>
      <c r="AH56" s="4"/>
    </row>
    <row r="57" spans="1:34" x14ac:dyDescent="0.25">
      <c r="A57" s="1" t="s">
        <v>182</v>
      </c>
      <c r="B57" s="173">
        <v>3</v>
      </c>
      <c r="C57" s="35" t="s">
        <v>89</v>
      </c>
      <c r="D57" s="36">
        <v>2</v>
      </c>
      <c r="E57" s="35">
        <v>82.34</v>
      </c>
      <c r="F57" s="128">
        <f t="shared" ref="F57:F63" si="36">+E57*1620.66</f>
        <v>133445.14440000002</v>
      </c>
      <c r="G57" s="128">
        <f t="shared" ref="G57:G63" si="37">+F57/60</f>
        <v>2224.0857400000004</v>
      </c>
      <c r="H57" s="128">
        <f t="shared" ref="H57:H63" si="38">+F57*1.5%</f>
        <v>2001.6771660000002</v>
      </c>
      <c r="I57" s="128">
        <f t="shared" ref="I57:I63" si="39">F57*0.5%</f>
        <v>667.22572200000013</v>
      </c>
      <c r="J57" s="128">
        <v>4893</v>
      </c>
      <c r="K57" s="128">
        <f t="shared" ref="K57:K63" si="40">+J57/12</f>
        <v>407.75</v>
      </c>
      <c r="L57" s="128"/>
      <c r="M57" s="128">
        <f t="shared" ref="M57:M63" si="41">J57*(100%+5.6%)</f>
        <v>5167.0079999999998</v>
      </c>
      <c r="N57" s="128">
        <f>+K57*N53</f>
        <v>285.42499999999995</v>
      </c>
      <c r="O57" s="128">
        <f>+N57*O53</f>
        <v>228.33999999999997</v>
      </c>
      <c r="P57" s="128">
        <f>+N57*P53</f>
        <v>256.88249999999999</v>
      </c>
      <c r="Q57" s="128">
        <f>+N57*Q53</f>
        <v>285.42499999999995</v>
      </c>
      <c r="R57" s="128">
        <v>1847.42</v>
      </c>
      <c r="S57" s="128">
        <f>R57*S53</f>
        <v>184.74200000000002</v>
      </c>
      <c r="T57" s="128">
        <v>0</v>
      </c>
      <c r="U57" s="128">
        <v>0</v>
      </c>
      <c r="V57" s="128">
        <v>0</v>
      </c>
      <c r="W57" s="128">
        <f t="shared" ref="W57:W63" si="42">O57</f>
        <v>228.33999999999997</v>
      </c>
      <c r="X57" s="128">
        <f>W57*12</f>
        <v>2740.08</v>
      </c>
      <c r="Y57" s="128">
        <f t="shared" si="29"/>
        <v>3025.0483200000003</v>
      </c>
      <c r="Z57" s="128">
        <f>Y57*(100+5.6)%</f>
        <v>3194.4510259200006</v>
      </c>
      <c r="AA57" s="128">
        <f>Z57*(100+7.3)%-0.01</f>
        <v>3427.6359508121604</v>
      </c>
      <c r="AB57" s="128">
        <f t="shared" si="31"/>
        <v>285.6363292343467</v>
      </c>
      <c r="AC57" s="149">
        <f t="shared" si="33"/>
        <v>407.75</v>
      </c>
      <c r="AD57" s="139">
        <f>S57</f>
        <v>184.74200000000002</v>
      </c>
      <c r="AE57" s="149">
        <f t="shared" si="34"/>
        <v>185.34047833333338</v>
      </c>
      <c r="AF57" s="149">
        <f t="shared" si="35"/>
        <v>45.454439811976307</v>
      </c>
      <c r="AG57" s="131">
        <f>AD57*AF57%-0.01</f>
        <v>83.96344119744127</v>
      </c>
      <c r="AH57" s="4"/>
    </row>
    <row r="58" spans="1:34" x14ac:dyDescent="0.25">
      <c r="A58" s="1" t="s">
        <v>183</v>
      </c>
      <c r="B58" s="35">
        <v>4</v>
      </c>
      <c r="C58" s="35" t="s">
        <v>90</v>
      </c>
      <c r="D58" s="36">
        <v>2</v>
      </c>
      <c r="E58" s="35">
        <v>83.13</v>
      </c>
      <c r="F58" s="128">
        <f t="shared" si="36"/>
        <v>134725.46580000001</v>
      </c>
      <c r="G58" s="128">
        <f t="shared" si="37"/>
        <v>2245.42443</v>
      </c>
      <c r="H58" s="128">
        <f t="shared" si="38"/>
        <v>2020.881987</v>
      </c>
      <c r="I58" s="128">
        <f t="shared" si="39"/>
        <v>673.62732900000003</v>
      </c>
      <c r="J58" s="128">
        <f t="shared" ref="J58:J63" si="43">G58+H58+I58</f>
        <v>4939.9337459999997</v>
      </c>
      <c r="K58" s="128">
        <f t="shared" si="40"/>
        <v>411.66114549999998</v>
      </c>
      <c r="L58" s="128"/>
      <c r="M58" s="128">
        <f t="shared" si="41"/>
        <v>5216.5700357759997</v>
      </c>
      <c r="N58" s="128">
        <f>+K58*N53</f>
        <v>288.16280184999994</v>
      </c>
      <c r="O58" s="128">
        <f>+N58*O53</f>
        <v>230.53024147999997</v>
      </c>
      <c r="P58" s="128">
        <f>+N58*P53</f>
        <v>259.34652166499995</v>
      </c>
      <c r="Q58" s="128">
        <f>+N58*Q53</f>
        <v>288.16280184999994</v>
      </c>
      <c r="R58" s="128">
        <v>1332.14</v>
      </c>
      <c r="S58" s="128">
        <f>R58*S53</f>
        <v>133.21400000000003</v>
      </c>
      <c r="T58" s="128">
        <v>0</v>
      </c>
      <c r="U58" s="128">
        <v>0</v>
      </c>
      <c r="V58" s="128">
        <v>0</v>
      </c>
      <c r="W58" s="128">
        <f t="shared" si="42"/>
        <v>230.53024147999997</v>
      </c>
      <c r="X58" s="128">
        <f>W58*12</f>
        <v>2766.3628977599997</v>
      </c>
      <c r="Y58" s="128">
        <f t="shared" si="29"/>
        <v>3054.0646391270398</v>
      </c>
      <c r="Z58" s="128">
        <f>Y58*(100+5.6)%</f>
        <v>3225.0922589181541</v>
      </c>
      <c r="AA58" s="128">
        <f t="shared" si="30"/>
        <v>3460.5239938191794</v>
      </c>
      <c r="AB58" s="128">
        <f t="shared" si="31"/>
        <v>288.37699948493162</v>
      </c>
      <c r="AC58" s="149">
        <f t="shared" si="33"/>
        <v>411.66114549999998</v>
      </c>
      <c r="AD58" s="139">
        <f>S58</f>
        <v>133.21400000000003</v>
      </c>
      <c r="AE58" s="149">
        <f t="shared" si="34"/>
        <v>187.11870250000001</v>
      </c>
      <c r="AF58" s="149">
        <f t="shared" si="35"/>
        <v>45.45454545454546</v>
      </c>
      <c r="AG58" s="131">
        <f>AD58*AF58%-0.01</f>
        <v>60.541818181818201</v>
      </c>
      <c r="AH58" s="4"/>
    </row>
    <row r="59" spans="1:34" x14ac:dyDescent="0.25">
      <c r="A59" s="1" t="s">
        <v>184</v>
      </c>
      <c r="B59" s="173">
        <v>5</v>
      </c>
      <c r="C59" s="35" t="s">
        <v>91</v>
      </c>
      <c r="D59" s="36">
        <v>2</v>
      </c>
      <c r="E59" s="37">
        <v>81.680000000000007</v>
      </c>
      <c r="F59" s="128">
        <f t="shared" si="36"/>
        <v>132375.50880000001</v>
      </c>
      <c r="G59" s="128">
        <f t="shared" si="37"/>
        <v>2206.25848</v>
      </c>
      <c r="H59" s="128">
        <f t="shared" si="38"/>
        <v>1985.6326320000001</v>
      </c>
      <c r="I59" s="128">
        <f t="shared" si="39"/>
        <v>661.87754400000006</v>
      </c>
      <c r="J59" s="128">
        <f t="shared" si="43"/>
        <v>4853.7686560000002</v>
      </c>
      <c r="K59" s="128">
        <f t="shared" si="40"/>
        <v>404.48072133333335</v>
      </c>
      <c r="L59" s="128"/>
      <c r="M59" s="128">
        <f t="shared" si="41"/>
        <v>5125.5797007360006</v>
      </c>
      <c r="N59" s="128">
        <f>+K59*N53</f>
        <v>283.1365049333333</v>
      </c>
      <c r="O59" s="128">
        <f>+N59*O53</f>
        <v>226.50920394666664</v>
      </c>
      <c r="P59" s="128">
        <f>N59*P53</f>
        <v>254.82285443999999</v>
      </c>
      <c r="Q59" s="128">
        <f>+N59*Q53</f>
        <v>283.1365049333333</v>
      </c>
      <c r="R59" s="128">
        <v>2509.36</v>
      </c>
      <c r="S59" s="128">
        <f>R59*S53</f>
        <v>250.93600000000004</v>
      </c>
      <c r="T59" s="128">
        <v>0</v>
      </c>
      <c r="U59" s="128">
        <v>0</v>
      </c>
      <c r="V59" s="128">
        <v>0</v>
      </c>
      <c r="W59" s="128">
        <f t="shared" si="42"/>
        <v>226.50920394666664</v>
      </c>
      <c r="X59" s="128">
        <f>O59*12+0.01</f>
        <v>2718.1204473600001</v>
      </c>
      <c r="Y59" s="128">
        <f t="shared" si="29"/>
        <v>3000.8049738854402</v>
      </c>
      <c r="Z59" s="128">
        <f>Y59*(100+5.6)%-0.01</f>
        <v>3168.8400524230246</v>
      </c>
      <c r="AA59" s="128">
        <f t="shared" si="30"/>
        <v>3400.1653762499054</v>
      </c>
      <c r="AB59" s="128">
        <f t="shared" si="31"/>
        <v>283.34711468749214</v>
      </c>
      <c r="AC59" s="149">
        <f t="shared" si="33"/>
        <v>404.48072133333335</v>
      </c>
      <c r="AD59" s="139">
        <f>S59</f>
        <v>250.93600000000004</v>
      </c>
      <c r="AE59" s="149">
        <f t="shared" si="34"/>
        <v>183.85487333333333</v>
      </c>
      <c r="AF59" s="149">
        <f t="shared" si="35"/>
        <v>45.454545454545453</v>
      </c>
      <c r="AG59" s="131">
        <f>AD59*AF59%-0.01</f>
        <v>114.05181818181819</v>
      </c>
      <c r="AH59" s="4"/>
    </row>
    <row r="60" spans="1:34" x14ac:dyDescent="0.25">
      <c r="A60" s="1" t="s">
        <v>185</v>
      </c>
      <c r="B60" s="35">
        <v>6</v>
      </c>
      <c r="C60" s="35" t="s">
        <v>92</v>
      </c>
      <c r="D60" s="36">
        <v>2</v>
      </c>
      <c r="E60" s="37">
        <v>80.900000000000006</v>
      </c>
      <c r="F60" s="128">
        <f t="shared" si="36"/>
        <v>131111.39400000003</v>
      </c>
      <c r="G60" s="128">
        <f t="shared" si="37"/>
        <v>2185.1899000000003</v>
      </c>
      <c r="H60" s="128">
        <f t="shared" si="38"/>
        <v>1966.6709100000003</v>
      </c>
      <c r="I60" s="128">
        <f t="shared" si="39"/>
        <v>655.55697000000021</v>
      </c>
      <c r="J60" s="128">
        <f t="shared" si="43"/>
        <v>4807.4177800000007</v>
      </c>
      <c r="K60" s="128">
        <f t="shared" si="40"/>
        <v>400.61814833333341</v>
      </c>
      <c r="L60" s="128"/>
      <c r="M60" s="128">
        <f t="shared" si="41"/>
        <v>5076.6331756800009</v>
      </c>
      <c r="N60" s="128">
        <f>+K60*N53</f>
        <v>280.43270383333339</v>
      </c>
      <c r="O60" s="128">
        <f>N60*O53</f>
        <v>224.34616306666672</v>
      </c>
      <c r="P60" s="128">
        <f>+N60*P53</f>
        <v>252.38943345000007</v>
      </c>
      <c r="Q60" s="128">
        <f>+N60*Q53</f>
        <v>280.43270383333339</v>
      </c>
      <c r="R60" s="128">
        <v>650.38</v>
      </c>
      <c r="S60" s="128">
        <f>R60*S53</f>
        <v>65.037999999999997</v>
      </c>
      <c r="T60" s="128">
        <v>0</v>
      </c>
      <c r="U60" s="128">
        <v>0</v>
      </c>
      <c r="V60" s="128">
        <v>0</v>
      </c>
      <c r="W60" s="128">
        <f t="shared" si="42"/>
        <v>224.34616306666672</v>
      </c>
      <c r="X60" s="128">
        <f>W60*12</f>
        <v>2692.1539568000007</v>
      </c>
      <c r="Y60" s="128">
        <f t="shared" si="29"/>
        <v>2972.1379683072009</v>
      </c>
      <c r="Z60" s="128">
        <f>Y60*(100+5.6)%+0.01</f>
        <v>3138.5876945324044</v>
      </c>
      <c r="AA60" s="128">
        <f t="shared" si="30"/>
        <v>3367.70459623327</v>
      </c>
      <c r="AB60" s="128">
        <f t="shared" si="31"/>
        <v>280.64204968610585</v>
      </c>
      <c r="AC60" s="149">
        <f t="shared" si="33"/>
        <v>400.61814833333341</v>
      </c>
      <c r="AD60" s="139">
        <v>85</v>
      </c>
      <c r="AE60" s="149">
        <f t="shared" si="34"/>
        <v>182.09915833333335</v>
      </c>
      <c r="AF60" s="149">
        <f t="shared" si="35"/>
        <v>45.454545454545446</v>
      </c>
      <c r="AG60" s="131">
        <f>AD60*AF60%-0.01</f>
        <v>38.626363636363635</v>
      </c>
      <c r="AH60" s="4"/>
    </row>
    <row r="61" spans="1:34" x14ac:dyDescent="0.25">
      <c r="A61" s="1" t="s">
        <v>186</v>
      </c>
      <c r="B61" s="173">
        <v>7</v>
      </c>
      <c r="C61" s="35" t="s">
        <v>93</v>
      </c>
      <c r="D61" s="36">
        <v>2</v>
      </c>
      <c r="E61" s="35">
        <v>82.34</v>
      </c>
      <c r="F61" s="128">
        <f t="shared" si="36"/>
        <v>133445.14440000002</v>
      </c>
      <c r="G61" s="128">
        <f t="shared" si="37"/>
        <v>2224.0857400000004</v>
      </c>
      <c r="H61" s="128">
        <f t="shared" si="38"/>
        <v>2001.6771660000002</v>
      </c>
      <c r="I61" s="128">
        <f t="shared" si="39"/>
        <v>667.22572200000013</v>
      </c>
      <c r="J61" s="128">
        <v>4893</v>
      </c>
      <c r="K61" s="128">
        <f t="shared" si="40"/>
        <v>407.75</v>
      </c>
      <c r="L61" s="128"/>
      <c r="M61" s="128">
        <f t="shared" si="41"/>
        <v>5167.0079999999998</v>
      </c>
      <c r="N61" s="128">
        <f>+K61*N53</f>
        <v>285.42499999999995</v>
      </c>
      <c r="O61" s="128">
        <f>+N61*O53</f>
        <v>228.33999999999997</v>
      </c>
      <c r="P61" s="128">
        <f>N61*P53</f>
        <v>256.88249999999999</v>
      </c>
      <c r="Q61" s="128">
        <f>+N61*Q53</f>
        <v>285.42499999999995</v>
      </c>
      <c r="R61" s="128">
        <v>964.31</v>
      </c>
      <c r="S61" s="128">
        <f>R61*S53</f>
        <v>96.430999999999997</v>
      </c>
      <c r="T61" s="128">
        <v>0</v>
      </c>
      <c r="U61" s="128">
        <v>0</v>
      </c>
      <c r="V61" s="128">
        <v>0</v>
      </c>
      <c r="W61" s="128">
        <f t="shared" si="42"/>
        <v>228.33999999999997</v>
      </c>
      <c r="X61" s="128">
        <f>W61*12</f>
        <v>2740.08</v>
      </c>
      <c r="Y61" s="128">
        <f t="shared" si="29"/>
        <v>3025.0483200000003</v>
      </c>
      <c r="Z61" s="128">
        <f>Y61*(100+5.6)%</f>
        <v>3194.4510259200006</v>
      </c>
      <c r="AA61" s="128">
        <f>Z61*(100+7.3)%-0.01</f>
        <v>3427.6359508121604</v>
      </c>
      <c r="AB61" s="128">
        <f t="shared" si="31"/>
        <v>285.6363292343467</v>
      </c>
      <c r="AC61" s="149">
        <f t="shared" si="33"/>
        <v>407.75</v>
      </c>
      <c r="AD61" s="139">
        <f>S61</f>
        <v>96.430999999999997</v>
      </c>
      <c r="AE61" s="149">
        <f t="shared" si="34"/>
        <v>185.34047833333338</v>
      </c>
      <c r="AF61" s="149">
        <f t="shared" si="35"/>
        <v>45.454439811976307</v>
      </c>
      <c r="AG61" s="131">
        <f t="shared" si="32"/>
        <v>43.832170855086872</v>
      </c>
      <c r="AH61" s="4"/>
    </row>
    <row r="62" spans="1:34" x14ac:dyDescent="0.25">
      <c r="A62" s="1" t="s">
        <v>187</v>
      </c>
      <c r="B62" s="35">
        <v>8</v>
      </c>
      <c r="C62" s="35" t="s">
        <v>87</v>
      </c>
      <c r="D62" s="36">
        <v>1</v>
      </c>
      <c r="E62" s="37">
        <v>83.13</v>
      </c>
      <c r="F62" s="128">
        <f>E62*1620.66</f>
        <v>134725.46580000001</v>
      </c>
      <c r="G62" s="128">
        <f t="shared" si="37"/>
        <v>2245.42443</v>
      </c>
      <c r="H62" s="128">
        <f t="shared" si="38"/>
        <v>2020.881987</v>
      </c>
      <c r="I62" s="128">
        <f t="shared" si="39"/>
        <v>673.62732900000003</v>
      </c>
      <c r="J62" s="128">
        <f>I62+H62+G62</f>
        <v>4939.9337460000006</v>
      </c>
      <c r="K62" s="128">
        <f>J62/12</f>
        <v>411.66114550000003</v>
      </c>
      <c r="L62" s="128"/>
      <c r="M62" s="128"/>
      <c r="N62" s="128">
        <f>K62*N53</f>
        <v>288.16280184999999</v>
      </c>
      <c r="O62" s="128">
        <f>N62*O53</f>
        <v>230.53024148</v>
      </c>
      <c r="P62" s="128">
        <f>N62*P53</f>
        <v>259.34652166500001</v>
      </c>
      <c r="Q62" s="128">
        <f>N62*Q53</f>
        <v>288.16280184999999</v>
      </c>
      <c r="R62" s="128">
        <v>1025.08</v>
      </c>
      <c r="S62" s="128">
        <f>R62*S53</f>
        <v>102.508</v>
      </c>
      <c r="T62" s="128">
        <v>0</v>
      </c>
      <c r="U62" s="128">
        <v>0</v>
      </c>
      <c r="V62" s="128">
        <v>0</v>
      </c>
      <c r="W62" s="128">
        <f t="shared" si="42"/>
        <v>230.53024148</v>
      </c>
      <c r="X62" s="128">
        <f>W62*12</f>
        <v>2766.3628977600001</v>
      </c>
      <c r="Y62" s="128">
        <f t="shared" si="29"/>
        <v>3054.0646391270402</v>
      </c>
      <c r="Z62" s="128">
        <f>Y62*(100+5.6)%</f>
        <v>3225.0922589181546</v>
      </c>
      <c r="AA62" s="128">
        <f>Z62*(100+7.3)%</f>
        <v>3460.5239938191799</v>
      </c>
      <c r="AB62" s="128">
        <f t="shared" si="31"/>
        <v>288.37699948493167</v>
      </c>
      <c r="AC62" s="149">
        <f t="shared" si="33"/>
        <v>411.66114550000003</v>
      </c>
      <c r="AD62" s="139">
        <f>S62</f>
        <v>102.508</v>
      </c>
      <c r="AE62" s="149">
        <f t="shared" si="34"/>
        <v>187.11870250000001</v>
      </c>
      <c r="AF62" s="149">
        <f t="shared" si="35"/>
        <v>45.454545454545453</v>
      </c>
      <c r="AG62" s="131">
        <f t="shared" si="32"/>
        <v>46.594545454545454</v>
      </c>
      <c r="AH62" s="4"/>
    </row>
    <row r="63" spans="1:34" x14ac:dyDescent="0.25">
      <c r="A63" s="1" t="s">
        <v>188</v>
      </c>
      <c r="B63" s="173">
        <v>9</v>
      </c>
      <c r="C63" s="35" t="s">
        <v>94</v>
      </c>
      <c r="D63" s="36">
        <v>2</v>
      </c>
      <c r="E63" s="35">
        <v>81.680000000000007</v>
      </c>
      <c r="F63" s="128">
        <f t="shared" si="36"/>
        <v>132375.50880000001</v>
      </c>
      <c r="G63" s="128">
        <f t="shared" si="37"/>
        <v>2206.25848</v>
      </c>
      <c r="H63" s="128">
        <f t="shared" si="38"/>
        <v>1985.6326320000001</v>
      </c>
      <c r="I63" s="128">
        <f t="shared" si="39"/>
        <v>661.87754400000006</v>
      </c>
      <c r="J63" s="128">
        <f t="shared" si="43"/>
        <v>4853.7686560000002</v>
      </c>
      <c r="K63" s="128">
        <f t="shared" si="40"/>
        <v>404.48072133333335</v>
      </c>
      <c r="L63" s="128"/>
      <c r="M63" s="128">
        <f t="shared" si="41"/>
        <v>5125.5797007360006</v>
      </c>
      <c r="N63" s="128">
        <f>+K63*N53</f>
        <v>283.1365049333333</v>
      </c>
      <c r="O63" s="128">
        <f>+N63*O53</f>
        <v>226.50920394666664</v>
      </c>
      <c r="P63" s="128">
        <f>N63*P53</f>
        <v>254.82285443999999</v>
      </c>
      <c r="Q63" s="128">
        <f>+N63*Q53</f>
        <v>283.1365049333333</v>
      </c>
      <c r="R63" s="128">
        <v>2001.21</v>
      </c>
      <c r="S63" s="128">
        <f>R63*S53</f>
        <v>200.12100000000001</v>
      </c>
      <c r="T63" s="128">
        <v>0</v>
      </c>
      <c r="U63" s="128">
        <v>0</v>
      </c>
      <c r="V63" s="128">
        <v>0</v>
      </c>
      <c r="W63" s="128">
        <f t="shared" si="42"/>
        <v>226.50920394666664</v>
      </c>
      <c r="X63" s="128">
        <f>W63*12+0.01</f>
        <v>2718.1204473600001</v>
      </c>
      <c r="Y63" s="128">
        <f t="shared" si="29"/>
        <v>3000.8049738854402</v>
      </c>
      <c r="Z63" s="128">
        <f>Y63*(100+5.6)%-0.01</f>
        <v>3168.8400524230246</v>
      </c>
      <c r="AA63" s="128">
        <f>Z63*(100+7.3)%</f>
        <v>3400.1653762499054</v>
      </c>
      <c r="AB63" s="128">
        <f t="shared" si="31"/>
        <v>283.34711468749214</v>
      </c>
      <c r="AC63" s="149">
        <f t="shared" si="33"/>
        <v>404.48072133333335</v>
      </c>
      <c r="AD63" s="139">
        <f>S63</f>
        <v>200.12100000000001</v>
      </c>
      <c r="AE63" s="149">
        <f t="shared" si="34"/>
        <v>183.85487333333333</v>
      </c>
      <c r="AF63" s="149">
        <f t="shared" si="35"/>
        <v>45.454545454545453</v>
      </c>
      <c r="AG63" s="131">
        <f>AD63*AF63%-0.01</f>
        <v>90.954090909090908</v>
      </c>
      <c r="AH63" s="4"/>
    </row>
    <row r="64" spans="1:34" x14ac:dyDescent="0.25">
      <c r="B64" s="176"/>
      <c r="C64" s="248" t="s">
        <v>77</v>
      </c>
      <c r="D64" s="248"/>
      <c r="E64" s="177">
        <f>SUM(E55:E63)</f>
        <v>725.23</v>
      </c>
      <c r="F64" s="175">
        <f>SUM(F55:F63)</f>
        <v>1175351.2518</v>
      </c>
      <c r="G64" s="175">
        <f>SUM(G55:G63)</f>
        <v>19589.187530000003</v>
      </c>
      <c r="H64" s="175">
        <f>SUM(H55:H63)</f>
        <v>17630.268777000001</v>
      </c>
      <c r="I64" s="175">
        <f>SUM(I55:I63)+0.02</f>
        <v>5876.7762590000002</v>
      </c>
      <c r="J64" s="175">
        <f>SUM(J55:J63)-0.01</f>
        <v>43096.225310000002</v>
      </c>
      <c r="K64" s="175">
        <f>SUM(K55:K63)</f>
        <v>3591.3529425000002</v>
      </c>
      <c r="L64" s="175"/>
      <c r="M64" s="175">
        <f>SUM(M56:M63)</f>
        <v>35619.916347840008</v>
      </c>
      <c r="N64" s="175">
        <f>SUM(N55:N63)</f>
        <v>2513.9470597499994</v>
      </c>
      <c r="O64" s="175">
        <f>SUM(O55:O63)</f>
        <v>2011.1576478000002</v>
      </c>
      <c r="P64" s="175">
        <f>SUM(P55:P63)</f>
        <v>2262.552353775</v>
      </c>
      <c r="Q64" s="175">
        <f>SUM(Q55:Q63)</f>
        <v>2513.9470597499994</v>
      </c>
      <c r="R64" s="175"/>
      <c r="S64" s="175">
        <f>SUM(S55:S63)</f>
        <v>1160.0460000000003</v>
      </c>
      <c r="T64" s="175">
        <f t="shared" ref="T64:W64" si="44">SUM(T55:T63)</f>
        <v>0</v>
      </c>
      <c r="U64" s="175">
        <f t="shared" si="44"/>
        <v>0</v>
      </c>
      <c r="V64" s="175">
        <f t="shared" si="44"/>
        <v>257.39999999999998</v>
      </c>
      <c r="W64" s="175">
        <f t="shared" si="44"/>
        <v>2059.0199953733331</v>
      </c>
      <c r="X64" s="175">
        <f>SUM(X55:X63)-0.01</f>
        <v>24708.189944480004</v>
      </c>
      <c r="Y64" s="175">
        <f>SUM(Y55:Y63)-0.01</f>
        <v>27277.842738705924</v>
      </c>
      <c r="Z64" s="175">
        <f t="shared" ref="Z64:AD64" si="45">SUM(Z55:Z63)</f>
        <v>28805.402492073452</v>
      </c>
      <c r="AA64" s="175">
        <f t="shared" si="45"/>
        <v>30908.176873994817</v>
      </c>
      <c r="AB64" s="175">
        <f>SUM(AB55:AB63)+0.02</f>
        <v>2575.7014061662348</v>
      </c>
      <c r="AC64" s="175">
        <f t="shared" si="45"/>
        <v>3591.3529425000002</v>
      </c>
      <c r="AD64" s="175">
        <f t="shared" si="45"/>
        <v>1437.4080000000001</v>
      </c>
      <c r="AE64" s="175">
        <f>SUM(AE55:AE63)-0.01</f>
        <v>1632.4222941666669</v>
      </c>
      <c r="AF64" s="175">
        <f>SUM(AF55:AF63)-0.04</f>
        <v>409.05069780577077</v>
      </c>
      <c r="AG64" s="175">
        <f>SUM(AG55:AG63)-0.02</f>
        <v>653.28697568889186</v>
      </c>
      <c r="AH64" s="4"/>
    </row>
    <row r="65" spans="1:34" ht="20.25" x14ac:dyDescent="0.25">
      <c r="B65" s="4"/>
      <c r="C65" s="223" t="s">
        <v>95</v>
      </c>
      <c r="D65" s="223"/>
      <c r="E65" s="223"/>
      <c r="F65" s="223"/>
      <c r="G65" s="223"/>
      <c r="H65" s="3"/>
      <c r="I65" s="4"/>
      <c r="J65" s="4"/>
      <c r="K65" s="3"/>
      <c r="L65" s="3"/>
      <c r="M65" s="3"/>
      <c r="N65" s="3"/>
      <c r="O65" s="4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3"/>
      <c r="AF65" s="3"/>
      <c r="AG65" s="4"/>
      <c r="AH65" s="4"/>
    </row>
    <row r="66" spans="1:34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3"/>
      <c r="X66" s="4"/>
      <c r="Y66" s="4"/>
      <c r="Z66" s="4"/>
      <c r="AA66" s="4"/>
      <c r="AB66" s="4"/>
      <c r="AC66" s="4"/>
      <c r="AD66" s="4"/>
      <c r="AE66" s="4"/>
      <c r="AF66" s="4"/>
      <c r="AG66" s="3"/>
      <c r="AH66" s="4"/>
    </row>
    <row r="67" spans="1:34" x14ac:dyDescent="0.25">
      <c r="B67" s="4"/>
      <c r="C67" s="4"/>
      <c r="D67" s="5" t="s">
        <v>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20.75" customHeight="1" x14ac:dyDescent="0.25">
      <c r="B69" s="215" t="s">
        <v>1</v>
      </c>
      <c r="C69" s="217" t="s">
        <v>56</v>
      </c>
      <c r="D69" s="209" t="s">
        <v>3</v>
      </c>
      <c r="E69" s="209" t="s">
        <v>4</v>
      </c>
      <c r="F69" s="209" t="s">
        <v>5</v>
      </c>
      <c r="G69" s="209" t="s">
        <v>6</v>
      </c>
      <c r="H69" s="209" t="s">
        <v>7</v>
      </c>
      <c r="I69" s="209" t="s">
        <v>8</v>
      </c>
      <c r="J69" s="209" t="s">
        <v>9</v>
      </c>
      <c r="K69" s="209" t="s">
        <v>57</v>
      </c>
      <c r="L69" s="22" t="s">
        <v>10</v>
      </c>
      <c r="M69" s="22" t="s">
        <v>10</v>
      </c>
      <c r="N69" s="22" t="s">
        <v>12</v>
      </c>
      <c r="O69" s="211" t="s">
        <v>13</v>
      </c>
      <c r="P69" s="212"/>
      <c r="Q69" s="213"/>
      <c r="R69" s="209" t="s">
        <v>14</v>
      </c>
      <c r="S69" s="225" t="s">
        <v>58</v>
      </c>
      <c r="T69" s="226"/>
      <c r="U69" s="226"/>
      <c r="V69" s="227"/>
      <c r="W69" s="207" t="s">
        <v>21</v>
      </c>
      <c r="X69" s="209" t="s">
        <v>9</v>
      </c>
      <c r="Y69" s="22" t="s">
        <v>242</v>
      </c>
      <c r="Z69" s="22" t="s">
        <v>243</v>
      </c>
      <c r="AA69" s="22" t="s">
        <v>156</v>
      </c>
      <c r="AB69" s="207" t="s">
        <v>59</v>
      </c>
      <c r="AC69" s="228" t="s">
        <v>18</v>
      </c>
      <c r="AD69" s="229"/>
      <c r="AE69" s="229"/>
      <c r="AF69" s="229"/>
      <c r="AG69" s="205" t="s">
        <v>19</v>
      </c>
      <c r="AH69" s="4"/>
    </row>
    <row r="70" spans="1:34" ht="51" x14ac:dyDescent="0.25">
      <c r="B70" s="216"/>
      <c r="C70" s="218"/>
      <c r="D70" s="210"/>
      <c r="E70" s="210"/>
      <c r="F70" s="210"/>
      <c r="G70" s="210"/>
      <c r="H70" s="210"/>
      <c r="I70" s="210"/>
      <c r="J70" s="210"/>
      <c r="K70" s="210"/>
      <c r="L70" s="22">
        <v>5.6</v>
      </c>
      <c r="M70" s="22">
        <v>5.6</v>
      </c>
      <c r="N70" s="22">
        <v>0.7</v>
      </c>
      <c r="O70" s="23">
        <v>0.8</v>
      </c>
      <c r="P70" s="24">
        <v>0.9</v>
      </c>
      <c r="Q70" s="28">
        <v>1</v>
      </c>
      <c r="R70" s="210"/>
      <c r="S70" s="29">
        <v>0.1</v>
      </c>
      <c r="T70" s="30">
        <v>0.2</v>
      </c>
      <c r="U70" s="30">
        <v>0.3</v>
      </c>
      <c r="V70" s="30">
        <v>0.1</v>
      </c>
      <c r="W70" s="208"/>
      <c r="X70" s="210"/>
      <c r="Y70" s="22">
        <v>10.4</v>
      </c>
      <c r="Z70" s="22">
        <v>5.6</v>
      </c>
      <c r="AA70" s="22">
        <v>7.3</v>
      </c>
      <c r="AB70" s="208"/>
      <c r="AC70" s="33" t="s">
        <v>20</v>
      </c>
      <c r="AD70" s="33" t="s">
        <v>21</v>
      </c>
      <c r="AE70" s="33" t="s">
        <v>22</v>
      </c>
      <c r="AF70" s="33" t="s">
        <v>23</v>
      </c>
      <c r="AG70" s="206"/>
      <c r="AH70" s="4"/>
    </row>
    <row r="71" spans="1:34" x14ac:dyDescent="0.25">
      <c r="B71" s="7"/>
      <c r="C71" s="8"/>
      <c r="D71" s="9">
        <v>0</v>
      </c>
      <c r="E71" s="9">
        <v>1</v>
      </c>
      <c r="F71" s="9">
        <v>2</v>
      </c>
      <c r="G71" s="9" t="s">
        <v>24</v>
      </c>
      <c r="H71" s="9" t="s">
        <v>25</v>
      </c>
      <c r="I71" s="9" t="s">
        <v>26</v>
      </c>
      <c r="J71" s="9" t="s">
        <v>27</v>
      </c>
      <c r="K71" s="25" t="s">
        <v>60</v>
      </c>
      <c r="L71" s="9" t="s">
        <v>61</v>
      </c>
      <c r="M71" s="9" t="s">
        <v>61</v>
      </c>
      <c r="N71" s="9" t="s">
        <v>62</v>
      </c>
      <c r="O71" s="9" t="s">
        <v>63</v>
      </c>
      <c r="P71" s="9" t="s">
        <v>63</v>
      </c>
      <c r="Q71" s="9" t="s">
        <v>63</v>
      </c>
      <c r="R71" s="9">
        <v>9</v>
      </c>
      <c r="S71" s="31" t="s">
        <v>161</v>
      </c>
      <c r="T71" s="31" t="s">
        <v>162</v>
      </c>
      <c r="U71" s="31" t="s">
        <v>163</v>
      </c>
      <c r="V71" s="31" t="s">
        <v>164</v>
      </c>
      <c r="W71" s="31" t="s">
        <v>64</v>
      </c>
      <c r="X71" s="9" t="s">
        <v>65</v>
      </c>
      <c r="Y71" s="9" t="s">
        <v>66</v>
      </c>
      <c r="Z71" s="9" t="s">
        <v>67</v>
      </c>
      <c r="AA71" s="9" t="s">
        <v>246</v>
      </c>
      <c r="AB71" s="9" t="s">
        <v>240</v>
      </c>
      <c r="AC71" s="9">
        <v>16</v>
      </c>
      <c r="AD71" s="31" t="s">
        <v>158</v>
      </c>
      <c r="AE71" s="31" t="s">
        <v>159</v>
      </c>
      <c r="AF71" s="31" t="s">
        <v>160</v>
      </c>
      <c r="AG71" s="9">
        <v>17</v>
      </c>
      <c r="AH71" s="51"/>
    </row>
    <row r="72" spans="1:34" x14ac:dyDescent="0.25">
      <c r="A72" s="1" t="s">
        <v>190</v>
      </c>
      <c r="B72" s="10">
        <v>1</v>
      </c>
      <c r="C72" s="35" t="s">
        <v>96</v>
      </c>
      <c r="D72" s="36">
        <v>1</v>
      </c>
      <c r="E72" s="128">
        <v>53.81</v>
      </c>
      <c r="F72" s="128">
        <f>+E72*1620.66</f>
        <v>87207.714600000007</v>
      </c>
      <c r="G72" s="128">
        <f>+F72/60</f>
        <v>1453.4619100000002</v>
      </c>
      <c r="H72" s="128">
        <f>+F72*1.5%</f>
        <v>1308.1157190000001</v>
      </c>
      <c r="I72" s="128">
        <v>0</v>
      </c>
      <c r="J72" s="128">
        <f>+G72+H72+I72</f>
        <v>2761.5776290000003</v>
      </c>
      <c r="K72" s="128">
        <f>+J72/12</f>
        <v>230.13146908333337</v>
      </c>
      <c r="L72" s="128"/>
      <c r="M72" s="128">
        <f>+J72*(100%+5.6%)</f>
        <v>2916.2259762240005</v>
      </c>
      <c r="N72" s="128">
        <f>+K72*N70</f>
        <v>161.09202835833335</v>
      </c>
      <c r="O72" s="128">
        <f>+N72*O70</f>
        <v>128.87362268666669</v>
      </c>
      <c r="P72" s="128">
        <f>+N72*P70</f>
        <v>144.98282552250001</v>
      </c>
      <c r="Q72" s="128">
        <f>+N72*Q70</f>
        <v>161.09202835833335</v>
      </c>
      <c r="R72" s="128">
        <v>530.14</v>
      </c>
      <c r="S72" s="128">
        <f>R72*S70</f>
        <v>53.014000000000003</v>
      </c>
      <c r="T72" s="128">
        <v>0</v>
      </c>
      <c r="U72" s="128">
        <v>0</v>
      </c>
      <c r="V72" s="128">
        <v>0</v>
      </c>
      <c r="W72" s="128">
        <f>O72</f>
        <v>128.87362268666669</v>
      </c>
      <c r="X72" s="128">
        <f>W72*12-0.04</f>
        <v>1546.4434722400003</v>
      </c>
      <c r="Y72" s="128">
        <v>0</v>
      </c>
      <c r="Z72" s="128">
        <f>X72*(100+5.6)%</f>
        <v>1633.0443066854405</v>
      </c>
      <c r="AA72" s="128">
        <f>Z72*(100+7.3)%-0.01</f>
        <v>1752.2465410734776</v>
      </c>
      <c r="AB72" s="128">
        <f>AA72/12</f>
        <v>146.02054508945648</v>
      </c>
      <c r="AC72" s="128">
        <f>K72</f>
        <v>230.13146908333337</v>
      </c>
      <c r="AD72" s="139">
        <f>S72</f>
        <v>53.014000000000003</v>
      </c>
      <c r="AE72" s="128">
        <f>G72/12</f>
        <v>121.12182583333335</v>
      </c>
      <c r="AF72" s="128">
        <f>AE72/AC72*100</f>
        <v>52.631578947368418</v>
      </c>
      <c r="AG72" s="131">
        <f>AD72*AF72%</f>
        <v>27.902105263157896</v>
      </c>
      <c r="AH72" s="51"/>
    </row>
    <row r="73" spans="1:34" x14ac:dyDescent="0.25">
      <c r="A73" s="1" t="s">
        <v>191</v>
      </c>
      <c r="B73" s="10">
        <v>2</v>
      </c>
      <c r="C73" s="35" t="s">
        <v>93</v>
      </c>
      <c r="D73" s="36">
        <v>1</v>
      </c>
      <c r="E73" s="128">
        <v>60.83</v>
      </c>
      <c r="F73" s="128">
        <f>+E73*1620.66</f>
        <v>98584.747799999997</v>
      </c>
      <c r="G73" s="128">
        <f>+F73/60</f>
        <v>1643.0791299999999</v>
      </c>
      <c r="H73" s="128">
        <f>+F73*1.5%</f>
        <v>1478.771217</v>
      </c>
      <c r="I73" s="128">
        <v>0</v>
      </c>
      <c r="J73" s="128">
        <f>+G73+H73+I73</f>
        <v>3121.8503469999996</v>
      </c>
      <c r="K73" s="128">
        <f>+J73/12</f>
        <v>260.15419558333332</v>
      </c>
      <c r="L73" s="128"/>
      <c r="M73" s="128">
        <f>+J73*(100%+5.6%)</f>
        <v>3296.6739664319998</v>
      </c>
      <c r="N73" s="128">
        <f>+K73*N70</f>
        <v>182.1079369083333</v>
      </c>
      <c r="O73" s="128">
        <f>+N73*O70</f>
        <v>145.68634952666665</v>
      </c>
      <c r="P73" s="128">
        <f>+N73*P70</f>
        <v>163.89714321749997</v>
      </c>
      <c r="Q73" s="128">
        <f>+N73*Q70</f>
        <v>182.1079369083333</v>
      </c>
      <c r="R73" s="128">
        <v>3114.53</v>
      </c>
      <c r="S73" s="128">
        <v>0</v>
      </c>
      <c r="T73" s="128">
        <f>R73*T70</f>
        <v>622.90600000000006</v>
      </c>
      <c r="U73" s="128">
        <v>0</v>
      </c>
      <c r="V73" s="128">
        <v>0</v>
      </c>
      <c r="W73" s="128">
        <f>P73</f>
        <v>163.89714321749997</v>
      </c>
      <c r="X73" s="128">
        <f>W73*12+0.03</f>
        <v>1966.7957186099995</v>
      </c>
      <c r="Y73" s="128">
        <f>X73*(100+10.4)%+0.01</f>
        <v>2171.3524733454401</v>
      </c>
      <c r="Z73" s="128">
        <f>Y73*(100+5.6)%</f>
        <v>2292.9482118527849</v>
      </c>
      <c r="AA73" s="128">
        <f>Z73*(100+7.3)%+0.01</f>
        <v>2460.3434313180383</v>
      </c>
      <c r="AB73" s="128">
        <f>AA73/12</f>
        <v>205.02861927650318</v>
      </c>
      <c r="AC73" s="128">
        <f t="shared" ref="AC73:AC75" si="46">K73</f>
        <v>260.15419558333332</v>
      </c>
      <c r="AD73" s="139">
        <f>AB73</f>
        <v>205.02861927650318</v>
      </c>
      <c r="AE73" s="128">
        <f t="shared" ref="AE73:AE75" si="47">G73/12</f>
        <v>136.92326083333333</v>
      </c>
      <c r="AF73" s="128">
        <f t="shared" ref="AF73:AF75" si="48">AE73/AC73*100</f>
        <v>52.631578947368418</v>
      </c>
      <c r="AG73" s="131">
        <f>AD73*AF73%</f>
        <v>107.90979961921219</v>
      </c>
      <c r="AH73" s="51"/>
    </row>
    <row r="74" spans="1:34" x14ac:dyDescent="0.25">
      <c r="A74" s="1" t="s">
        <v>192</v>
      </c>
      <c r="B74" s="10">
        <v>3</v>
      </c>
      <c r="C74" s="35" t="s">
        <v>87</v>
      </c>
      <c r="D74" s="36">
        <v>1</v>
      </c>
      <c r="E74" s="128">
        <v>62.54</v>
      </c>
      <c r="F74" s="128">
        <f>+E74*1620.66</f>
        <v>101356.07640000001</v>
      </c>
      <c r="G74" s="128">
        <f>+F74/60</f>
        <v>1689.2679400000002</v>
      </c>
      <c r="H74" s="128">
        <f>+F74*1.5%</f>
        <v>1520.341146</v>
      </c>
      <c r="I74" s="128">
        <v>0</v>
      </c>
      <c r="J74" s="128">
        <f>+G74+H74+I74</f>
        <v>3209.6090860000004</v>
      </c>
      <c r="K74" s="128">
        <f>+J74/12</f>
        <v>267.46742383333338</v>
      </c>
      <c r="L74" s="128"/>
      <c r="M74" s="128">
        <f>+J74*(100%+5.6%)</f>
        <v>3389.3471948160004</v>
      </c>
      <c r="N74" s="128">
        <f>+K74*N70</f>
        <v>187.22719668333335</v>
      </c>
      <c r="O74" s="128">
        <f>+N74*O70</f>
        <v>149.78175734666669</v>
      </c>
      <c r="P74" s="128">
        <f>+N74*P70</f>
        <v>168.50447701500002</v>
      </c>
      <c r="Q74" s="128">
        <f>+N74*Q70</f>
        <v>187.22719668333335</v>
      </c>
      <c r="R74" s="128">
        <v>926.04</v>
      </c>
      <c r="S74" s="128">
        <f>R74*S70</f>
        <v>92.603999999999999</v>
      </c>
      <c r="T74" s="128">
        <v>0</v>
      </c>
      <c r="U74" s="128">
        <v>0</v>
      </c>
      <c r="V74" s="128">
        <v>0</v>
      </c>
      <c r="W74" s="128">
        <f>O74</f>
        <v>149.78175734666669</v>
      </c>
      <c r="X74" s="128">
        <f>W74*12-0.02</f>
        <v>1797.3610881600002</v>
      </c>
      <c r="Y74" s="128">
        <f>X74*(100+10.4)%</f>
        <v>1984.2866413286404</v>
      </c>
      <c r="Z74" s="128">
        <f>Y74*(100+5.6)%</f>
        <v>2095.4066932430442</v>
      </c>
      <c r="AA74" s="128">
        <f>Z74*(100+7.3)%</f>
        <v>2248.3713818497863</v>
      </c>
      <c r="AB74" s="128">
        <f>AA74/12</f>
        <v>187.36428182081553</v>
      </c>
      <c r="AC74" s="128">
        <f t="shared" si="46"/>
        <v>267.46742383333338</v>
      </c>
      <c r="AD74" s="139">
        <f>S74</f>
        <v>92.603999999999999</v>
      </c>
      <c r="AE74" s="128">
        <f t="shared" si="47"/>
        <v>140.77232833333335</v>
      </c>
      <c r="AF74" s="128">
        <f t="shared" si="48"/>
        <v>52.631578947368418</v>
      </c>
      <c r="AG74" s="131">
        <f>AD74*AF74%</f>
        <v>48.738947368421051</v>
      </c>
      <c r="AH74" s="51"/>
    </row>
    <row r="75" spans="1:34" x14ac:dyDescent="0.25">
      <c r="A75" s="1" t="s">
        <v>193</v>
      </c>
      <c r="B75" s="10">
        <v>4</v>
      </c>
      <c r="C75" s="35" t="s">
        <v>94</v>
      </c>
      <c r="D75" s="36">
        <v>1</v>
      </c>
      <c r="E75" s="128">
        <v>63.14</v>
      </c>
      <c r="F75" s="128">
        <f>+E75*1620.66</f>
        <v>102328.47240000001</v>
      </c>
      <c r="G75" s="128">
        <f>+F75/60</f>
        <v>1705.4745400000002</v>
      </c>
      <c r="H75" s="128">
        <f>+F75*1.5%</f>
        <v>1534.9270860000001</v>
      </c>
      <c r="I75" s="128">
        <v>0</v>
      </c>
      <c r="J75" s="128">
        <f>+G75+H75+I75</f>
        <v>3240.4016260000003</v>
      </c>
      <c r="K75" s="128">
        <f>+J75/12</f>
        <v>270.03346883333336</v>
      </c>
      <c r="L75" s="128"/>
      <c r="M75" s="128">
        <f>+J75*(100%+5.6%)</f>
        <v>3421.8641170560004</v>
      </c>
      <c r="N75" s="128">
        <f>+K75*N70</f>
        <v>189.02342818333335</v>
      </c>
      <c r="O75" s="128">
        <f>+N75*O70</f>
        <v>151.21874254666668</v>
      </c>
      <c r="P75" s="128">
        <f>+N75*P70</f>
        <v>170.12108536500003</v>
      </c>
      <c r="Q75" s="128">
        <f>+N75*Q70</f>
        <v>189.02342818333335</v>
      </c>
      <c r="R75" s="128">
        <v>1045.69</v>
      </c>
      <c r="S75" s="128">
        <f>R75*S70</f>
        <v>104.56900000000002</v>
      </c>
      <c r="T75" s="128">
        <v>0</v>
      </c>
      <c r="U75" s="128">
        <v>0</v>
      </c>
      <c r="V75" s="128">
        <v>0</v>
      </c>
      <c r="W75" s="128">
        <f>O75</f>
        <v>151.21874254666668</v>
      </c>
      <c r="X75" s="128">
        <f>W75*12+0.02</f>
        <v>1814.64491056</v>
      </c>
      <c r="Y75" s="128">
        <v>0</v>
      </c>
      <c r="Z75" s="128">
        <f>X75*(100+5.6)%-0.01</f>
        <v>1916.2550255513602</v>
      </c>
      <c r="AA75" s="128">
        <f>Z75*(100+7.3)%+0.01</f>
        <v>2056.1516424166098</v>
      </c>
      <c r="AB75" s="128">
        <f>AA75/12</f>
        <v>171.34597020138415</v>
      </c>
      <c r="AC75" s="128">
        <f t="shared" si="46"/>
        <v>270.03346883333336</v>
      </c>
      <c r="AD75" s="139">
        <f>S75</f>
        <v>104.56900000000002</v>
      </c>
      <c r="AE75" s="128">
        <f t="shared" si="47"/>
        <v>142.12287833333335</v>
      </c>
      <c r="AF75" s="128">
        <f t="shared" si="48"/>
        <v>52.631578947368418</v>
      </c>
      <c r="AG75" s="131">
        <f>AD75*AF75%</f>
        <v>55.03631578947369</v>
      </c>
      <c r="AH75" s="51"/>
    </row>
    <row r="76" spans="1:34" x14ac:dyDescent="0.25">
      <c r="B76" s="176"/>
      <c r="C76" s="248" t="s">
        <v>77</v>
      </c>
      <c r="D76" s="248"/>
      <c r="E76" s="175">
        <f t="shared" ref="E76:J76" si="49">SUM(E72:E75)</f>
        <v>240.32</v>
      </c>
      <c r="F76" s="175">
        <f t="shared" si="49"/>
        <v>389477.01120000007</v>
      </c>
      <c r="G76" s="175">
        <f t="shared" si="49"/>
        <v>6491.28352</v>
      </c>
      <c r="H76" s="175">
        <f t="shared" si="49"/>
        <v>5842.1551679999993</v>
      </c>
      <c r="I76" s="175">
        <f t="shared" si="49"/>
        <v>0</v>
      </c>
      <c r="J76" s="175">
        <f t="shared" si="49"/>
        <v>12333.438688</v>
      </c>
      <c r="K76" s="175">
        <f>SUM(K72:K75)-0.01</f>
        <v>1027.7765573333334</v>
      </c>
      <c r="L76" s="175"/>
      <c r="M76" s="175">
        <f>SUM(M72:M75)</f>
        <v>13024.111254528001</v>
      </c>
      <c r="N76" s="175">
        <f>SUM(N72:N75)</f>
        <v>719.45059013333344</v>
      </c>
      <c r="O76" s="175">
        <f>SUM(O72:O75)</f>
        <v>575.56047210666679</v>
      </c>
      <c r="P76" s="175">
        <f>SUM(P72:P75)-0.01</f>
        <v>647.49553112000001</v>
      </c>
      <c r="Q76" s="175">
        <f>SUM(Q72:Q75)</f>
        <v>719.45059013333344</v>
      </c>
      <c r="R76" s="175"/>
      <c r="S76" s="175">
        <f>SUM(S72:S75)-0.01</f>
        <v>250.17700000000002</v>
      </c>
      <c r="T76" s="175">
        <f t="shared" ref="T76:AG76" si="50">SUM(T72:T75)</f>
        <v>622.90600000000006</v>
      </c>
      <c r="U76" s="175">
        <f t="shared" si="50"/>
        <v>0</v>
      </c>
      <c r="V76" s="175">
        <f t="shared" si="50"/>
        <v>0</v>
      </c>
      <c r="W76" s="175">
        <f t="shared" si="50"/>
        <v>593.77126579750006</v>
      </c>
      <c r="X76" s="175">
        <f>SUM(X72:X75)-0.01</f>
        <v>7125.2351895699994</v>
      </c>
      <c r="Y76" s="175">
        <f t="shared" si="50"/>
        <v>4155.6391146740807</v>
      </c>
      <c r="Z76" s="175">
        <f>SUM(Z72:Z75)+0.01</f>
        <v>7937.6642373326304</v>
      </c>
      <c r="AA76" s="175">
        <f t="shared" si="50"/>
        <v>8517.1129966579119</v>
      </c>
      <c r="AB76" s="175">
        <f t="shared" si="50"/>
        <v>709.75941638815937</v>
      </c>
      <c r="AC76" s="175">
        <f>SUM(AC72:AC75)-0.01</f>
        <v>1027.7765573333334</v>
      </c>
      <c r="AD76" s="175">
        <f>SUM(AD72:AD75)-0.01</f>
        <v>455.20561927650317</v>
      </c>
      <c r="AE76" s="175">
        <f>SUM(AE72:AE75)-0.01</f>
        <v>540.93029333333334</v>
      </c>
      <c r="AF76" s="175">
        <f>SUM(AF72:AF75)-0.01</f>
        <v>210.51631578947368</v>
      </c>
      <c r="AG76" s="175">
        <f t="shared" si="50"/>
        <v>239.58716804026483</v>
      </c>
      <c r="AH76" s="51"/>
    </row>
    <row r="77" spans="1:34" x14ac:dyDescent="0.25">
      <c r="B77" s="4"/>
      <c r="C77" s="174"/>
      <c r="D77" s="174"/>
      <c r="E77" s="4"/>
      <c r="F77" s="4"/>
      <c r="G77" s="4"/>
      <c r="H77" s="4"/>
      <c r="I77" s="4"/>
      <c r="J77" s="4"/>
      <c r="K77" s="3"/>
      <c r="L77" s="3"/>
      <c r="M77" s="3"/>
      <c r="N77" s="3"/>
      <c r="O77" s="3"/>
      <c r="P77" s="3"/>
      <c r="Q77" s="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H77" s="4"/>
    </row>
    <row r="78" spans="1:34" x14ac:dyDescent="0.25">
      <c r="B78" s="3"/>
      <c r="C78" s="4"/>
      <c r="D78" s="5" t="s">
        <v>42</v>
      </c>
      <c r="E78" s="4"/>
      <c r="F78" s="4"/>
      <c r="G78" s="4"/>
      <c r="H78" s="4"/>
      <c r="I78" s="4"/>
      <c r="J78" s="4"/>
      <c r="K78" s="3"/>
      <c r="L78" s="3"/>
      <c r="M78" s="3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3"/>
      <c r="AF78" s="4"/>
      <c r="AG78" s="3"/>
      <c r="AH78" s="4"/>
    </row>
    <row r="79" spans="1:34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20" customHeight="1" x14ac:dyDescent="0.25">
      <c r="B80" s="215" t="s">
        <v>1</v>
      </c>
      <c r="C80" s="217" t="s">
        <v>56</v>
      </c>
      <c r="D80" s="209" t="s">
        <v>3</v>
      </c>
      <c r="E80" s="209" t="s">
        <v>4</v>
      </c>
      <c r="F80" s="209" t="s">
        <v>5</v>
      </c>
      <c r="G80" s="209" t="s">
        <v>6</v>
      </c>
      <c r="H80" s="209" t="s">
        <v>7</v>
      </c>
      <c r="I80" s="209" t="s">
        <v>8</v>
      </c>
      <c r="J80" s="209" t="s">
        <v>9</v>
      </c>
      <c r="K80" s="209" t="s">
        <v>57</v>
      </c>
      <c r="L80" s="22" t="s">
        <v>10</v>
      </c>
      <c r="M80" s="22" t="s">
        <v>10</v>
      </c>
      <c r="N80" s="22" t="s">
        <v>12</v>
      </c>
      <c r="O80" s="211" t="s">
        <v>13</v>
      </c>
      <c r="P80" s="212"/>
      <c r="Q80" s="213"/>
      <c r="R80" s="209" t="s">
        <v>14</v>
      </c>
      <c r="S80" s="225" t="s">
        <v>58</v>
      </c>
      <c r="T80" s="226"/>
      <c r="U80" s="226"/>
      <c r="V80" s="227"/>
      <c r="W80" s="207" t="s">
        <v>21</v>
      </c>
      <c r="X80" s="209" t="s">
        <v>9</v>
      </c>
      <c r="Y80" s="22" t="s">
        <v>242</v>
      </c>
      <c r="Z80" s="22" t="s">
        <v>243</v>
      </c>
      <c r="AA80" s="22" t="s">
        <v>156</v>
      </c>
      <c r="AB80" s="207" t="s">
        <v>59</v>
      </c>
      <c r="AC80" s="228" t="s">
        <v>18</v>
      </c>
      <c r="AD80" s="229"/>
      <c r="AE80" s="229"/>
      <c r="AF80" s="229"/>
      <c r="AG80" s="205" t="s">
        <v>19</v>
      </c>
      <c r="AH80" s="4"/>
    </row>
    <row r="81" spans="1:34" ht="51" x14ac:dyDescent="0.25">
      <c r="B81" s="216"/>
      <c r="C81" s="218"/>
      <c r="D81" s="210"/>
      <c r="E81" s="210"/>
      <c r="F81" s="210"/>
      <c r="G81" s="210"/>
      <c r="H81" s="210"/>
      <c r="I81" s="210"/>
      <c r="J81" s="210"/>
      <c r="K81" s="210"/>
      <c r="L81" s="22">
        <v>5.6</v>
      </c>
      <c r="M81" s="22">
        <v>5.6</v>
      </c>
      <c r="N81" s="22">
        <v>0.7</v>
      </c>
      <c r="O81" s="23">
        <v>0.8</v>
      </c>
      <c r="P81" s="24">
        <v>0.9</v>
      </c>
      <c r="Q81" s="28">
        <v>1</v>
      </c>
      <c r="R81" s="210"/>
      <c r="S81" s="29">
        <v>0.1</v>
      </c>
      <c r="T81" s="30">
        <v>0.2</v>
      </c>
      <c r="U81" s="30">
        <v>0.3</v>
      </c>
      <c r="V81" s="30">
        <v>0.1</v>
      </c>
      <c r="W81" s="208"/>
      <c r="X81" s="210"/>
      <c r="Y81" s="22">
        <v>10.4</v>
      </c>
      <c r="Z81" s="22">
        <v>5.6</v>
      </c>
      <c r="AA81" s="22">
        <v>7.3</v>
      </c>
      <c r="AB81" s="208"/>
      <c r="AC81" s="33" t="s">
        <v>20</v>
      </c>
      <c r="AD81" s="33" t="s">
        <v>21</v>
      </c>
      <c r="AE81" s="33" t="s">
        <v>22</v>
      </c>
      <c r="AF81" s="33" t="s">
        <v>23</v>
      </c>
      <c r="AG81" s="206"/>
      <c r="AH81" s="4"/>
    </row>
    <row r="82" spans="1:34" x14ac:dyDescent="0.25">
      <c r="B82" s="7"/>
      <c r="C82" s="8"/>
      <c r="D82" s="9">
        <v>0</v>
      </c>
      <c r="E82" s="9">
        <v>1</v>
      </c>
      <c r="F82" s="9">
        <v>2</v>
      </c>
      <c r="G82" s="9" t="s">
        <v>24</v>
      </c>
      <c r="H82" s="9" t="s">
        <v>25</v>
      </c>
      <c r="I82" s="9" t="s">
        <v>26</v>
      </c>
      <c r="J82" s="9" t="s">
        <v>27</v>
      </c>
      <c r="K82" s="25" t="s">
        <v>60</v>
      </c>
      <c r="L82" s="9" t="s">
        <v>61</v>
      </c>
      <c r="M82" s="9" t="s">
        <v>61</v>
      </c>
      <c r="N82" s="9" t="s">
        <v>62</v>
      </c>
      <c r="O82" s="9" t="s">
        <v>63</v>
      </c>
      <c r="P82" s="9" t="s">
        <v>63</v>
      </c>
      <c r="Q82" s="9" t="s">
        <v>63</v>
      </c>
      <c r="R82" s="9">
        <v>9</v>
      </c>
      <c r="S82" s="31" t="s">
        <v>161</v>
      </c>
      <c r="T82" s="31" t="s">
        <v>162</v>
      </c>
      <c r="U82" s="31" t="s">
        <v>163</v>
      </c>
      <c r="V82" s="31" t="s">
        <v>164</v>
      </c>
      <c r="W82" s="31" t="s">
        <v>64</v>
      </c>
      <c r="X82" s="9" t="s">
        <v>65</v>
      </c>
      <c r="Y82" s="9" t="s">
        <v>66</v>
      </c>
      <c r="Z82" s="9" t="s">
        <v>67</v>
      </c>
      <c r="AA82" s="9" t="s">
        <v>246</v>
      </c>
      <c r="AB82" s="9" t="s">
        <v>240</v>
      </c>
      <c r="AC82" s="9">
        <v>16</v>
      </c>
      <c r="AD82" s="31" t="s">
        <v>158</v>
      </c>
      <c r="AE82" s="31" t="s">
        <v>159</v>
      </c>
      <c r="AF82" s="31" t="s">
        <v>160</v>
      </c>
      <c r="AG82" s="9">
        <v>17</v>
      </c>
      <c r="AH82" s="4"/>
    </row>
    <row r="83" spans="1:34" x14ac:dyDescent="0.25">
      <c r="A83" s="1" t="s">
        <v>189</v>
      </c>
      <c r="B83" s="10">
        <v>1</v>
      </c>
      <c r="C83" s="10" t="s">
        <v>86</v>
      </c>
      <c r="D83" s="179">
        <v>1</v>
      </c>
      <c r="E83" s="180">
        <v>56.55</v>
      </c>
      <c r="F83" s="180">
        <f>+E83*1620.66</f>
        <v>91648.323000000004</v>
      </c>
      <c r="G83" s="180">
        <f>+F83/60</f>
        <v>1527.4720500000001</v>
      </c>
      <c r="H83" s="180">
        <f>+F83*1.5%</f>
        <v>1374.724845</v>
      </c>
      <c r="I83" s="180">
        <f>F83*0.5%</f>
        <v>458.24161500000002</v>
      </c>
      <c r="J83" s="180">
        <f>G83+H83+I83-0.01</f>
        <v>3360.4285099999997</v>
      </c>
      <c r="K83" s="180">
        <f>+J83/12</f>
        <v>280.03570916666666</v>
      </c>
      <c r="L83" s="180"/>
      <c r="M83" s="180">
        <f>+J83*(100%+5.6%)</f>
        <v>3548.6125065599999</v>
      </c>
      <c r="N83" s="180">
        <f>K83*N81</f>
        <v>196.02499641666665</v>
      </c>
      <c r="O83" s="180">
        <f>N83*O81</f>
        <v>156.81999713333335</v>
      </c>
      <c r="P83" s="180">
        <f>N83*P81</f>
        <v>176.42249677499998</v>
      </c>
      <c r="Q83" s="180">
        <f>+N83*Q81</f>
        <v>196.02499641666665</v>
      </c>
      <c r="R83" s="180">
        <v>449.92</v>
      </c>
      <c r="S83" s="180">
        <f>R83*S81</f>
        <v>44.992000000000004</v>
      </c>
      <c r="T83" s="180">
        <v>0</v>
      </c>
      <c r="U83" s="180">
        <v>0</v>
      </c>
      <c r="V83" s="180">
        <v>0</v>
      </c>
      <c r="W83" s="180">
        <f>O83</f>
        <v>156.81999713333335</v>
      </c>
      <c r="X83" s="180">
        <f>W83*12</f>
        <v>1881.8399656000001</v>
      </c>
      <c r="Y83" s="180">
        <f>X83*(100+10.4)%</f>
        <v>2077.5513220224002</v>
      </c>
      <c r="Z83" s="180">
        <f>Y83*(100+5.6)%-0.01</f>
        <v>2193.8841960556547</v>
      </c>
      <c r="AA83" s="180">
        <f>Z83*(100+7.3)%</f>
        <v>2354.0377423677173</v>
      </c>
      <c r="AB83" s="180">
        <f>AA83/12</f>
        <v>196.16981186397643</v>
      </c>
      <c r="AC83" s="180">
        <f>K83</f>
        <v>280.03570916666666</v>
      </c>
      <c r="AD83" s="139">
        <v>61</v>
      </c>
      <c r="AE83" s="180">
        <f>G83/12</f>
        <v>127.2893375</v>
      </c>
      <c r="AF83" s="180">
        <f>AE83/AC83*100</f>
        <v>45.45468071868013</v>
      </c>
      <c r="AG83" s="180">
        <f>AD83*AF83%-0.01</f>
        <v>27.717355238394877</v>
      </c>
      <c r="AH83" s="152"/>
    </row>
    <row r="84" spans="1:34" ht="15" customHeight="1" x14ac:dyDescent="0.25">
      <c r="A84" s="1" t="s">
        <v>194</v>
      </c>
      <c r="B84" s="10">
        <v>2</v>
      </c>
      <c r="C84" s="10" t="s">
        <v>89</v>
      </c>
      <c r="D84" s="179">
        <v>1</v>
      </c>
      <c r="E84" s="180">
        <v>60.83</v>
      </c>
      <c r="F84" s="180">
        <f>+E84*1620.66</f>
        <v>98584.747799999997</v>
      </c>
      <c r="G84" s="180">
        <f>+F84/60</f>
        <v>1643.0791299999999</v>
      </c>
      <c r="H84" s="180">
        <f>F84*1.5%</f>
        <v>1478.771217</v>
      </c>
      <c r="I84" s="180">
        <f>F84*0.5%</f>
        <v>492.92373900000001</v>
      </c>
      <c r="J84" s="180">
        <f>G84+H84+I84</f>
        <v>3614.7740859999994</v>
      </c>
      <c r="K84" s="180">
        <f>+J84/12</f>
        <v>301.23117383333329</v>
      </c>
      <c r="L84" s="180"/>
      <c r="M84" s="180">
        <f>+J84*(100%+5.6%)</f>
        <v>3817.2014348159996</v>
      </c>
      <c r="N84" s="180">
        <f>+K84*N81</f>
        <v>210.86182168333329</v>
      </c>
      <c r="O84" s="180">
        <f>+N84*O81</f>
        <v>168.68945734666664</v>
      </c>
      <c r="P84" s="180">
        <f>N84*P81</f>
        <v>189.77563951499997</v>
      </c>
      <c r="Q84" s="180">
        <f>+N84*Q81</f>
        <v>210.86182168333329</v>
      </c>
      <c r="R84" s="180" t="s">
        <v>251</v>
      </c>
      <c r="S84" s="180">
        <v>0</v>
      </c>
      <c r="T84" s="180">
        <v>0</v>
      </c>
      <c r="U84" s="180">
        <v>0</v>
      </c>
      <c r="V84" s="180">
        <v>0</v>
      </c>
      <c r="W84" s="180">
        <f>N84</f>
        <v>210.86182168333329</v>
      </c>
      <c r="X84" s="180">
        <f>W84*12-0.02</f>
        <v>2530.3218601999993</v>
      </c>
      <c r="Y84" s="180">
        <v>0</v>
      </c>
      <c r="Z84" s="180">
        <v>0</v>
      </c>
      <c r="AA84" s="180">
        <f>X84*(100+7.3)%-0.01</f>
        <v>2715.0253559945991</v>
      </c>
      <c r="AB84" s="180">
        <f>AA84/12</f>
        <v>226.25211299954992</v>
      </c>
      <c r="AC84" s="180">
        <f t="shared" ref="AC84:AC87" si="51">K84</f>
        <v>301.23117383333329</v>
      </c>
      <c r="AD84" s="139">
        <f>AB84</f>
        <v>226.25211299954992</v>
      </c>
      <c r="AE84" s="180">
        <f t="shared" ref="AE84:AE87" si="52">G84/12</f>
        <v>136.92326083333333</v>
      </c>
      <c r="AF84" s="180">
        <f t="shared" ref="AF84:AF87" si="53">AE84/AC84*100</f>
        <v>45.45454545454546</v>
      </c>
      <c r="AG84" s="180">
        <f>AD84*AF84%-0.01</f>
        <v>102.83186954524997</v>
      </c>
      <c r="AH84" s="154"/>
    </row>
    <row r="85" spans="1:34" ht="12.95" customHeight="1" x14ac:dyDescent="0.25">
      <c r="A85" s="1" t="s">
        <v>195</v>
      </c>
      <c r="B85" s="10">
        <v>3</v>
      </c>
      <c r="C85" s="10" t="s">
        <v>90</v>
      </c>
      <c r="D85" s="179">
        <v>1</v>
      </c>
      <c r="E85" s="180">
        <v>61.35</v>
      </c>
      <c r="F85" s="180">
        <f>+E85*1620.66</f>
        <v>99427.491000000009</v>
      </c>
      <c r="G85" s="180">
        <f>+F85/60</f>
        <v>1657.1248500000002</v>
      </c>
      <c r="H85" s="180">
        <f>F85*1.5%</f>
        <v>1491.4123650000001</v>
      </c>
      <c r="I85" s="180">
        <f>F85*0.5%</f>
        <v>497.13745500000005</v>
      </c>
      <c r="J85" s="180">
        <f>G85+H85+I85</f>
        <v>3645.6746700000003</v>
      </c>
      <c r="K85" s="180">
        <f>+J85/12</f>
        <v>303.80622250000005</v>
      </c>
      <c r="L85" s="180"/>
      <c r="M85" s="180">
        <f>+J85*(100%+5.6%)</f>
        <v>3849.8324515200006</v>
      </c>
      <c r="N85" s="180">
        <v>212.67</v>
      </c>
      <c r="O85" s="180">
        <f>+N85*O81</f>
        <v>170.136</v>
      </c>
      <c r="P85" s="180">
        <f>+N85*P81</f>
        <v>191.40299999999999</v>
      </c>
      <c r="Q85" s="180">
        <f>+N85*Q81</f>
        <v>212.67</v>
      </c>
      <c r="R85" s="180">
        <v>2082.31</v>
      </c>
      <c r="S85" s="180">
        <f>R85*S81</f>
        <v>208.23099999999999</v>
      </c>
      <c r="T85" s="180">
        <v>0</v>
      </c>
      <c r="U85" s="180">
        <v>0</v>
      </c>
      <c r="V85" s="180">
        <v>0</v>
      </c>
      <c r="W85" s="180">
        <f>O85</f>
        <v>170.136</v>
      </c>
      <c r="X85" s="180">
        <f>W85*12+0.05</f>
        <v>2041.682</v>
      </c>
      <c r="Y85" s="180">
        <f>X85*(100+10.4)%-0.01</f>
        <v>2254.0069279999998</v>
      </c>
      <c r="Z85" s="180">
        <f>Y85*(100+5.6)%</f>
        <v>2380.2313159679998</v>
      </c>
      <c r="AA85" s="180">
        <f>Z85*(100+7.3)%</f>
        <v>2553.9882020336636</v>
      </c>
      <c r="AB85" s="180">
        <f>AA85/12</f>
        <v>212.83235016947197</v>
      </c>
      <c r="AC85" s="180">
        <f t="shared" si="51"/>
        <v>303.80622250000005</v>
      </c>
      <c r="AD85" s="139">
        <f>S85</f>
        <v>208.23099999999999</v>
      </c>
      <c r="AE85" s="180">
        <f t="shared" si="52"/>
        <v>138.0937375</v>
      </c>
      <c r="AF85" s="180">
        <f t="shared" si="53"/>
        <v>45.454545454545446</v>
      </c>
      <c r="AG85" s="180">
        <f>AD85*AF85%-0.01</f>
        <v>94.640454545454517</v>
      </c>
      <c r="AH85" s="154"/>
    </row>
    <row r="86" spans="1:34" ht="14.1" customHeight="1" x14ac:dyDescent="0.25">
      <c r="A86" s="1" t="s">
        <v>196</v>
      </c>
      <c r="B86" s="10">
        <v>4</v>
      </c>
      <c r="C86" s="10" t="s">
        <v>91</v>
      </c>
      <c r="D86" s="179">
        <v>1</v>
      </c>
      <c r="E86" s="180">
        <v>63.14</v>
      </c>
      <c r="F86" s="180">
        <f>+E86*1620.66</f>
        <v>102328.47240000001</v>
      </c>
      <c r="G86" s="180">
        <f>F86/60</f>
        <v>1705.4745400000002</v>
      </c>
      <c r="H86" s="180">
        <f>F86*1.5%</f>
        <v>1534.9270860000001</v>
      </c>
      <c r="I86" s="180">
        <f>F86*0.5%</f>
        <v>511.64236200000011</v>
      </c>
      <c r="J86" s="180">
        <f>G86+H86+I86</f>
        <v>3752.0439880000004</v>
      </c>
      <c r="K86" s="180">
        <f>+J86/12</f>
        <v>312.67033233333336</v>
      </c>
      <c r="L86" s="180"/>
      <c r="M86" s="180">
        <f>+J86*(100%+5.6%)</f>
        <v>3962.1584513280004</v>
      </c>
      <c r="N86" s="180">
        <f>+K86*N81</f>
        <v>218.86923263333335</v>
      </c>
      <c r="O86" s="180">
        <f>+N86*O81</f>
        <v>175.09538610666669</v>
      </c>
      <c r="P86" s="180">
        <f>+N86*P81</f>
        <v>196.98230937000002</v>
      </c>
      <c r="Q86" s="180">
        <f>+N86*Q81</f>
        <v>218.86923263333335</v>
      </c>
      <c r="R86" s="180">
        <v>5249.25</v>
      </c>
      <c r="S86" s="180">
        <v>0</v>
      </c>
      <c r="T86" s="180">
        <v>0</v>
      </c>
      <c r="U86" s="180">
        <f>R86*U81</f>
        <v>1574.7749999999999</v>
      </c>
      <c r="V86" s="180">
        <v>0</v>
      </c>
      <c r="W86" s="180">
        <f>Q86</f>
        <v>218.86923263333335</v>
      </c>
      <c r="X86" s="180">
        <f>W86*12+0.01</f>
        <v>2626.4407916000005</v>
      </c>
      <c r="Y86" s="180">
        <f>X86*(100+10.4)%</f>
        <v>2899.5906339264006</v>
      </c>
      <c r="Z86" s="180">
        <f>Y86*(100+5.6)%</f>
        <v>3061.9677094262793</v>
      </c>
      <c r="AA86" s="180">
        <f>Z86*(100+7.3)%</f>
        <v>3285.4913522143975</v>
      </c>
      <c r="AB86" s="180">
        <f>AA86/12</f>
        <v>273.79094601786647</v>
      </c>
      <c r="AC86" s="180">
        <f t="shared" si="51"/>
        <v>312.67033233333336</v>
      </c>
      <c r="AD86" s="139">
        <f>AB86</f>
        <v>273.79094601786647</v>
      </c>
      <c r="AE86" s="180">
        <f t="shared" si="52"/>
        <v>142.12287833333335</v>
      </c>
      <c r="AF86" s="180">
        <f t="shared" si="53"/>
        <v>45.454545454545453</v>
      </c>
      <c r="AG86" s="180">
        <f>AD86*AF86%-0.01</f>
        <v>124.44043000812111</v>
      </c>
      <c r="AH86" s="154"/>
    </row>
    <row r="87" spans="1:34" ht="14.1" customHeight="1" x14ac:dyDescent="0.25">
      <c r="A87" s="1" t="s">
        <v>197</v>
      </c>
      <c r="B87" s="10">
        <v>5</v>
      </c>
      <c r="C87" s="10" t="s">
        <v>97</v>
      </c>
      <c r="D87" s="179">
        <v>1</v>
      </c>
      <c r="E87" s="180">
        <v>61.35</v>
      </c>
      <c r="F87" s="180">
        <f>+E87*1620.66</f>
        <v>99427.491000000009</v>
      </c>
      <c r="G87" s="180">
        <f>F87/60</f>
        <v>1657.1248500000002</v>
      </c>
      <c r="H87" s="180">
        <f>F87*1.5%</f>
        <v>1491.4123650000001</v>
      </c>
      <c r="I87" s="180">
        <f>F87*0.5%</f>
        <v>497.13745500000005</v>
      </c>
      <c r="J87" s="180">
        <f>G87+H87+I87</f>
        <v>3645.6746700000003</v>
      </c>
      <c r="K87" s="180">
        <f>+J87/12</f>
        <v>303.80622250000005</v>
      </c>
      <c r="L87" s="180"/>
      <c r="M87" s="180">
        <f>+J87*(100%+5.6%)</f>
        <v>3849.8324515200006</v>
      </c>
      <c r="N87" s="180">
        <v>212.67</v>
      </c>
      <c r="O87" s="180">
        <f>+N87*O81</f>
        <v>170.136</v>
      </c>
      <c r="P87" s="180">
        <f>+N87*P81</f>
        <v>191.40299999999999</v>
      </c>
      <c r="Q87" s="180">
        <f>+N87*Q81</f>
        <v>212.67</v>
      </c>
      <c r="R87" s="180">
        <v>50.87</v>
      </c>
      <c r="S87" s="180">
        <f>R87*S81</f>
        <v>5.0869999999999997</v>
      </c>
      <c r="T87" s="180">
        <v>0</v>
      </c>
      <c r="U87" s="180">
        <v>0</v>
      </c>
      <c r="V87" s="180">
        <v>0</v>
      </c>
      <c r="W87" s="180">
        <f>O87</f>
        <v>170.136</v>
      </c>
      <c r="X87" s="180">
        <f>W87*12+0.05</f>
        <v>2041.682</v>
      </c>
      <c r="Y87" s="180">
        <f>X87*(100+10.4)%-0.01</f>
        <v>2254.0069279999998</v>
      </c>
      <c r="Z87" s="180">
        <f>Y87*(100+5.6)%</f>
        <v>2380.2313159679998</v>
      </c>
      <c r="AA87" s="180">
        <f>Z87*(100+7.3)%</f>
        <v>2553.9882020336636</v>
      </c>
      <c r="AB87" s="180">
        <f>AA87/12</f>
        <v>212.83235016947197</v>
      </c>
      <c r="AC87" s="180">
        <f t="shared" si="51"/>
        <v>303.80622250000005</v>
      </c>
      <c r="AD87" s="139">
        <v>61</v>
      </c>
      <c r="AE87" s="180">
        <f t="shared" si="52"/>
        <v>138.0937375</v>
      </c>
      <c r="AF87" s="180">
        <f t="shared" si="53"/>
        <v>45.454545454545446</v>
      </c>
      <c r="AG87" s="180">
        <f>AD87*AF87%-0.01</f>
        <v>27.717272727272722</v>
      </c>
      <c r="AH87" s="154"/>
    </row>
    <row r="88" spans="1:34" x14ac:dyDescent="0.25">
      <c r="B88" s="176"/>
      <c r="C88" s="248" t="s">
        <v>77</v>
      </c>
      <c r="D88" s="248"/>
      <c r="E88" s="175">
        <f>SUM(E83:E87)</f>
        <v>303.22000000000003</v>
      </c>
      <c r="F88" s="175">
        <f>SUM(F83:F87)-0.01</f>
        <v>491416.51520000002</v>
      </c>
      <c r="G88" s="175">
        <f>SUM(G83:G87)-0.02</f>
        <v>8190.2554200000004</v>
      </c>
      <c r="H88" s="175">
        <f>SUM(H83:H87)-0.01</f>
        <v>7371.2378779999999</v>
      </c>
      <c r="I88" s="175">
        <f>SUM(I83:I87)</f>
        <v>2457.0826260000003</v>
      </c>
      <c r="J88" s="175">
        <f>SUM(J83:J87)-0.02</f>
        <v>18018.575924000001</v>
      </c>
      <c r="K88" s="175">
        <f>SUM(K83:K87)+0.01</f>
        <v>1501.5596603333336</v>
      </c>
      <c r="L88" s="175"/>
      <c r="M88" s="175">
        <f>SUM(M84:M87)</f>
        <v>15479.024789184001</v>
      </c>
      <c r="N88" s="175">
        <f>SUM(N83:N87)-0.01</f>
        <v>1051.0860507333332</v>
      </c>
      <c r="O88" s="175">
        <f>SUM(O83:O87)+0.01</f>
        <v>840.88684058666672</v>
      </c>
      <c r="P88" s="175">
        <f>SUM(P83:P87)-0.01</f>
        <v>945.97644566000008</v>
      </c>
      <c r="Q88" s="175">
        <f>SUM(Q83:Q87)-0.01</f>
        <v>1051.0860507333332</v>
      </c>
      <c r="R88" s="175"/>
      <c r="S88" s="175">
        <f>SUM(S83:S87)</f>
        <v>258.31</v>
      </c>
      <c r="T88" s="175">
        <f t="shared" ref="T88:V88" si="54">SUM(T84:T87)</f>
        <v>0</v>
      </c>
      <c r="U88" s="175">
        <f t="shared" si="54"/>
        <v>1574.7749999999999</v>
      </c>
      <c r="V88" s="175">
        <f t="shared" si="54"/>
        <v>0</v>
      </c>
      <c r="W88" s="175">
        <f>SUM(W83:W87)+0.01</f>
        <v>926.83305144999997</v>
      </c>
      <c r="X88" s="175">
        <f>SUM(X83:X87)-0.01</f>
        <v>11121.956617400001</v>
      </c>
      <c r="Y88" s="175">
        <f>SUM(Y83:Y87)</f>
        <v>9485.1558119488</v>
      </c>
      <c r="Z88" s="175">
        <f>SUM(Z83:Z87)</f>
        <v>10016.314537417933</v>
      </c>
      <c r="AA88" s="175">
        <f>SUM(AA83:AA87)+0.01</f>
        <v>13462.540854644039</v>
      </c>
      <c r="AB88" s="175">
        <f>SUM(AB83:AB87)-0.01</f>
        <v>1121.8675712203367</v>
      </c>
      <c r="AC88" s="175">
        <f>SUM(AC83:AC87)+0.01</f>
        <v>1501.5596603333336</v>
      </c>
      <c r="AD88" s="175">
        <f>SUM(AD83:AD87)</f>
        <v>830.27405901741645</v>
      </c>
      <c r="AE88" s="175">
        <f>SUM(AE83:AE87)-0.01</f>
        <v>682.51295166666671</v>
      </c>
      <c r="AF88" s="175">
        <f>SUM(AF83:AF87)-0.02</f>
        <v>227.2528625368619</v>
      </c>
      <c r="AG88" s="175">
        <f>SUM(AG83:AG87)</f>
        <v>377.34738206449316</v>
      </c>
      <c r="AH88" s="154"/>
    </row>
    <row r="89" spans="1:34" x14ac:dyDescent="0.25">
      <c r="B89" s="4"/>
      <c r="C89" s="39"/>
      <c r="D89" s="39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51"/>
    </row>
    <row r="90" spans="1:34" ht="20.100000000000001" customHeight="1" x14ac:dyDescent="0.25">
      <c r="B90" s="4"/>
      <c r="C90" s="223" t="s">
        <v>98</v>
      </c>
      <c r="D90" s="223"/>
      <c r="E90" s="223"/>
      <c r="F90" s="223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"/>
    </row>
    <row r="91" spans="1:34" ht="11.1" customHeight="1" x14ac:dyDescent="0.25">
      <c r="B91" s="4"/>
      <c r="C91" s="42"/>
      <c r="D91" s="42"/>
      <c r="E91" s="42"/>
      <c r="F91" s="42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"/>
    </row>
    <row r="92" spans="1:34" x14ac:dyDescent="0.25">
      <c r="B92" s="231" t="s">
        <v>0</v>
      </c>
      <c r="C92" s="231"/>
      <c r="D92" s="231"/>
      <c r="E92" s="23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21.5" customHeight="1" x14ac:dyDescent="0.25">
      <c r="B94" s="215" t="s">
        <v>1</v>
      </c>
      <c r="C94" s="217" t="s">
        <v>56</v>
      </c>
      <c r="D94" s="209" t="s">
        <v>3</v>
      </c>
      <c r="E94" s="209" t="s">
        <v>4</v>
      </c>
      <c r="F94" s="209" t="s">
        <v>5</v>
      </c>
      <c r="G94" s="209" t="s">
        <v>6</v>
      </c>
      <c r="H94" s="209" t="s">
        <v>7</v>
      </c>
      <c r="I94" s="209" t="s">
        <v>8</v>
      </c>
      <c r="J94" s="209" t="s">
        <v>9</v>
      </c>
      <c r="K94" s="209" t="s">
        <v>57</v>
      </c>
      <c r="L94" s="22" t="s">
        <v>10</v>
      </c>
      <c r="M94" s="22" t="s">
        <v>10</v>
      </c>
      <c r="N94" s="22" t="s">
        <v>12</v>
      </c>
      <c r="O94" s="211" t="s">
        <v>13</v>
      </c>
      <c r="P94" s="212"/>
      <c r="Q94" s="213"/>
      <c r="R94" s="209" t="s">
        <v>14</v>
      </c>
      <c r="S94" s="225" t="s">
        <v>58</v>
      </c>
      <c r="T94" s="226"/>
      <c r="U94" s="226"/>
      <c r="V94" s="227"/>
      <c r="W94" s="207" t="s">
        <v>21</v>
      </c>
      <c r="X94" s="209" t="s">
        <v>9</v>
      </c>
      <c r="Y94" s="22" t="s">
        <v>242</v>
      </c>
      <c r="Z94" s="22" t="s">
        <v>243</v>
      </c>
      <c r="AA94" s="22" t="s">
        <v>156</v>
      </c>
      <c r="AB94" s="207" t="s">
        <v>59</v>
      </c>
      <c r="AC94" s="228" t="s">
        <v>18</v>
      </c>
      <c r="AD94" s="229"/>
      <c r="AE94" s="229"/>
      <c r="AF94" s="229"/>
      <c r="AG94" s="205" t="s">
        <v>19</v>
      </c>
      <c r="AH94"/>
    </row>
    <row r="95" spans="1:34" ht="51" x14ac:dyDescent="0.25">
      <c r="B95" s="216"/>
      <c r="C95" s="218"/>
      <c r="D95" s="210"/>
      <c r="E95" s="210"/>
      <c r="F95" s="210"/>
      <c r="G95" s="210"/>
      <c r="H95" s="210"/>
      <c r="I95" s="210"/>
      <c r="J95" s="210"/>
      <c r="K95" s="210"/>
      <c r="L95" s="22">
        <v>5.6</v>
      </c>
      <c r="M95" s="22">
        <v>5.6</v>
      </c>
      <c r="N95" s="22">
        <v>0.7</v>
      </c>
      <c r="O95" s="23">
        <v>0.8</v>
      </c>
      <c r="P95" s="24">
        <v>0.9</v>
      </c>
      <c r="Q95" s="28">
        <v>1</v>
      </c>
      <c r="R95" s="210"/>
      <c r="S95" s="29">
        <v>0.1</v>
      </c>
      <c r="T95" s="30">
        <v>0.2</v>
      </c>
      <c r="U95" s="30">
        <v>0.3</v>
      </c>
      <c r="V95" s="30">
        <v>0.1</v>
      </c>
      <c r="W95" s="208"/>
      <c r="X95" s="210"/>
      <c r="Y95" s="22">
        <v>10.4</v>
      </c>
      <c r="Z95" s="22">
        <v>5.6</v>
      </c>
      <c r="AA95" s="22">
        <v>7.3</v>
      </c>
      <c r="AB95" s="208"/>
      <c r="AC95" s="33" t="s">
        <v>20</v>
      </c>
      <c r="AD95" s="33" t="s">
        <v>21</v>
      </c>
      <c r="AE95" s="33" t="s">
        <v>22</v>
      </c>
      <c r="AF95" s="33" t="s">
        <v>23</v>
      </c>
      <c r="AG95" s="206"/>
      <c r="AH95"/>
    </row>
    <row r="96" spans="1:34" ht="15" x14ac:dyDescent="0.25">
      <c r="B96" s="7"/>
      <c r="C96" s="8"/>
      <c r="D96" s="9">
        <v>0</v>
      </c>
      <c r="E96" s="9">
        <v>1</v>
      </c>
      <c r="F96" s="9">
        <v>2</v>
      </c>
      <c r="G96" s="9" t="s">
        <v>24</v>
      </c>
      <c r="H96" s="9" t="s">
        <v>25</v>
      </c>
      <c r="I96" s="9" t="s">
        <v>26</v>
      </c>
      <c r="J96" s="9" t="s">
        <v>27</v>
      </c>
      <c r="K96" s="25" t="s">
        <v>60</v>
      </c>
      <c r="L96" s="9" t="s">
        <v>61</v>
      </c>
      <c r="M96" s="9" t="s">
        <v>61</v>
      </c>
      <c r="N96" s="9" t="s">
        <v>62</v>
      </c>
      <c r="O96" s="9" t="s">
        <v>63</v>
      </c>
      <c r="P96" s="9" t="s">
        <v>63</v>
      </c>
      <c r="Q96" s="9" t="s">
        <v>63</v>
      </c>
      <c r="R96" s="9">
        <v>9</v>
      </c>
      <c r="S96" s="31" t="s">
        <v>161</v>
      </c>
      <c r="T96" s="31" t="s">
        <v>162</v>
      </c>
      <c r="U96" s="31" t="s">
        <v>163</v>
      </c>
      <c r="V96" s="31" t="s">
        <v>164</v>
      </c>
      <c r="W96" s="31" t="s">
        <v>64</v>
      </c>
      <c r="X96" s="9" t="s">
        <v>65</v>
      </c>
      <c r="Y96" s="9" t="s">
        <v>66</v>
      </c>
      <c r="Z96" s="9" t="s">
        <v>67</v>
      </c>
      <c r="AA96" s="9" t="s">
        <v>246</v>
      </c>
      <c r="AB96" s="9" t="s">
        <v>240</v>
      </c>
      <c r="AC96" s="9">
        <v>16</v>
      </c>
      <c r="AD96" s="31" t="s">
        <v>158</v>
      </c>
      <c r="AE96" s="31" t="s">
        <v>159</v>
      </c>
      <c r="AF96" s="31" t="s">
        <v>160</v>
      </c>
      <c r="AG96" s="9">
        <v>17</v>
      </c>
      <c r="AH96"/>
    </row>
    <row r="97" spans="1:34" ht="15" x14ac:dyDescent="0.25">
      <c r="A97" s="1" t="s">
        <v>198</v>
      </c>
      <c r="B97" s="35">
        <v>1</v>
      </c>
      <c r="C97" s="35" t="s">
        <v>99</v>
      </c>
      <c r="D97" s="36">
        <v>2</v>
      </c>
      <c r="E97" s="43">
        <v>99.13</v>
      </c>
      <c r="F97" s="128">
        <f>+E97*952.3639558</f>
        <v>94407.838938453991</v>
      </c>
      <c r="G97" s="128">
        <f>+F97/60</f>
        <v>1573.4639823075665</v>
      </c>
      <c r="H97" s="128">
        <f>+F97*1.5%</f>
        <v>1416.1175840768099</v>
      </c>
      <c r="I97" s="128">
        <v>0</v>
      </c>
      <c r="J97" s="128">
        <f>+G97+H97</f>
        <v>2989.5815663843764</v>
      </c>
      <c r="K97" s="128">
        <f>+J97/12</f>
        <v>249.13179719869802</v>
      </c>
      <c r="L97" s="128"/>
      <c r="M97" s="128">
        <f>J97*(100%+5.6%)</f>
        <v>3156.9981341019015</v>
      </c>
      <c r="N97" s="128">
        <f>+K97*N95</f>
        <v>174.3922580390886</v>
      </c>
      <c r="O97" s="128">
        <f>+N97*O95</f>
        <v>139.51380643127089</v>
      </c>
      <c r="P97" s="128">
        <f>+N97*P95</f>
        <v>156.95303223517973</v>
      </c>
      <c r="Q97" s="128">
        <f>+N97*Q95</f>
        <v>174.3922580390886</v>
      </c>
      <c r="R97" s="128" t="s">
        <v>245</v>
      </c>
      <c r="S97" s="128">
        <v>0</v>
      </c>
      <c r="T97" s="128">
        <v>0</v>
      </c>
      <c r="U97" s="128">
        <v>0</v>
      </c>
      <c r="V97" s="128">
        <v>257.39999999999998</v>
      </c>
      <c r="W97" s="128">
        <v>257.39999999999998</v>
      </c>
      <c r="X97" s="128">
        <f>W97*12</f>
        <v>3088.7999999999997</v>
      </c>
      <c r="Y97" s="128">
        <f>X97*(100+10.4)%</f>
        <v>3410.0351999999998</v>
      </c>
      <c r="Z97" s="128">
        <f>Y97*(100+5.6)%</f>
        <v>3600.9971712000001</v>
      </c>
      <c r="AA97" s="128">
        <f>Z97*(100+7.3)%</f>
        <v>3863.8699646976002</v>
      </c>
      <c r="AB97" s="128">
        <f>AA97/12</f>
        <v>321.98916372479999</v>
      </c>
      <c r="AC97" s="128">
        <f>K97</f>
        <v>249.13179719869802</v>
      </c>
      <c r="AD97" s="139">
        <f>V97</f>
        <v>257.39999999999998</v>
      </c>
      <c r="AE97" s="128">
        <f>G97/12</f>
        <v>131.12199852563054</v>
      </c>
      <c r="AF97" s="128">
        <f>AE97/AC97*100</f>
        <v>52.631578947368418</v>
      </c>
      <c r="AG97" s="131">
        <f>AD97*AF97%</f>
        <v>135.4736842105263</v>
      </c>
      <c r="AH97" s="164"/>
    </row>
    <row r="98" spans="1:34" ht="15" x14ac:dyDescent="0.25">
      <c r="A98" s="1" t="s">
        <v>199</v>
      </c>
      <c r="B98" s="35">
        <v>2</v>
      </c>
      <c r="C98" s="35" t="s">
        <v>100</v>
      </c>
      <c r="D98" s="36">
        <v>2</v>
      </c>
      <c r="E98" s="37">
        <v>99</v>
      </c>
      <c r="F98" s="128">
        <f>+E98*952.3639558</f>
        <v>94284.031624199997</v>
      </c>
      <c r="G98" s="128">
        <f>+F98/60</f>
        <v>1571.40052707</v>
      </c>
      <c r="H98" s="128">
        <f>+F98*1.5%</f>
        <v>1414.260474363</v>
      </c>
      <c r="I98" s="128">
        <v>0</v>
      </c>
      <c r="J98" s="128">
        <f>+G98+H98</f>
        <v>2985.6610014329999</v>
      </c>
      <c r="K98" s="128">
        <f>J98/12</f>
        <v>248.80508345274998</v>
      </c>
      <c r="L98" s="128"/>
      <c r="M98" s="128"/>
      <c r="N98" s="128">
        <f>+K98*N95</f>
        <v>174.16355841692499</v>
      </c>
      <c r="O98" s="128">
        <f>+N98*O95</f>
        <v>139.33084673354</v>
      </c>
      <c r="P98" s="128">
        <f>+N98*P95</f>
        <v>156.74720257523248</v>
      </c>
      <c r="Q98" s="128">
        <f>+N98</f>
        <v>174.16355841692499</v>
      </c>
      <c r="R98" s="128">
        <v>1440.17</v>
      </c>
      <c r="S98" s="128">
        <f>R98*S95</f>
        <v>144.01700000000002</v>
      </c>
      <c r="T98" s="128">
        <v>0</v>
      </c>
      <c r="U98" s="128">
        <v>0</v>
      </c>
      <c r="V98" s="128">
        <v>0</v>
      </c>
      <c r="W98" s="128">
        <f>O98</f>
        <v>139.33084673354</v>
      </c>
      <c r="X98" s="128">
        <f>W98*12+0.02</f>
        <v>1671.99016080248</v>
      </c>
      <c r="Y98" s="128">
        <v>0</v>
      </c>
      <c r="Z98" s="128">
        <v>0</v>
      </c>
      <c r="AA98" s="128">
        <f>X98*(100+7.3)%</f>
        <v>1794.045442541061</v>
      </c>
      <c r="AB98" s="128">
        <f>AA98/12</f>
        <v>149.50378687842175</v>
      </c>
      <c r="AC98" s="128">
        <f>K98</f>
        <v>248.80508345274998</v>
      </c>
      <c r="AD98" s="139">
        <f>S98</f>
        <v>144.01700000000002</v>
      </c>
      <c r="AE98" s="128">
        <f>G98/12</f>
        <v>130.95004392249999</v>
      </c>
      <c r="AF98" s="128">
        <f>AE98/AC98*100</f>
        <v>52.631578947368418</v>
      </c>
      <c r="AG98" s="148">
        <f>AD98*AF98%</f>
        <v>75.798421052631582</v>
      </c>
      <c r="AH98" s="164"/>
    </row>
    <row r="99" spans="1:34" ht="15" x14ac:dyDescent="0.25">
      <c r="B99" s="176"/>
      <c r="C99" s="248" t="s">
        <v>77</v>
      </c>
      <c r="D99" s="248"/>
      <c r="E99" s="177">
        <f>SUM(E97:E98)</f>
        <v>198.13</v>
      </c>
      <c r="F99" s="175">
        <f>SUM(F97:F98)</f>
        <v>188691.87056265399</v>
      </c>
      <c r="G99" s="175">
        <f>SUM(G97:G98)</f>
        <v>3144.8645093775667</v>
      </c>
      <c r="H99" s="175">
        <f>SUM(H97:H98)</f>
        <v>2830.37805843981</v>
      </c>
      <c r="I99" s="175">
        <f>+I97</f>
        <v>0</v>
      </c>
      <c r="J99" s="175">
        <f>SUM(J97:J98)</f>
        <v>5975.2425678173768</v>
      </c>
      <c r="K99" s="175">
        <f>SUM(K97:K98)</f>
        <v>497.93688065144801</v>
      </c>
      <c r="L99" s="175"/>
      <c r="M99" s="175">
        <f>SUM(M97:M97)</f>
        <v>3156.9981341019015</v>
      </c>
      <c r="N99" s="175">
        <f>SUM(N97:N98)-0.01</f>
        <v>348.5458164560136</v>
      </c>
      <c r="O99" s="175">
        <f>SUM(O97:O98)</f>
        <v>278.84465316481089</v>
      </c>
      <c r="P99" s="175">
        <f>SUM(P97:P98)</f>
        <v>313.70023481041221</v>
      </c>
      <c r="Q99" s="175">
        <f>SUM(Q97:Q98)-0.01</f>
        <v>348.5458164560136</v>
      </c>
      <c r="R99" s="175"/>
      <c r="S99" s="175">
        <f>SUM(S97:S98)</f>
        <v>144.01700000000002</v>
      </c>
      <c r="T99" s="175">
        <f t="shared" ref="T99:AG99" si="55">SUM(T97:T98)</f>
        <v>0</v>
      </c>
      <c r="U99" s="175">
        <f t="shared" si="55"/>
        <v>0</v>
      </c>
      <c r="V99" s="175">
        <f t="shared" si="55"/>
        <v>257.39999999999998</v>
      </c>
      <c r="W99" s="175">
        <f t="shared" si="55"/>
        <v>396.73084673353998</v>
      </c>
      <c r="X99" s="175">
        <f t="shared" si="55"/>
        <v>4760.7901608024795</v>
      </c>
      <c r="Y99" s="175">
        <f t="shared" si="55"/>
        <v>3410.0351999999998</v>
      </c>
      <c r="Z99" s="175">
        <f t="shared" si="55"/>
        <v>3600.9971712000001</v>
      </c>
      <c r="AA99" s="175">
        <f t="shared" si="55"/>
        <v>5657.9154072386609</v>
      </c>
      <c r="AB99" s="175">
        <f t="shared" si="55"/>
        <v>471.49295060322174</v>
      </c>
      <c r="AC99" s="175">
        <f t="shared" si="55"/>
        <v>497.93688065144801</v>
      </c>
      <c r="AD99" s="175">
        <f t="shared" si="55"/>
        <v>401.41700000000003</v>
      </c>
      <c r="AE99" s="175">
        <f t="shared" si="55"/>
        <v>262.07204244813056</v>
      </c>
      <c r="AF99" s="175">
        <f t="shared" si="55"/>
        <v>105.26315789473684</v>
      </c>
      <c r="AG99" s="175">
        <f t="shared" si="55"/>
        <v>211.27210526315787</v>
      </c>
      <c r="AH99"/>
    </row>
    <row r="100" spans="1:34" ht="15" x14ac:dyDescent="0.25">
      <c r="B100" s="4"/>
      <c r="C100" s="172"/>
      <c r="D100" s="172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41"/>
      <c r="AG100" s="41"/>
      <c r="AH100"/>
    </row>
    <row r="101" spans="1:34" ht="15" x14ac:dyDescent="0.25">
      <c r="B101" s="4"/>
      <c r="C101" s="172"/>
      <c r="D101" s="172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41"/>
      <c r="AG101" s="41"/>
      <c r="AH101"/>
    </row>
    <row r="102" spans="1:34" ht="14.1" customHeight="1" x14ac:dyDescent="0.25">
      <c r="B102" s="44"/>
      <c r="C102" s="44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4"/>
      <c r="Y102" s="44"/>
      <c r="Z102" s="44"/>
      <c r="AA102" s="44"/>
      <c r="AB102" s="44"/>
      <c r="AC102" s="44"/>
      <c r="AD102" s="44"/>
      <c r="AE102" s="44"/>
      <c r="AF102" s="48"/>
      <c r="AG102" s="49"/>
      <c r="AH102" s="4"/>
    </row>
    <row r="103" spans="1:34" ht="18" customHeight="1" x14ac:dyDescent="0.25">
      <c r="B103" s="44" t="s">
        <v>101</v>
      </c>
      <c r="C103" s="44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4"/>
      <c r="Y103" s="44"/>
      <c r="Z103" s="44"/>
      <c r="AA103" s="44"/>
      <c r="AB103" s="44"/>
      <c r="AC103" s="44"/>
      <c r="AD103" s="44"/>
      <c r="AE103" s="44"/>
      <c r="AF103" s="48"/>
      <c r="AG103" s="49"/>
      <c r="AH103" s="4"/>
    </row>
    <row r="104" spans="1:34" ht="21.95" customHeight="1" x14ac:dyDescent="0.25">
      <c r="A104" s="2"/>
      <c r="B104" s="2"/>
      <c r="C104" s="2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2"/>
      <c r="Y104" s="2"/>
      <c r="Z104" s="2"/>
      <c r="AA104" s="2"/>
      <c r="AB104" s="2"/>
      <c r="AC104" s="2"/>
      <c r="AD104" s="50"/>
      <c r="AE104" s="50"/>
      <c r="AF104" s="48"/>
      <c r="AG104" s="49"/>
      <c r="AH104" s="4"/>
    </row>
    <row r="105" spans="1:34" ht="120" customHeight="1" x14ac:dyDescent="0.25">
      <c r="B105" s="215" t="s">
        <v>1</v>
      </c>
      <c r="C105" s="217" t="s">
        <v>56</v>
      </c>
      <c r="D105" s="209" t="s">
        <v>3</v>
      </c>
      <c r="E105" s="209" t="s">
        <v>4</v>
      </c>
      <c r="F105" s="209" t="s">
        <v>5</v>
      </c>
      <c r="G105" s="209" t="s">
        <v>6</v>
      </c>
      <c r="H105" s="209" t="s">
        <v>7</v>
      </c>
      <c r="I105" s="209" t="s">
        <v>8</v>
      </c>
      <c r="J105" s="209" t="s">
        <v>9</v>
      </c>
      <c r="K105" s="209" t="s">
        <v>57</v>
      </c>
      <c r="L105" s="22" t="s">
        <v>10</v>
      </c>
      <c r="M105" s="22" t="s">
        <v>10</v>
      </c>
      <c r="N105" s="22" t="s">
        <v>12</v>
      </c>
      <c r="O105" s="211" t="s">
        <v>13</v>
      </c>
      <c r="P105" s="212"/>
      <c r="Q105" s="213"/>
      <c r="R105" s="209" t="s">
        <v>14</v>
      </c>
      <c r="S105" s="225" t="s">
        <v>58</v>
      </c>
      <c r="T105" s="226"/>
      <c r="U105" s="226"/>
      <c r="V105" s="227"/>
      <c r="W105" s="207" t="s">
        <v>21</v>
      </c>
      <c r="X105" s="209" t="s">
        <v>9</v>
      </c>
      <c r="Y105" s="22" t="s">
        <v>242</v>
      </c>
      <c r="Z105" s="22" t="s">
        <v>243</v>
      </c>
      <c r="AA105" s="22" t="s">
        <v>156</v>
      </c>
      <c r="AB105" s="207" t="s">
        <v>59</v>
      </c>
      <c r="AC105" s="228" t="s">
        <v>18</v>
      </c>
      <c r="AD105" s="229"/>
      <c r="AE105" s="229"/>
      <c r="AF105" s="229"/>
      <c r="AG105" s="205" t="s">
        <v>19</v>
      </c>
      <c r="AH105" s="4"/>
    </row>
    <row r="106" spans="1:34" ht="51" x14ac:dyDescent="0.25">
      <c r="B106" s="216"/>
      <c r="C106" s="218"/>
      <c r="D106" s="210"/>
      <c r="E106" s="210"/>
      <c r="F106" s="210"/>
      <c r="G106" s="210"/>
      <c r="H106" s="210"/>
      <c r="I106" s="210"/>
      <c r="J106" s="210"/>
      <c r="K106" s="210"/>
      <c r="L106" s="22">
        <v>5.6</v>
      </c>
      <c r="M106" s="22">
        <v>5.6</v>
      </c>
      <c r="N106" s="22">
        <v>0.7</v>
      </c>
      <c r="O106" s="23">
        <v>0.8</v>
      </c>
      <c r="P106" s="24">
        <v>0.9</v>
      </c>
      <c r="Q106" s="28">
        <v>1</v>
      </c>
      <c r="R106" s="210"/>
      <c r="S106" s="29">
        <v>0.1</v>
      </c>
      <c r="T106" s="30">
        <v>0.2</v>
      </c>
      <c r="U106" s="30">
        <v>0.3</v>
      </c>
      <c r="V106" s="30">
        <v>0.1</v>
      </c>
      <c r="W106" s="208"/>
      <c r="X106" s="210"/>
      <c r="Y106" s="22">
        <v>10.4</v>
      </c>
      <c r="Z106" s="22">
        <v>5.6</v>
      </c>
      <c r="AA106" s="22">
        <v>7.3</v>
      </c>
      <c r="AB106" s="208"/>
      <c r="AC106" s="33" t="s">
        <v>20</v>
      </c>
      <c r="AD106" s="33" t="s">
        <v>21</v>
      </c>
      <c r="AE106" s="33" t="s">
        <v>22</v>
      </c>
      <c r="AF106" s="33" t="s">
        <v>23</v>
      </c>
      <c r="AG106" s="206"/>
      <c r="AH106" s="4"/>
    </row>
    <row r="107" spans="1:34" x14ac:dyDescent="0.25">
      <c r="B107" s="7"/>
      <c r="C107" s="8"/>
      <c r="D107" s="9">
        <v>0</v>
      </c>
      <c r="E107" s="9">
        <v>1</v>
      </c>
      <c r="F107" s="156">
        <v>2</v>
      </c>
      <c r="G107" s="156" t="s">
        <v>24</v>
      </c>
      <c r="H107" s="156" t="s">
        <v>25</v>
      </c>
      <c r="I107" s="156" t="s">
        <v>26</v>
      </c>
      <c r="J107" s="156" t="s">
        <v>27</v>
      </c>
      <c r="K107" s="156" t="s">
        <v>60</v>
      </c>
      <c r="L107" s="156" t="s">
        <v>61</v>
      </c>
      <c r="M107" s="156" t="s">
        <v>61</v>
      </c>
      <c r="N107" s="156" t="s">
        <v>62</v>
      </c>
      <c r="O107" s="156" t="s">
        <v>63</v>
      </c>
      <c r="P107" s="156" t="s">
        <v>63</v>
      </c>
      <c r="Q107" s="156" t="s">
        <v>63</v>
      </c>
      <c r="R107" s="156">
        <v>9</v>
      </c>
      <c r="S107" s="156" t="s">
        <v>161</v>
      </c>
      <c r="T107" s="156" t="s">
        <v>162</v>
      </c>
      <c r="U107" s="156" t="s">
        <v>163</v>
      </c>
      <c r="V107" s="156" t="s">
        <v>164</v>
      </c>
      <c r="W107" s="156" t="s">
        <v>64</v>
      </c>
      <c r="X107" s="156" t="s">
        <v>65</v>
      </c>
      <c r="Y107" s="156" t="s">
        <v>66</v>
      </c>
      <c r="Z107" s="156" t="s">
        <v>67</v>
      </c>
      <c r="AA107" s="156" t="s">
        <v>246</v>
      </c>
      <c r="AB107" s="156" t="s">
        <v>240</v>
      </c>
      <c r="AC107" s="156">
        <v>16</v>
      </c>
      <c r="AD107" s="156" t="s">
        <v>158</v>
      </c>
      <c r="AE107" s="156" t="s">
        <v>159</v>
      </c>
      <c r="AF107" s="156" t="s">
        <v>160</v>
      </c>
      <c r="AG107" s="156">
        <v>17</v>
      </c>
      <c r="AH107" s="4"/>
    </row>
    <row r="108" spans="1:34" ht="15" x14ac:dyDescent="0.25">
      <c r="A108" s="1" t="s">
        <v>200</v>
      </c>
      <c r="B108" s="7">
        <v>1</v>
      </c>
      <c r="C108" s="35" t="s">
        <v>102</v>
      </c>
      <c r="D108" s="36">
        <v>2</v>
      </c>
      <c r="E108" s="43">
        <v>98.59</v>
      </c>
      <c r="F108" s="128">
        <f t="shared" ref="F108:F113" si="56">+E108*952.363958</f>
        <v>93893.56261922</v>
      </c>
      <c r="G108" s="180">
        <f t="shared" ref="G108:G113" si="57">+F108/60</f>
        <v>1564.8927103203334</v>
      </c>
      <c r="H108" s="180">
        <f t="shared" ref="H108:H109" si="58">+F108*1.5%</f>
        <v>1408.4034392883</v>
      </c>
      <c r="I108" s="180">
        <f t="shared" ref="I108:I113" si="59">+F108*0.5%</f>
        <v>469.46781309610003</v>
      </c>
      <c r="J108" s="180">
        <f t="shared" ref="J108:J112" si="60">+G108+H108+I108</f>
        <v>3442.7639627047338</v>
      </c>
      <c r="K108" s="180">
        <f t="shared" ref="K108:K113" si="61">+J108/12</f>
        <v>286.89699689206117</v>
      </c>
      <c r="L108" s="180"/>
      <c r="M108" s="180">
        <f t="shared" ref="M108:M113" si="62">+J108*(100%+5.6%)</f>
        <v>3635.558744616199</v>
      </c>
      <c r="N108" s="180">
        <f>+K108*N106</f>
        <v>200.8278978244428</v>
      </c>
      <c r="O108" s="180">
        <f>+N108*O106</f>
        <v>160.66231825955424</v>
      </c>
      <c r="P108" s="180">
        <f>+N108*P106</f>
        <v>180.74510804199852</v>
      </c>
      <c r="Q108" s="180">
        <f>+N108*Q106</f>
        <v>200.8278978244428</v>
      </c>
      <c r="R108" s="180">
        <v>999.11</v>
      </c>
      <c r="S108" s="180">
        <f>R108*S106</f>
        <v>99.911000000000001</v>
      </c>
      <c r="T108" s="180">
        <v>0</v>
      </c>
      <c r="U108" s="180">
        <v>0</v>
      </c>
      <c r="V108" s="180">
        <v>0</v>
      </c>
      <c r="W108" s="180">
        <f>O108</f>
        <v>160.66231825955424</v>
      </c>
      <c r="X108" s="180">
        <f>W108*12-0.03</f>
        <v>1927.9178191146509</v>
      </c>
      <c r="Y108" s="180">
        <f>X108*(100+10.4)%</f>
        <v>2128.4212723025748</v>
      </c>
      <c r="Z108" s="180">
        <f>Y108*(100+5.6)%</f>
        <v>2247.6128635515192</v>
      </c>
      <c r="AA108" s="180">
        <f>Z108*(100+7.3)%</f>
        <v>2411.6886025907802</v>
      </c>
      <c r="AB108" s="180">
        <f t="shared" ref="AB108:AB113" si="63">AA108/12</f>
        <v>200.97405021589836</v>
      </c>
      <c r="AC108" s="180">
        <f>K108</f>
        <v>286.89699689206117</v>
      </c>
      <c r="AD108" s="139">
        <f>S108</f>
        <v>99.911000000000001</v>
      </c>
      <c r="AE108" s="180">
        <f>G108/12</f>
        <v>130.4077258600278</v>
      </c>
      <c r="AF108" s="181">
        <f>AE108/AC108*100</f>
        <v>45.454545454545453</v>
      </c>
      <c r="AG108" s="182">
        <f>AD108*AF108%</f>
        <v>45.414090909090909</v>
      </c>
      <c r="AH108" s="4"/>
    </row>
    <row r="109" spans="1:34" ht="15" x14ac:dyDescent="0.25">
      <c r="A109" s="1" t="s">
        <v>201</v>
      </c>
      <c r="B109" s="7">
        <v>2</v>
      </c>
      <c r="C109" s="35" t="s">
        <v>103</v>
      </c>
      <c r="D109" s="36">
        <v>2</v>
      </c>
      <c r="E109" s="43">
        <v>98.23</v>
      </c>
      <c r="F109" s="128">
        <f t="shared" si="56"/>
        <v>93550.711594340013</v>
      </c>
      <c r="G109" s="180">
        <f t="shared" si="57"/>
        <v>1559.1785265723336</v>
      </c>
      <c r="H109" s="180">
        <f t="shared" si="58"/>
        <v>1403.2606739151001</v>
      </c>
      <c r="I109" s="180">
        <f t="shared" si="59"/>
        <v>467.75355797170005</v>
      </c>
      <c r="J109" s="180">
        <f t="shared" si="60"/>
        <v>3430.1927584591335</v>
      </c>
      <c r="K109" s="180">
        <f t="shared" si="61"/>
        <v>285.84939653826115</v>
      </c>
      <c r="L109" s="180"/>
      <c r="M109" s="180">
        <f t="shared" si="62"/>
        <v>3622.2835529328454</v>
      </c>
      <c r="N109" s="180">
        <f>K109*N106</f>
        <v>200.0945775767828</v>
      </c>
      <c r="O109" s="180">
        <f>+N109*O106</f>
        <v>160.07566206142624</v>
      </c>
      <c r="P109" s="180">
        <f>+N109*P106</f>
        <v>180.08511981910453</v>
      </c>
      <c r="Q109" s="180">
        <f>+N109*Q106</f>
        <v>200.0945775767828</v>
      </c>
      <c r="R109" s="180" t="s">
        <v>251</v>
      </c>
      <c r="S109" s="180">
        <v>0</v>
      </c>
      <c r="T109" s="180">
        <v>0</v>
      </c>
      <c r="U109" s="180">
        <v>0</v>
      </c>
      <c r="V109" s="180">
        <v>0</v>
      </c>
      <c r="W109" s="180">
        <f>N109</f>
        <v>200.0945775767828</v>
      </c>
      <c r="X109" s="180">
        <f>W109*12</f>
        <v>2401.1349309213938</v>
      </c>
      <c r="Y109" s="180">
        <f>X109*(100+10.4)%</f>
        <v>2650.8529637372189</v>
      </c>
      <c r="Z109" s="180">
        <f>Y109*(100+5.6)%-0.01</f>
        <v>2799.290729706503</v>
      </c>
      <c r="AA109" s="180">
        <f>Z109*(100+7.3)%</f>
        <v>3003.6389529750777</v>
      </c>
      <c r="AB109" s="180">
        <f t="shared" si="63"/>
        <v>250.30324608125648</v>
      </c>
      <c r="AC109" s="180">
        <f t="shared" ref="AC109:AC112" si="64">K109</f>
        <v>285.84939653826115</v>
      </c>
      <c r="AD109" s="139">
        <f>AB109</f>
        <v>250.30324608125648</v>
      </c>
      <c r="AE109" s="180">
        <f t="shared" ref="AE109:AE113" si="65">G109/12</f>
        <v>129.93154388102781</v>
      </c>
      <c r="AF109" s="181">
        <f t="shared" ref="AF109:AF112" si="66">AE109/AC109*100</f>
        <v>45.45454545454546</v>
      </c>
      <c r="AG109" s="182">
        <f>AD109*AF109%-0.01</f>
        <v>113.7642027642075</v>
      </c>
      <c r="AH109" s="4"/>
    </row>
    <row r="110" spans="1:34" ht="15" x14ac:dyDescent="0.25">
      <c r="A110" s="1" t="s">
        <v>178</v>
      </c>
      <c r="B110" s="7">
        <v>3</v>
      </c>
      <c r="C110" s="35" t="s">
        <v>104</v>
      </c>
      <c r="D110" s="36">
        <v>2</v>
      </c>
      <c r="E110" s="43">
        <v>98.73</v>
      </c>
      <c r="F110" s="128">
        <f t="shared" si="56"/>
        <v>94026.893573339999</v>
      </c>
      <c r="G110" s="180">
        <f t="shared" si="57"/>
        <v>1567.114892889</v>
      </c>
      <c r="H110" s="180">
        <f>+F110*1.5%</f>
        <v>1410.4034036000999</v>
      </c>
      <c r="I110" s="180">
        <f t="shared" si="59"/>
        <v>470.13446786669999</v>
      </c>
      <c r="J110" s="180">
        <f>G110+H110+I110-0.01</f>
        <v>3447.6427643558</v>
      </c>
      <c r="K110" s="180">
        <f t="shared" si="61"/>
        <v>287.30356369631664</v>
      </c>
      <c r="L110" s="180"/>
      <c r="M110" s="180">
        <f t="shared" si="62"/>
        <v>3640.7107591597251</v>
      </c>
      <c r="N110" s="180">
        <f>+K110*N106</f>
        <v>201.11249458742165</v>
      </c>
      <c r="O110" s="180">
        <f>+N110*O106</f>
        <v>160.88999566993732</v>
      </c>
      <c r="P110" s="180">
        <f>+N110*P106</f>
        <v>181.0012451286795</v>
      </c>
      <c r="Q110" s="180">
        <f>+N110*Q106</f>
        <v>201.11249458742165</v>
      </c>
      <c r="R110" s="180">
        <v>2056.06</v>
      </c>
      <c r="S110" s="180">
        <f>R110*S106</f>
        <v>205.60599999999999</v>
      </c>
      <c r="T110" s="180">
        <v>0</v>
      </c>
      <c r="U110" s="180">
        <v>0</v>
      </c>
      <c r="V110" s="180">
        <v>0</v>
      </c>
      <c r="W110" s="180">
        <v>160.88999999999999</v>
      </c>
      <c r="X110" s="180">
        <f>W110*12</f>
        <v>1930.6799999999998</v>
      </c>
      <c r="Y110" s="180">
        <f>X110*(100+10.4)%</f>
        <v>2131.4707199999998</v>
      </c>
      <c r="Z110" s="180">
        <f>Y110*(100+5.6)%</f>
        <v>2250.8330803199997</v>
      </c>
      <c r="AA110" s="180">
        <f>Z110*107.3%</f>
        <v>2415.1438951833597</v>
      </c>
      <c r="AB110" s="180">
        <f t="shared" si="63"/>
        <v>201.26199126527999</v>
      </c>
      <c r="AC110" s="180">
        <f t="shared" si="64"/>
        <v>287.30356369631664</v>
      </c>
      <c r="AD110" s="139">
        <f>AB110</f>
        <v>201.26199126527999</v>
      </c>
      <c r="AE110" s="180">
        <f t="shared" si="65"/>
        <v>130.59290774075001</v>
      </c>
      <c r="AF110" s="181">
        <f t="shared" si="66"/>
        <v>45.454677296933319</v>
      </c>
      <c r="AG110" s="182">
        <f>AD110*AF110%-0.01</f>
        <v>91.472988651015143</v>
      </c>
      <c r="AH110" s="4"/>
    </row>
    <row r="111" spans="1:34" ht="15" x14ac:dyDescent="0.25">
      <c r="A111" s="1" t="s">
        <v>202</v>
      </c>
      <c r="B111" s="7">
        <v>4</v>
      </c>
      <c r="C111" s="35" t="s">
        <v>105</v>
      </c>
      <c r="D111" s="36">
        <v>2</v>
      </c>
      <c r="E111" s="43">
        <v>99.79</v>
      </c>
      <c r="F111" s="128">
        <f t="shared" si="56"/>
        <v>95036.399368820013</v>
      </c>
      <c r="G111" s="180">
        <f>F111/60</f>
        <v>1583.9399894803335</v>
      </c>
      <c r="H111" s="180">
        <f t="shared" ref="H111:H113" si="67">+F111*1.5%</f>
        <v>1425.5459905323</v>
      </c>
      <c r="I111" s="180">
        <f t="shared" si="59"/>
        <v>475.18199684410007</v>
      </c>
      <c r="J111" s="180">
        <f>+G111+H111+I111</f>
        <v>3484.6679768567333</v>
      </c>
      <c r="K111" s="180">
        <f t="shared" si="61"/>
        <v>290.38899807139444</v>
      </c>
      <c r="L111" s="180"/>
      <c r="M111" s="180">
        <f t="shared" si="62"/>
        <v>3679.8093835607106</v>
      </c>
      <c r="N111" s="180">
        <f>+K111*N106</f>
        <v>203.27229864997611</v>
      </c>
      <c r="O111" s="180">
        <f>+N111*O106</f>
        <v>162.6178389199809</v>
      </c>
      <c r="P111" s="180">
        <f>+N111*P106</f>
        <v>182.9450687849785</v>
      </c>
      <c r="Q111" s="180">
        <f>+N111*Q106</f>
        <v>203.27229864997611</v>
      </c>
      <c r="R111" s="180">
        <v>857.17</v>
      </c>
      <c r="S111" s="180">
        <f>R111*S106</f>
        <v>85.716999999999999</v>
      </c>
      <c r="T111" s="180">
        <v>0</v>
      </c>
      <c r="U111" s="180">
        <v>0</v>
      </c>
      <c r="V111" s="180">
        <v>0</v>
      </c>
      <c r="W111" s="180">
        <f>O111</f>
        <v>162.6178389199809</v>
      </c>
      <c r="X111" s="180">
        <f>W111*12+0.03</f>
        <v>1951.4440670397707</v>
      </c>
      <c r="Y111" s="180">
        <f>X111*(100+10.4)%+0.01</f>
        <v>2154.4042500119072</v>
      </c>
      <c r="Z111" s="180">
        <f>Y111*(100+5.6)%</f>
        <v>2275.050888012574</v>
      </c>
      <c r="AA111" s="180">
        <f>Z111*(100+7.3)%</f>
        <v>2441.1296028374918</v>
      </c>
      <c r="AB111" s="180">
        <f t="shared" si="63"/>
        <v>203.42746690312433</v>
      </c>
      <c r="AC111" s="180">
        <f t="shared" si="64"/>
        <v>290.38899807139444</v>
      </c>
      <c r="AD111" s="139">
        <f>S111</f>
        <v>85.716999999999999</v>
      </c>
      <c r="AE111" s="180">
        <f t="shared" si="65"/>
        <v>131.99499912336111</v>
      </c>
      <c r="AF111" s="181">
        <f t="shared" si="66"/>
        <v>45.454545454545453</v>
      </c>
      <c r="AG111" s="182">
        <f>AD111*AF111%</f>
        <v>38.962272727272726</v>
      </c>
      <c r="AH111" s="4"/>
    </row>
    <row r="112" spans="1:34" ht="15" x14ac:dyDescent="0.25">
      <c r="A112" s="1" t="s">
        <v>203</v>
      </c>
      <c r="B112" s="7">
        <v>5</v>
      </c>
      <c r="C112" s="35" t="s">
        <v>106</v>
      </c>
      <c r="D112" s="36">
        <v>2</v>
      </c>
      <c r="E112" s="43">
        <v>97.8</v>
      </c>
      <c r="F112" s="128">
        <f t="shared" si="56"/>
        <v>93141.195092399998</v>
      </c>
      <c r="G112" s="180">
        <f t="shared" si="57"/>
        <v>1552.35325154</v>
      </c>
      <c r="H112" s="180">
        <f t="shared" si="67"/>
        <v>1397.1179263859999</v>
      </c>
      <c r="I112" s="180">
        <f>F112*0.5%</f>
        <v>465.70597546199997</v>
      </c>
      <c r="J112" s="180">
        <f t="shared" si="60"/>
        <v>3415.1771533879996</v>
      </c>
      <c r="K112" s="180">
        <f t="shared" si="61"/>
        <v>284.59809611566664</v>
      </c>
      <c r="L112" s="180"/>
      <c r="M112" s="180">
        <f t="shared" si="62"/>
        <v>3606.4270739777276</v>
      </c>
      <c r="N112" s="180">
        <f>+K112*N106</f>
        <v>199.21866728096663</v>
      </c>
      <c r="O112" s="180">
        <f>N112*O106</f>
        <v>159.37493382477331</v>
      </c>
      <c r="P112" s="180">
        <f>+N112*P106</f>
        <v>179.29680055286997</v>
      </c>
      <c r="Q112" s="180">
        <f>+N112*Q106</f>
        <v>199.21866728096663</v>
      </c>
      <c r="R112" s="180">
        <v>1843.92</v>
      </c>
      <c r="S112" s="180">
        <f>R112*S106</f>
        <v>184.39200000000002</v>
      </c>
      <c r="T112" s="180">
        <v>0</v>
      </c>
      <c r="U112" s="180">
        <v>0</v>
      </c>
      <c r="V112" s="180">
        <v>0</v>
      </c>
      <c r="W112" s="180">
        <f>O112</f>
        <v>159.37493382477331</v>
      </c>
      <c r="X112" s="180">
        <f>W112*12</f>
        <v>1912.4992058972798</v>
      </c>
      <c r="Y112" s="180">
        <f>X112*(100+10.4)%</f>
        <v>2111.3991233105971</v>
      </c>
      <c r="Z112" s="180">
        <f>Y112*(100+5.6)%</f>
        <v>2229.6374742159906</v>
      </c>
      <c r="AA112" s="180">
        <f>Z112*(100+7.3)%</f>
        <v>2392.4010098337576</v>
      </c>
      <c r="AB112" s="180">
        <f t="shared" si="63"/>
        <v>199.36675081947979</v>
      </c>
      <c r="AC112" s="180">
        <f t="shared" si="64"/>
        <v>284.59809611566664</v>
      </c>
      <c r="AD112" s="139">
        <f>S112</f>
        <v>184.39200000000002</v>
      </c>
      <c r="AE112" s="180">
        <f t="shared" si="65"/>
        <v>129.36277096166666</v>
      </c>
      <c r="AF112" s="181">
        <f t="shared" si="66"/>
        <v>45.454545454545453</v>
      </c>
      <c r="AG112" s="182">
        <f>AD112*AF112%</f>
        <v>83.814545454545467</v>
      </c>
      <c r="AH112" s="4"/>
    </row>
    <row r="113" spans="1:34" ht="15" x14ac:dyDescent="0.25">
      <c r="A113" s="1" t="s">
        <v>204</v>
      </c>
      <c r="B113" s="7">
        <v>6</v>
      </c>
      <c r="C113" s="35" t="s">
        <v>107</v>
      </c>
      <c r="D113" s="36">
        <v>2</v>
      </c>
      <c r="E113" s="43">
        <v>99.07</v>
      </c>
      <c r="F113" s="128">
        <f t="shared" si="56"/>
        <v>94350.697319059997</v>
      </c>
      <c r="G113" s="180">
        <f t="shared" si="57"/>
        <v>1572.5116219843333</v>
      </c>
      <c r="H113" s="180">
        <f t="shared" si="67"/>
        <v>1415.2604597858999</v>
      </c>
      <c r="I113" s="180">
        <f t="shared" si="59"/>
        <v>471.75348659529999</v>
      </c>
      <c r="J113" s="180">
        <f>G113+H113+I113-0.01</f>
        <v>3459.5155683655325</v>
      </c>
      <c r="K113" s="180">
        <f t="shared" si="61"/>
        <v>288.29296403046106</v>
      </c>
      <c r="L113" s="180"/>
      <c r="M113" s="180">
        <f t="shared" si="62"/>
        <v>3653.2484401940023</v>
      </c>
      <c r="N113" s="180">
        <f>+K113*N106</f>
        <v>201.80507482132273</v>
      </c>
      <c r="O113" s="180">
        <f>+N113*O106</f>
        <v>161.44405985705819</v>
      </c>
      <c r="P113" s="180">
        <f>+N113*P106</f>
        <v>181.62456733919046</v>
      </c>
      <c r="Q113" s="180">
        <f>+N113*Q106</f>
        <v>201.80507482132273</v>
      </c>
      <c r="R113" s="180" t="s">
        <v>251</v>
      </c>
      <c r="S113" s="180">
        <v>0</v>
      </c>
      <c r="T113" s="180">
        <v>0</v>
      </c>
      <c r="U113" s="180">
        <v>0</v>
      </c>
      <c r="V113" s="180">
        <v>0</v>
      </c>
      <c r="W113" s="180">
        <f>N113</f>
        <v>201.80507482132273</v>
      </c>
      <c r="X113" s="180">
        <f>W113*12-0.06</f>
        <v>2421.600897855873</v>
      </c>
      <c r="Y113" s="180">
        <f>X113*(100+10.4)%+0.01</f>
        <v>2673.4573912328842</v>
      </c>
      <c r="Z113" s="180">
        <f>Y113*(100+5.6)%-0.01</f>
        <v>2823.1610051419257</v>
      </c>
      <c r="AA113" s="180">
        <f>Z113*(100+7.3)%</f>
        <v>3029.2517585172859</v>
      </c>
      <c r="AB113" s="180">
        <f t="shared" si="63"/>
        <v>252.43764654310715</v>
      </c>
      <c r="AC113" s="180">
        <f>K113</f>
        <v>288.29296403046106</v>
      </c>
      <c r="AD113" s="139">
        <f>AB113</f>
        <v>252.43764654310715</v>
      </c>
      <c r="AE113" s="180">
        <f t="shared" si="65"/>
        <v>131.04263516536111</v>
      </c>
      <c r="AF113" s="181">
        <v>45.45</v>
      </c>
      <c r="AG113" s="182">
        <f>AD113*AF113%</f>
        <v>114.7329103538422</v>
      </c>
      <c r="AH113" s="4"/>
    </row>
    <row r="114" spans="1:34" x14ac:dyDescent="0.25">
      <c r="B114" s="176"/>
      <c r="C114" s="248" t="s">
        <v>77</v>
      </c>
      <c r="D114" s="248"/>
      <c r="E114" s="177">
        <f>SUM(E108:E113)</f>
        <v>592.21</v>
      </c>
      <c r="F114" s="175">
        <f>SUM(F108:F113)</f>
        <v>563999.45956718002</v>
      </c>
      <c r="G114" s="175">
        <f>SUM(G108:G113)-0.01</f>
        <v>9399.9809927863334</v>
      </c>
      <c r="H114" s="175">
        <f>SUM(H108:H113)</f>
        <v>8459.9918935077003</v>
      </c>
      <c r="I114" s="175">
        <f>SUM(I108:I113)-0.01</f>
        <v>2819.9872978358994</v>
      </c>
      <c r="J114" s="175">
        <f>SUM(J108:J113)</f>
        <v>20679.960184129934</v>
      </c>
      <c r="K114" s="175">
        <f>SUM(K108:K113)</f>
        <v>1723.330015344161</v>
      </c>
      <c r="L114" s="175"/>
      <c r="M114" s="175">
        <f>SUM(M108:M113)</f>
        <v>21838.03795444121</v>
      </c>
      <c r="N114" s="175">
        <f>SUM(N108:N113)</f>
        <v>1206.3310107409127</v>
      </c>
      <c r="O114" s="175">
        <f>SUM(O108:O113)</f>
        <v>965.06480859273006</v>
      </c>
      <c r="P114" s="175">
        <f>SUM(P108:P113)+0.01</f>
        <v>1085.7079096668215</v>
      </c>
      <c r="Q114" s="175">
        <f>SUM(Q108:Q113)</f>
        <v>1206.3310107409127</v>
      </c>
      <c r="R114" s="175"/>
      <c r="S114" s="175">
        <f>SUM(S108:S113)</f>
        <v>575.62599999999998</v>
      </c>
      <c r="T114" s="175">
        <f t="shared" ref="T114:AD114" si="68">SUM(T108:T113)</f>
        <v>0</v>
      </c>
      <c r="U114" s="175">
        <f t="shared" si="68"/>
        <v>0</v>
      </c>
      <c r="V114" s="175">
        <f t="shared" si="68"/>
        <v>0</v>
      </c>
      <c r="W114" s="175">
        <f t="shared" si="68"/>
        <v>1045.4447434024139</v>
      </c>
      <c r="X114" s="175">
        <f>SUM(X108:X113)-0.01</f>
        <v>12545.266920828968</v>
      </c>
      <c r="Y114" s="175">
        <f>SUM(Y108:Y113)-0.01</f>
        <v>13849.995720595181</v>
      </c>
      <c r="Z114" s="175">
        <f>SUM(Z108:Z113)-0.01</f>
        <v>14625.576040948514</v>
      </c>
      <c r="AA114" s="175">
        <f t="shared" si="68"/>
        <v>15693.253821937753</v>
      </c>
      <c r="AB114" s="175">
        <f t="shared" si="68"/>
        <v>1307.7711518281462</v>
      </c>
      <c r="AC114" s="175">
        <f t="shared" si="68"/>
        <v>1723.330015344161</v>
      </c>
      <c r="AD114" s="175">
        <f t="shared" si="68"/>
        <v>1074.0228838896437</v>
      </c>
      <c r="AE114" s="175">
        <f>SUM(AE108:AE113)-0.01</f>
        <v>783.32258273219463</v>
      </c>
      <c r="AF114" s="175">
        <v>272.7</v>
      </c>
      <c r="AG114" s="175">
        <f>SUM(AG108:AG113)-0.02</f>
        <v>488.14101085997396</v>
      </c>
      <c r="AH114" s="4"/>
    </row>
    <row r="115" spans="1:34" x14ac:dyDescent="0.25">
      <c r="B115" s="4"/>
      <c r="C115" s="52"/>
      <c r="D115" s="5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"/>
    </row>
    <row r="116" spans="1:34" ht="18.95" customHeight="1" x14ac:dyDescent="0.25">
      <c r="B116" s="4"/>
      <c r="C116" s="223" t="s">
        <v>108</v>
      </c>
      <c r="D116" s="223"/>
      <c r="E116" s="223"/>
      <c r="F116" s="223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60"/>
      <c r="X116" s="2"/>
      <c r="Y116" s="2"/>
      <c r="Z116" s="2"/>
      <c r="AA116" s="2"/>
      <c r="AB116" s="2"/>
      <c r="AC116" s="2"/>
      <c r="AD116" s="50"/>
      <c r="AE116" s="50"/>
      <c r="AF116" s="50"/>
      <c r="AG116" s="63"/>
      <c r="AH116" s="4"/>
    </row>
    <row r="117" spans="1:34" ht="12.95" customHeight="1" x14ac:dyDescent="0.25">
      <c r="B117" s="4"/>
      <c r="C117" s="53"/>
      <c r="D117" s="53"/>
      <c r="E117" s="42"/>
      <c r="F117" s="42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2"/>
      <c r="Y117" s="2"/>
      <c r="Z117" s="2"/>
      <c r="AA117" s="2"/>
      <c r="AB117" s="2"/>
      <c r="AC117" s="2"/>
      <c r="AD117" s="50"/>
      <c r="AE117" s="50"/>
      <c r="AF117" s="50"/>
      <c r="AG117" s="64"/>
      <c r="AH117" s="4"/>
    </row>
    <row r="118" spans="1:34" ht="17.100000000000001" customHeight="1" x14ac:dyDescent="0.25">
      <c r="B118" s="4"/>
      <c r="C118" s="224" t="s">
        <v>0</v>
      </c>
      <c r="D118" s="224"/>
      <c r="E118" s="42"/>
      <c r="F118" s="42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2"/>
      <c r="Y118" s="2"/>
      <c r="Z118" s="2"/>
      <c r="AA118" s="2"/>
      <c r="AB118" s="2"/>
      <c r="AC118" s="2"/>
      <c r="AD118" s="50"/>
      <c r="AE118" s="50"/>
      <c r="AF118" s="50"/>
      <c r="AG118" s="64"/>
      <c r="AH118" s="4"/>
    </row>
    <row r="119" spans="1:34" ht="120.75" customHeight="1" x14ac:dyDescent="0.25">
      <c r="B119" s="215" t="s">
        <v>1</v>
      </c>
      <c r="C119" s="217" t="s">
        <v>56</v>
      </c>
      <c r="D119" s="209" t="s">
        <v>3</v>
      </c>
      <c r="E119" s="209" t="s">
        <v>4</v>
      </c>
      <c r="F119" s="209" t="s">
        <v>5</v>
      </c>
      <c r="G119" s="209" t="s">
        <v>6</v>
      </c>
      <c r="H119" s="209" t="s">
        <v>7</v>
      </c>
      <c r="I119" s="209" t="s">
        <v>8</v>
      </c>
      <c r="J119" s="209" t="s">
        <v>9</v>
      </c>
      <c r="K119" s="209" t="s">
        <v>57</v>
      </c>
      <c r="L119" s="22" t="s">
        <v>10</v>
      </c>
      <c r="M119" s="22" t="s">
        <v>10</v>
      </c>
      <c r="N119" s="22" t="s">
        <v>12</v>
      </c>
      <c r="O119" s="211" t="s">
        <v>13</v>
      </c>
      <c r="P119" s="212"/>
      <c r="Q119" s="213"/>
      <c r="R119" s="209" t="s">
        <v>14</v>
      </c>
      <c r="S119" s="225" t="s">
        <v>58</v>
      </c>
      <c r="T119" s="226"/>
      <c r="U119" s="226"/>
      <c r="V119" s="227"/>
      <c r="W119" s="207" t="s">
        <v>21</v>
      </c>
      <c r="X119" s="209" t="s">
        <v>9</v>
      </c>
      <c r="Y119" s="22" t="s">
        <v>242</v>
      </c>
      <c r="Z119" s="22" t="s">
        <v>243</v>
      </c>
      <c r="AA119" s="22" t="s">
        <v>156</v>
      </c>
      <c r="AB119" s="207" t="s">
        <v>59</v>
      </c>
      <c r="AC119" s="228" t="s">
        <v>18</v>
      </c>
      <c r="AD119" s="229"/>
      <c r="AE119" s="229"/>
      <c r="AF119" s="229"/>
      <c r="AG119" s="205" t="s">
        <v>19</v>
      </c>
      <c r="AH119" s="4"/>
    </row>
    <row r="120" spans="1:34" ht="51" x14ac:dyDescent="0.25">
      <c r="B120" s="216"/>
      <c r="C120" s="218"/>
      <c r="D120" s="210"/>
      <c r="E120" s="210"/>
      <c r="F120" s="210"/>
      <c r="G120" s="210"/>
      <c r="H120" s="210"/>
      <c r="I120" s="210"/>
      <c r="J120" s="210"/>
      <c r="K120" s="210"/>
      <c r="L120" s="22">
        <v>5.6</v>
      </c>
      <c r="M120" s="22">
        <v>5.6</v>
      </c>
      <c r="N120" s="22">
        <v>0.7</v>
      </c>
      <c r="O120" s="23">
        <v>0.8</v>
      </c>
      <c r="P120" s="24">
        <v>0.9</v>
      </c>
      <c r="Q120" s="28">
        <v>1</v>
      </c>
      <c r="R120" s="210"/>
      <c r="S120" s="29">
        <v>0.1</v>
      </c>
      <c r="T120" s="30">
        <v>0.2</v>
      </c>
      <c r="U120" s="30">
        <v>0.3</v>
      </c>
      <c r="V120" s="30">
        <v>0.1</v>
      </c>
      <c r="W120" s="208"/>
      <c r="X120" s="210"/>
      <c r="Y120" s="22">
        <v>10.4</v>
      </c>
      <c r="Z120" s="22">
        <v>5.6</v>
      </c>
      <c r="AA120" s="22">
        <v>7.3</v>
      </c>
      <c r="AB120" s="208"/>
      <c r="AC120" s="33" t="s">
        <v>20</v>
      </c>
      <c r="AD120" s="33" t="s">
        <v>21</v>
      </c>
      <c r="AE120" s="33" t="s">
        <v>22</v>
      </c>
      <c r="AF120" s="33" t="s">
        <v>23</v>
      </c>
      <c r="AG120" s="206"/>
      <c r="AH120" s="4"/>
    </row>
    <row r="121" spans="1:34" x14ac:dyDescent="0.25">
      <c r="B121" s="7"/>
      <c r="C121" s="8"/>
      <c r="D121" s="9">
        <v>0</v>
      </c>
      <c r="E121" s="9">
        <v>1</v>
      </c>
      <c r="F121" s="9">
        <v>2</v>
      </c>
      <c r="G121" s="9" t="s">
        <v>24</v>
      </c>
      <c r="H121" s="9" t="s">
        <v>25</v>
      </c>
      <c r="I121" s="9" t="s">
        <v>26</v>
      </c>
      <c r="J121" s="9" t="s">
        <v>27</v>
      </c>
      <c r="K121" s="25" t="s">
        <v>60</v>
      </c>
      <c r="L121" s="9" t="s">
        <v>61</v>
      </c>
      <c r="M121" s="9" t="s">
        <v>61</v>
      </c>
      <c r="N121" s="9" t="s">
        <v>62</v>
      </c>
      <c r="O121" s="9" t="s">
        <v>63</v>
      </c>
      <c r="P121" s="9" t="s">
        <v>63</v>
      </c>
      <c r="Q121" s="9" t="s">
        <v>63</v>
      </c>
      <c r="R121" s="9">
        <v>9</v>
      </c>
      <c r="S121" s="31" t="s">
        <v>161</v>
      </c>
      <c r="T121" s="31" t="s">
        <v>162</v>
      </c>
      <c r="U121" s="31" t="s">
        <v>163</v>
      </c>
      <c r="V121" s="31" t="s">
        <v>164</v>
      </c>
      <c r="W121" s="31" t="s">
        <v>64</v>
      </c>
      <c r="X121" s="9" t="s">
        <v>65</v>
      </c>
      <c r="Y121" s="9" t="s">
        <v>66</v>
      </c>
      <c r="Z121" s="9" t="s">
        <v>67</v>
      </c>
      <c r="AA121" s="9" t="s">
        <v>246</v>
      </c>
      <c r="AB121" s="9" t="s">
        <v>240</v>
      </c>
      <c r="AC121" s="9">
        <v>16</v>
      </c>
      <c r="AD121" s="31" t="s">
        <v>158</v>
      </c>
      <c r="AE121" s="31" t="s">
        <v>159</v>
      </c>
      <c r="AF121" s="31" t="s">
        <v>160</v>
      </c>
      <c r="AG121" s="9">
        <v>17</v>
      </c>
      <c r="AH121" s="4"/>
    </row>
    <row r="122" spans="1:34" ht="15" x14ac:dyDescent="0.25">
      <c r="A122" s="1" t="s">
        <v>205</v>
      </c>
      <c r="B122" s="7">
        <v>1</v>
      </c>
      <c r="C122" s="35" t="s">
        <v>109</v>
      </c>
      <c r="D122" s="123">
        <v>2</v>
      </c>
      <c r="E122" s="13">
        <v>98.2</v>
      </c>
      <c r="F122" s="128">
        <f>+E122*1157.17</f>
        <v>113634.09400000001</v>
      </c>
      <c r="G122" s="128">
        <f>+F122/60</f>
        <v>1893.9015666666669</v>
      </c>
      <c r="H122" s="128">
        <f>+F122*1.5%</f>
        <v>1704.5114100000001</v>
      </c>
      <c r="I122" s="128">
        <v>0</v>
      </c>
      <c r="J122" s="128">
        <f>+G122+H122+I122</f>
        <v>3598.412976666667</v>
      </c>
      <c r="K122" s="128">
        <f>+J122/12</f>
        <v>299.86774805555558</v>
      </c>
      <c r="L122" s="128"/>
      <c r="M122" s="128">
        <f>+J122*(100%+5.6%)</f>
        <v>3799.9241033600006</v>
      </c>
      <c r="N122" s="128">
        <f>+K122*N120</f>
        <v>209.9074236388889</v>
      </c>
      <c r="O122" s="128">
        <f>+N122*O120</f>
        <v>167.92593891111113</v>
      </c>
      <c r="P122" s="128">
        <f>+N122*P120</f>
        <v>188.916681275</v>
      </c>
      <c r="Q122" s="128">
        <f>+N122*Q120</f>
        <v>209.9074236388889</v>
      </c>
      <c r="R122" s="128">
        <v>1892.63</v>
      </c>
      <c r="S122" s="128">
        <f>R122*S120</f>
        <v>189.26300000000003</v>
      </c>
      <c r="T122" s="128">
        <v>0</v>
      </c>
      <c r="U122" s="128">
        <v>0</v>
      </c>
      <c r="V122" s="128">
        <v>0</v>
      </c>
      <c r="W122" s="128">
        <f>O122</f>
        <v>167.92593891111113</v>
      </c>
      <c r="X122" s="128">
        <f>W122*12+0.05</f>
        <v>2015.1612669333335</v>
      </c>
      <c r="Y122" s="128">
        <f>X122*(100+10.4)%</f>
        <v>2224.7380386944005</v>
      </c>
      <c r="Z122" s="128">
        <f>Y122*(100+5.6)%+0.01</f>
        <v>2349.3333688612875</v>
      </c>
      <c r="AA122" s="128">
        <f>Z122*(100+7.3)%</f>
        <v>2520.8347047881612</v>
      </c>
      <c r="AB122" s="128">
        <f>AA122/12</f>
        <v>210.06955873234676</v>
      </c>
      <c r="AC122" s="128">
        <f>K122</f>
        <v>299.86774805555558</v>
      </c>
      <c r="AD122" s="139">
        <f>S122</f>
        <v>189.26300000000003</v>
      </c>
      <c r="AE122" s="128">
        <f>G122/12</f>
        <v>157.82513055555557</v>
      </c>
      <c r="AF122" s="130">
        <f>AE122/AC122*100</f>
        <v>52.631578947368418</v>
      </c>
      <c r="AG122" s="131">
        <f>AD122*AF122%</f>
        <v>99.6121052631579</v>
      </c>
      <c r="AH122" s="4"/>
    </row>
    <row r="123" spans="1:34" x14ac:dyDescent="0.25">
      <c r="B123" s="176"/>
      <c r="C123" s="248" t="s">
        <v>77</v>
      </c>
      <c r="D123" s="248"/>
      <c r="E123" s="177">
        <v>98.2</v>
      </c>
      <c r="F123" s="175">
        <f>SUM(F122:F122)</f>
        <v>113634.09400000001</v>
      </c>
      <c r="G123" s="175">
        <f>SUM(G122:G122)</f>
        <v>1893.9015666666669</v>
      </c>
      <c r="H123" s="175">
        <f>SUM(H122:H122)</f>
        <v>1704.5114100000001</v>
      </c>
      <c r="I123" s="175">
        <f>+I122</f>
        <v>0</v>
      </c>
      <c r="J123" s="175">
        <f>SUM(J122:J122)</f>
        <v>3598.412976666667</v>
      </c>
      <c r="K123" s="175">
        <f>+K122</f>
        <v>299.86774805555558</v>
      </c>
      <c r="L123" s="175"/>
      <c r="M123" s="175">
        <f>SUM(M122:M122)</f>
        <v>3799.9241033600006</v>
      </c>
      <c r="N123" s="175">
        <f>+N122</f>
        <v>209.9074236388889</v>
      </c>
      <c r="O123" s="175">
        <f>+O122</f>
        <v>167.92593891111113</v>
      </c>
      <c r="P123" s="175">
        <f>+P122</f>
        <v>188.916681275</v>
      </c>
      <c r="Q123" s="175">
        <f>+Q122</f>
        <v>209.9074236388889</v>
      </c>
      <c r="R123" s="175"/>
      <c r="S123" s="175">
        <f>SUM(S122)</f>
        <v>189.26300000000003</v>
      </c>
      <c r="T123" s="175">
        <f t="shared" ref="T123:AG123" si="69">SUM(T122)</f>
        <v>0</v>
      </c>
      <c r="U123" s="175">
        <f t="shared" si="69"/>
        <v>0</v>
      </c>
      <c r="V123" s="175">
        <f t="shared" si="69"/>
        <v>0</v>
      </c>
      <c r="W123" s="175">
        <f t="shared" si="69"/>
        <v>167.92593891111113</v>
      </c>
      <c r="X123" s="175">
        <f t="shared" si="69"/>
        <v>2015.1612669333335</v>
      </c>
      <c r="Y123" s="175">
        <f t="shared" si="69"/>
        <v>2224.7380386944005</v>
      </c>
      <c r="Z123" s="175">
        <f t="shared" si="69"/>
        <v>2349.3333688612875</v>
      </c>
      <c r="AA123" s="175">
        <f t="shared" si="69"/>
        <v>2520.8347047881612</v>
      </c>
      <c r="AB123" s="175">
        <f t="shared" si="69"/>
        <v>210.06955873234676</v>
      </c>
      <c r="AC123" s="175">
        <f t="shared" si="69"/>
        <v>299.86774805555558</v>
      </c>
      <c r="AD123" s="175">
        <f t="shared" si="69"/>
        <v>189.26300000000003</v>
      </c>
      <c r="AE123" s="175">
        <f t="shared" si="69"/>
        <v>157.82513055555557</v>
      </c>
      <c r="AF123" s="175">
        <f t="shared" si="69"/>
        <v>52.631578947368418</v>
      </c>
      <c r="AG123" s="175">
        <f t="shared" si="69"/>
        <v>99.6121052631579</v>
      </c>
      <c r="AH123" s="4"/>
    </row>
    <row r="124" spans="1:34" x14ac:dyDescent="0.25">
      <c r="B124" s="4"/>
      <c r="C124" s="52"/>
      <c r="D124" s="5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"/>
    </row>
    <row r="125" spans="1:34" ht="12.95" customHeight="1" x14ac:dyDescent="0.25">
      <c r="B125" s="4"/>
      <c r="C125" s="223"/>
      <c r="D125" s="223"/>
      <c r="E125" s="223"/>
      <c r="F125" s="223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"/>
    </row>
    <row r="126" spans="1:34" ht="14.1" customHeight="1" x14ac:dyDescent="0.25">
      <c r="B126" s="4"/>
      <c r="C126" s="224" t="s">
        <v>101</v>
      </c>
      <c r="D126" s="224"/>
      <c r="E126" s="42"/>
      <c r="F126" s="42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"/>
    </row>
    <row r="127" spans="1:34" x14ac:dyDescent="0.25">
      <c r="B127" s="4"/>
      <c r="C127" s="4"/>
      <c r="D127" s="4"/>
      <c r="E127" s="4"/>
      <c r="F127" s="4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"/>
    </row>
    <row r="128" spans="1:34" ht="129.75" customHeight="1" x14ac:dyDescent="0.25">
      <c r="B128" s="215" t="s">
        <v>1</v>
      </c>
      <c r="C128" s="217" t="s">
        <v>56</v>
      </c>
      <c r="D128" s="209" t="s">
        <v>3</v>
      </c>
      <c r="E128" s="209" t="s">
        <v>4</v>
      </c>
      <c r="F128" s="209" t="s">
        <v>5</v>
      </c>
      <c r="G128" s="209" t="s">
        <v>6</v>
      </c>
      <c r="H128" s="209" t="s">
        <v>7</v>
      </c>
      <c r="I128" s="209" t="s">
        <v>8</v>
      </c>
      <c r="J128" s="209" t="s">
        <v>9</v>
      </c>
      <c r="K128" s="209" t="s">
        <v>57</v>
      </c>
      <c r="L128" s="22" t="s">
        <v>10</v>
      </c>
      <c r="M128" s="22" t="s">
        <v>10</v>
      </c>
      <c r="N128" s="22" t="s">
        <v>12</v>
      </c>
      <c r="O128" s="211" t="s">
        <v>13</v>
      </c>
      <c r="P128" s="212"/>
      <c r="Q128" s="213"/>
      <c r="R128" s="209" t="s">
        <v>14</v>
      </c>
      <c r="S128" s="225" t="s">
        <v>58</v>
      </c>
      <c r="T128" s="226"/>
      <c r="U128" s="226"/>
      <c r="V128" s="227"/>
      <c r="W128" s="207" t="s">
        <v>21</v>
      </c>
      <c r="X128" s="209" t="s">
        <v>9</v>
      </c>
      <c r="Y128" s="22" t="s">
        <v>242</v>
      </c>
      <c r="Z128" s="22" t="s">
        <v>243</v>
      </c>
      <c r="AA128" s="22" t="s">
        <v>156</v>
      </c>
      <c r="AB128" s="207" t="s">
        <v>59</v>
      </c>
      <c r="AC128" s="228" t="s">
        <v>18</v>
      </c>
      <c r="AD128" s="229"/>
      <c r="AE128" s="229"/>
      <c r="AF128" s="229"/>
      <c r="AG128" s="205" t="s">
        <v>19</v>
      </c>
      <c r="AH128" s="4"/>
    </row>
    <row r="129" spans="1:34" ht="51" x14ac:dyDescent="0.25">
      <c r="B129" s="216"/>
      <c r="C129" s="218"/>
      <c r="D129" s="210"/>
      <c r="E129" s="210"/>
      <c r="F129" s="210"/>
      <c r="G129" s="210"/>
      <c r="H129" s="210"/>
      <c r="I129" s="210"/>
      <c r="J129" s="210"/>
      <c r="K129" s="210"/>
      <c r="L129" s="22">
        <v>5.6</v>
      </c>
      <c r="M129" s="22">
        <v>5.6</v>
      </c>
      <c r="N129" s="22">
        <v>0.7</v>
      </c>
      <c r="O129" s="23">
        <v>0.8</v>
      </c>
      <c r="P129" s="24">
        <v>0.9</v>
      </c>
      <c r="Q129" s="28">
        <v>1</v>
      </c>
      <c r="R129" s="210"/>
      <c r="S129" s="29">
        <v>0.1</v>
      </c>
      <c r="T129" s="30">
        <v>0.2</v>
      </c>
      <c r="U129" s="30">
        <v>0.3</v>
      </c>
      <c r="V129" s="30">
        <v>0.1</v>
      </c>
      <c r="W129" s="208"/>
      <c r="X129" s="210"/>
      <c r="Y129" s="22">
        <v>10.4</v>
      </c>
      <c r="Z129" s="22">
        <v>5.6</v>
      </c>
      <c r="AA129" s="22">
        <v>7.3</v>
      </c>
      <c r="AB129" s="208"/>
      <c r="AC129" s="33" t="s">
        <v>20</v>
      </c>
      <c r="AD129" s="33" t="s">
        <v>21</v>
      </c>
      <c r="AE129" s="33" t="s">
        <v>22</v>
      </c>
      <c r="AF129" s="33" t="s">
        <v>23</v>
      </c>
      <c r="AG129" s="206"/>
      <c r="AH129" s="4"/>
    </row>
    <row r="130" spans="1:34" x14ac:dyDescent="0.25">
      <c r="B130" s="7"/>
      <c r="C130" s="8"/>
      <c r="D130" s="9">
        <v>0</v>
      </c>
      <c r="E130" s="9">
        <v>1</v>
      </c>
      <c r="F130" s="9">
        <v>2</v>
      </c>
      <c r="G130" s="9" t="s">
        <v>24</v>
      </c>
      <c r="H130" s="9" t="s">
        <v>25</v>
      </c>
      <c r="I130" s="9" t="s">
        <v>26</v>
      </c>
      <c r="J130" s="9" t="s">
        <v>27</v>
      </c>
      <c r="K130" s="25" t="s">
        <v>60</v>
      </c>
      <c r="L130" s="9" t="s">
        <v>61</v>
      </c>
      <c r="M130" s="9" t="s">
        <v>61</v>
      </c>
      <c r="N130" s="9" t="s">
        <v>62</v>
      </c>
      <c r="O130" s="9" t="s">
        <v>63</v>
      </c>
      <c r="P130" s="9" t="s">
        <v>63</v>
      </c>
      <c r="Q130" s="9" t="s">
        <v>63</v>
      </c>
      <c r="R130" s="9">
        <v>9</v>
      </c>
      <c r="S130" s="31" t="s">
        <v>161</v>
      </c>
      <c r="T130" s="31" t="s">
        <v>162</v>
      </c>
      <c r="U130" s="31" t="s">
        <v>163</v>
      </c>
      <c r="V130" s="31" t="s">
        <v>164</v>
      </c>
      <c r="W130" s="31" t="s">
        <v>64</v>
      </c>
      <c r="X130" s="9" t="s">
        <v>65</v>
      </c>
      <c r="Y130" s="9" t="s">
        <v>66</v>
      </c>
      <c r="Z130" s="9" t="s">
        <v>67</v>
      </c>
      <c r="AA130" s="9" t="s">
        <v>246</v>
      </c>
      <c r="AB130" s="9" t="s">
        <v>240</v>
      </c>
      <c r="AC130" s="9">
        <v>16</v>
      </c>
      <c r="AD130" s="31" t="s">
        <v>158</v>
      </c>
      <c r="AE130" s="31" t="s">
        <v>159</v>
      </c>
      <c r="AF130" s="31" t="s">
        <v>160</v>
      </c>
      <c r="AG130" s="9">
        <v>17</v>
      </c>
      <c r="AH130" s="4"/>
    </row>
    <row r="131" spans="1:34" ht="15" x14ac:dyDescent="0.25">
      <c r="A131" s="1" t="s">
        <v>206</v>
      </c>
      <c r="B131" s="7">
        <v>1</v>
      </c>
      <c r="C131" s="35" t="s">
        <v>103</v>
      </c>
      <c r="D131" s="36">
        <v>2</v>
      </c>
      <c r="E131" s="43">
        <v>97.35</v>
      </c>
      <c r="F131" s="128">
        <f>+E131*1157.17</f>
        <v>112650.49950000001</v>
      </c>
      <c r="G131" s="128">
        <f>+F131/60</f>
        <v>1877.508325</v>
      </c>
      <c r="H131" s="128">
        <f>+F131*1.5%</f>
        <v>1689.7574925000001</v>
      </c>
      <c r="I131" s="128">
        <f>+F131*0.5%</f>
        <v>563.2524975</v>
      </c>
      <c r="J131" s="128">
        <f>+G131+H131+I131</f>
        <v>4130.5183150000003</v>
      </c>
      <c r="K131" s="128">
        <f>+J131/12</f>
        <v>344.20985958333335</v>
      </c>
      <c r="L131" s="128"/>
      <c r="M131" s="128">
        <f>+J131*(100%+5.6%)</f>
        <v>4361.8273406400003</v>
      </c>
      <c r="N131" s="128">
        <f>+K131*N129</f>
        <v>240.94690170833334</v>
      </c>
      <c r="O131" s="128">
        <f>+N131*O129</f>
        <v>192.75752136666668</v>
      </c>
      <c r="P131" s="128">
        <f>+N131*P129</f>
        <v>216.85221153750001</v>
      </c>
      <c r="Q131" s="128">
        <f>+N131*Q129</f>
        <v>240.94690170833334</v>
      </c>
      <c r="R131" s="128">
        <v>2201.44</v>
      </c>
      <c r="S131" s="128">
        <f>R131*S129</f>
        <v>220.14400000000001</v>
      </c>
      <c r="T131" s="128">
        <v>0</v>
      </c>
      <c r="U131" s="128">
        <v>0</v>
      </c>
      <c r="V131" s="128">
        <v>0</v>
      </c>
      <c r="W131" s="128">
        <f>O131</f>
        <v>192.75752136666668</v>
      </c>
      <c r="X131" s="128">
        <f>W131*12+0.03</f>
        <v>2313.1202564000005</v>
      </c>
      <c r="Y131" s="128">
        <f>X131*(100+10.4)%</f>
        <v>2553.6847630656007</v>
      </c>
      <c r="Z131" s="128">
        <f>Y131*(100+5.6)%</f>
        <v>2696.6911097972743</v>
      </c>
      <c r="AA131" s="128">
        <f>Z131*(100+7.3)%</f>
        <v>2893.5495608124752</v>
      </c>
      <c r="AB131" s="128">
        <f>AA131/12</f>
        <v>241.12913006770626</v>
      </c>
      <c r="AC131" s="128">
        <f>K131</f>
        <v>344.20985958333335</v>
      </c>
      <c r="AD131" s="139">
        <f>S131</f>
        <v>220.14400000000001</v>
      </c>
      <c r="AE131" s="180">
        <f>G131/12</f>
        <v>156.45902708333332</v>
      </c>
      <c r="AF131" s="181">
        <f>AE131/AC131*100</f>
        <v>45.454545454545446</v>
      </c>
      <c r="AG131" s="182">
        <f>AD131*AF131%-0.02</f>
        <v>100.04545454545453</v>
      </c>
      <c r="AH131" s="4"/>
    </row>
    <row r="132" spans="1:34" ht="15" x14ac:dyDescent="0.25">
      <c r="A132" s="1" t="s">
        <v>207</v>
      </c>
      <c r="B132" s="7">
        <v>2</v>
      </c>
      <c r="C132" s="35" t="s">
        <v>99</v>
      </c>
      <c r="D132" s="36">
        <v>2</v>
      </c>
      <c r="E132" s="43">
        <v>99.24</v>
      </c>
      <c r="F132" s="128">
        <f>+E132*1157.17</f>
        <v>114837.5508</v>
      </c>
      <c r="G132" s="128">
        <f>+F132/60</f>
        <v>1913.9591800000001</v>
      </c>
      <c r="H132" s="128">
        <f>+F132*1.5%</f>
        <v>1722.5632619999999</v>
      </c>
      <c r="I132" s="128">
        <f>+F132*0.5%</f>
        <v>574.18775400000004</v>
      </c>
      <c r="J132" s="128">
        <f>+G132+H132+I132</f>
        <v>4210.710196</v>
      </c>
      <c r="K132" s="128">
        <f>+J132/12</f>
        <v>350.89251633333333</v>
      </c>
      <c r="L132" s="128"/>
      <c r="M132" s="128">
        <f>+J132*(100%+5.6%)</f>
        <v>4446.5099669760002</v>
      </c>
      <c r="N132" s="128">
        <f>+K132*N129</f>
        <v>245.6247614333333</v>
      </c>
      <c r="O132" s="128">
        <f>+N132*O129</f>
        <v>196.49980914666665</v>
      </c>
      <c r="P132" s="128">
        <f>+N132*P129</f>
        <v>221.06228528999998</v>
      </c>
      <c r="Q132" s="128">
        <f>+N132*Q129</f>
        <v>245.6247614333333</v>
      </c>
      <c r="R132" s="128">
        <v>4519.71</v>
      </c>
      <c r="S132" s="128">
        <v>0</v>
      </c>
      <c r="T132" s="128">
        <v>0</v>
      </c>
      <c r="U132" s="128">
        <f>R132*U129</f>
        <v>1355.913</v>
      </c>
      <c r="V132" s="128">
        <v>0</v>
      </c>
      <c r="W132" s="128">
        <f>P132</f>
        <v>221.06228528999998</v>
      </c>
      <c r="X132" s="128">
        <f>W132*12-0.03</f>
        <v>2652.7174234799995</v>
      </c>
      <c r="Y132" s="128">
        <f>X132*(100+10.4)%</f>
        <v>2928.6000355219198</v>
      </c>
      <c r="Z132" s="128">
        <f>Y132*(100+5.6)%</f>
        <v>3092.6016375111476</v>
      </c>
      <c r="AA132" s="128">
        <f>Z132*(100+7.3)%</f>
        <v>3318.3615570494612</v>
      </c>
      <c r="AB132" s="128">
        <f>AA132/12</f>
        <v>276.53012975412179</v>
      </c>
      <c r="AC132" s="128">
        <f t="shared" ref="AC132:AC133" si="70">K132</f>
        <v>350.89251633333333</v>
      </c>
      <c r="AD132" s="139">
        <f>AB132</f>
        <v>276.53012975412179</v>
      </c>
      <c r="AE132" s="180">
        <f t="shared" ref="AE132:AE133" si="71">G132/12</f>
        <v>159.49659833333334</v>
      </c>
      <c r="AF132" s="181">
        <f t="shared" ref="AF132:AF133" si="72">AE132/AC132*100</f>
        <v>45.45454545454546</v>
      </c>
      <c r="AG132" s="182">
        <f>AD132*AF132%-0.02</f>
        <v>125.67551352460083</v>
      </c>
      <c r="AH132" s="4"/>
    </row>
    <row r="133" spans="1:34" ht="15" x14ac:dyDescent="0.25">
      <c r="A133" s="1" t="s">
        <v>208</v>
      </c>
      <c r="B133" s="7">
        <v>3</v>
      </c>
      <c r="C133" s="35" t="s">
        <v>110</v>
      </c>
      <c r="D133" s="36">
        <v>2</v>
      </c>
      <c r="E133" s="43">
        <v>97.85</v>
      </c>
      <c r="F133" s="128">
        <f>+E133*1157.17</f>
        <v>113229.0845</v>
      </c>
      <c r="G133" s="128">
        <f>+F133/60</f>
        <v>1887.1514083333334</v>
      </c>
      <c r="H133" s="128">
        <f>+F133*1.5%</f>
        <v>1698.4362675</v>
      </c>
      <c r="I133" s="128">
        <f>+F133*0.5%</f>
        <v>566.1454225</v>
      </c>
      <c r="J133" s="128">
        <f>G133+H133+I133+0.01</f>
        <v>4151.7430983333334</v>
      </c>
      <c r="K133" s="128">
        <f>+J133/12</f>
        <v>345.97859152777778</v>
      </c>
      <c r="L133" s="128"/>
      <c r="M133" s="128">
        <f>+J133*(100%+5.6%)</f>
        <v>4384.2407118400006</v>
      </c>
      <c r="N133" s="128">
        <f>K133*N129</f>
        <v>242.18501406944443</v>
      </c>
      <c r="O133" s="128">
        <f>+N133*O129</f>
        <v>193.74801125555555</v>
      </c>
      <c r="P133" s="128">
        <f>+N133*P129</f>
        <v>217.96651266250001</v>
      </c>
      <c r="Q133" s="128">
        <f>+N133*Q129</f>
        <v>242.18501406944443</v>
      </c>
      <c r="R133" s="139" t="s">
        <v>250</v>
      </c>
      <c r="S133" s="139">
        <v>0</v>
      </c>
      <c r="T133" s="139">
        <v>0</v>
      </c>
      <c r="U133" s="139">
        <v>0</v>
      </c>
      <c r="V133" s="139">
        <v>0</v>
      </c>
      <c r="W133" s="139">
        <f>N133</f>
        <v>242.18501406944443</v>
      </c>
      <c r="X133" s="139">
        <f>W133*12</f>
        <v>2906.2201688333334</v>
      </c>
      <c r="Y133" s="139">
        <f>X133*(100+10.4)%</f>
        <v>3208.4670663920006</v>
      </c>
      <c r="Z133" s="139">
        <f>Y133*(100+5.6)%</f>
        <v>3388.1412221099527</v>
      </c>
      <c r="AA133" s="139">
        <f>Z133*(100+7.3)%</f>
        <v>3635.4755313239789</v>
      </c>
      <c r="AB133" s="139">
        <f>AA133/12</f>
        <v>302.95629427699822</v>
      </c>
      <c r="AC133" s="139">
        <f t="shared" si="70"/>
        <v>345.97859152777778</v>
      </c>
      <c r="AD133" s="139">
        <f>AB133</f>
        <v>302.95629427699822</v>
      </c>
      <c r="AE133" s="180">
        <f t="shared" si="71"/>
        <v>157.26261736111113</v>
      </c>
      <c r="AF133" s="181">
        <f t="shared" si="72"/>
        <v>45.454435971505738</v>
      </c>
      <c r="AG133" s="182">
        <f>AD133*AF133%-0.01</f>
        <v>137.69707480378466</v>
      </c>
      <c r="AH133" s="4"/>
    </row>
    <row r="134" spans="1:34" x14ac:dyDescent="0.25">
      <c r="B134" s="176"/>
      <c r="C134" s="248" t="s">
        <v>77</v>
      </c>
      <c r="D134" s="248"/>
      <c r="E134" s="177">
        <f t="shared" ref="E134:K134" si="73">SUM(E131:E133)</f>
        <v>294.43999999999994</v>
      </c>
      <c r="F134" s="175">
        <f t="shared" si="73"/>
        <v>340717.1348</v>
      </c>
      <c r="G134" s="175">
        <f t="shared" si="73"/>
        <v>5678.6189133333337</v>
      </c>
      <c r="H134" s="175">
        <f t="shared" si="73"/>
        <v>5110.7570219999998</v>
      </c>
      <c r="I134" s="175">
        <f t="shared" si="73"/>
        <v>1703.5856740000002</v>
      </c>
      <c r="J134" s="175">
        <f t="shared" si="73"/>
        <v>12492.971609333334</v>
      </c>
      <c r="K134" s="175">
        <f t="shared" si="73"/>
        <v>1041.0809674444445</v>
      </c>
      <c r="L134" s="175"/>
      <c r="M134" s="175">
        <f>SUM(M131:M133)</f>
        <v>13192.578019456001</v>
      </c>
      <c r="N134" s="175">
        <f>SUM(N131:N133)</f>
        <v>728.75667721111108</v>
      </c>
      <c r="O134" s="175">
        <f>SUM(O131:O133)</f>
        <v>583.00534176888891</v>
      </c>
      <c r="P134" s="175">
        <f>SUM(P131:P133)</f>
        <v>655.88100949</v>
      </c>
      <c r="Q134" s="175">
        <f>SUM(Q131:Q133)</f>
        <v>728.75667721111108</v>
      </c>
      <c r="R134" s="175"/>
      <c r="S134" s="175">
        <f>SUM(S131:S133)</f>
        <v>220.14400000000001</v>
      </c>
      <c r="T134" s="175">
        <f t="shared" ref="T134:AE134" si="74">SUM(T131:T133)</f>
        <v>0</v>
      </c>
      <c r="U134" s="175">
        <f t="shared" si="74"/>
        <v>1355.913</v>
      </c>
      <c r="V134" s="175">
        <f t="shared" si="74"/>
        <v>0</v>
      </c>
      <c r="W134" s="175">
        <f>SUM(W131:W133)+0.01</f>
        <v>656.01482072611111</v>
      </c>
      <c r="X134" s="175">
        <f t="shared" si="74"/>
        <v>7872.0578487133334</v>
      </c>
      <c r="Y134" s="175">
        <f t="shared" si="74"/>
        <v>8690.7518649795202</v>
      </c>
      <c r="Z134" s="175">
        <f t="shared" si="74"/>
        <v>9177.4339694183745</v>
      </c>
      <c r="AA134" s="175">
        <f t="shared" si="74"/>
        <v>9847.3866491859153</v>
      </c>
      <c r="AB134" s="175">
        <f t="shared" si="74"/>
        <v>820.61555409882635</v>
      </c>
      <c r="AC134" s="175">
        <f t="shared" si="74"/>
        <v>1041.0809674444445</v>
      </c>
      <c r="AD134" s="175">
        <f t="shared" si="74"/>
        <v>799.63042403112001</v>
      </c>
      <c r="AE134" s="175">
        <f t="shared" si="74"/>
        <v>473.21824277777773</v>
      </c>
      <c r="AF134" s="175">
        <f>SUM(AF131:AF133)-0.01</f>
        <v>136.35352688059666</v>
      </c>
      <c r="AG134" s="175">
        <f>SUM(AG131:AG133)+0.01</f>
        <v>363.42804287384001</v>
      </c>
      <c r="AH134" s="4"/>
    </row>
    <row r="135" spans="1:34" x14ac:dyDescent="0.25">
      <c r="B135" s="127"/>
      <c r="C135" s="52"/>
      <c r="D135" s="52"/>
      <c r="E135" s="41"/>
      <c r="F135" s="41"/>
      <c r="G135" s="41"/>
      <c r="H135" s="41"/>
      <c r="I135" s="56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"/>
    </row>
    <row r="136" spans="1:34" x14ac:dyDescent="0.25">
      <c r="B136" s="127"/>
      <c r="C136" s="52"/>
      <c r="D136" s="52"/>
      <c r="E136" s="41"/>
      <c r="F136" s="41"/>
      <c r="G136" s="41"/>
      <c r="H136" s="41"/>
      <c r="I136" s="56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"/>
    </row>
    <row r="137" spans="1:34" x14ac:dyDescent="0.25">
      <c r="B137" s="127"/>
      <c r="C137" s="52"/>
      <c r="D137" s="52"/>
      <c r="E137" s="41"/>
      <c r="F137" s="41"/>
      <c r="G137" s="41"/>
      <c r="H137" s="41"/>
      <c r="I137" s="56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"/>
    </row>
    <row r="138" spans="1:34" x14ac:dyDescent="0.25">
      <c r="B138" s="127"/>
      <c r="C138" s="52"/>
      <c r="D138" s="52"/>
      <c r="E138" s="41"/>
      <c r="F138" s="41"/>
      <c r="G138" s="41"/>
      <c r="H138" s="41"/>
      <c r="I138" s="56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"/>
    </row>
    <row r="139" spans="1:34" x14ac:dyDescent="0.25">
      <c r="B139" s="4"/>
      <c r="C139" s="52"/>
      <c r="D139" s="5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"/>
    </row>
    <row r="140" spans="1:34" ht="20.25" x14ac:dyDescent="0.25">
      <c r="B140" s="4"/>
      <c r="C140" s="223" t="s">
        <v>111</v>
      </c>
      <c r="D140" s="223"/>
      <c r="E140" s="223"/>
      <c r="F140" s="223"/>
      <c r="G140" s="22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3"/>
      <c r="X140" s="4"/>
      <c r="Y140" s="4"/>
      <c r="Z140" s="4"/>
      <c r="AA140" s="4"/>
      <c r="AB140" s="4"/>
      <c r="AC140" s="4"/>
      <c r="AD140" s="4"/>
      <c r="AE140" s="4"/>
      <c r="AF140" s="4"/>
      <c r="AG140" s="3"/>
      <c r="AH140" s="4"/>
    </row>
    <row r="141" spans="1:34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25">
      <c r="B142" s="4"/>
      <c r="C142" s="231" t="s">
        <v>0</v>
      </c>
      <c r="D142" s="23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19.25" customHeight="1" x14ac:dyDescent="0.25">
      <c r="B144" s="215" t="s">
        <v>1</v>
      </c>
      <c r="C144" s="217" t="s">
        <v>56</v>
      </c>
      <c r="D144" s="209" t="s">
        <v>3</v>
      </c>
      <c r="E144" s="209" t="s">
        <v>4</v>
      </c>
      <c r="F144" s="209" t="s">
        <v>5</v>
      </c>
      <c r="G144" s="209" t="s">
        <v>6</v>
      </c>
      <c r="H144" s="209" t="s">
        <v>7</v>
      </c>
      <c r="I144" s="209" t="s">
        <v>8</v>
      </c>
      <c r="J144" s="209" t="s">
        <v>9</v>
      </c>
      <c r="K144" s="209" t="s">
        <v>57</v>
      </c>
      <c r="L144" s="22" t="s">
        <v>10</v>
      </c>
      <c r="M144" s="22" t="s">
        <v>10</v>
      </c>
      <c r="N144" s="22" t="s">
        <v>12</v>
      </c>
      <c r="O144" s="211" t="s">
        <v>13</v>
      </c>
      <c r="P144" s="212"/>
      <c r="Q144" s="213"/>
      <c r="R144" s="209" t="s">
        <v>14</v>
      </c>
      <c r="S144" s="225" t="s">
        <v>58</v>
      </c>
      <c r="T144" s="226"/>
      <c r="U144" s="226"/>
      <c r="V144" s="227"/>
      <c r="W144" s="207" t="s">
        <v>21</v>
      </c>
      <c r="X144" s="209" t="s">
        <v>9</v>
      </c>
      <c r="Y144" s="22" t="s">
        <v>242</v>
      </c>
      <c r="Z144" s="22" t="s">
        <v>243</v>
      </c>
      <c r="AA144" s="22" t="s">
        <v>156</v>
      </c>
      <c r="AB144" s="207" t="s">
        <v>59</v>
      </c>
      <c r="AC144" s="228" t="s">
        <v>18</v>
      </c>
      <c r="AD144" s="229"/>
      <c r="AE144" s="229"/>
      <c r="AF144" s="229"/>
      <c r="AG144" s="205" t="s">
        <v>19</v>
      </c>
      <c r="AH144" s="4"/>
    </row>
    <row r="145" spans="1:34" ht="51" x14ac:dyDescent="0.25">
      <c r="B145" s="216"/>
      <c r="C145" s="218"/>
      <c r="D145" s="210"/>
      <c r="E145" s="210"/>
      <c r="F145" s="210"/>
      <c r="G145" s="210"/>
      <c r="H145" s="210"/>
      <c r="I145" s="210"/>
      <c r="J145" s="210"/>
      <c r="K145" s="210"/>
      <c r="L145" s="22">
        <v>5.6</v>
      </c>
      <c r="M145" s="22">
        <v>5.6</v>
      </c>
      <c r="N145" s="22">
        <v>0.7</v>
      </c>
      <c r="O145" s="23">
        <v>0.8</v>
      </c>
      <c r="P145" s="24">
        <v>0.9</v>
      </c>
      <c r="Q145" s="28">
        <v>1</v>
      </c>
      <c r="R145" s="210"/>
      <c r="S145" s="29">
        <v>0.1</v>
      </c>
      <c r="T145" s="30">
        <v>0.2</v>
      </c>
      <c r="U145" s="30">
        <v>0.3</v>
      </c>
      <c r="V145" s="30">
        <v>0.1</v>
      </c>
      <c r="W145" s="208"/>
      <c r="X145" s="210"/>
      <c r="Y145" s="22">
        <v>10.4</v>
      </c>
      <c r="Z145" s="22">
        <v>5.6</v>
      </c>
      <c r="AA145" s="22">
        <v>7.3</v>
      </c>
      <c r="AB145" s="208"/>
      <c r="AC145" s="33" t="s">
        <v>20</v>
      </c>
      <c r="AD145" s="33" t="s">
        <v>21</v>
      </c>
      <c r="AE145" s="33" t="s">
        <v>22</v>
      </c>
      <c r="AF145" s="33" t="s">
        <v>23</v>
      </c>
      <c r="AG145" s="206"/>
      <c r="AH145" s="4"/>
    </row>
    <row r="146" spans="1:34" x14ac:dyDescent="0.25">
      <c r="B146" s="7"/>
      <c r="C146" s="8"/>
      <c r="D146" s="9">
        <v>0</v>
      </c>
      <c r="E146" s="9">
        <v>1</v>
      </c>
      <c r="F146" s="9">
        <v>2</v>
      </c>
      <c r="G146" s="9" t="s">
        <v>24</v>
      </c>
      <c r="H146" s="9" t="s">
        <v>25</v>
      </c>
      <c r="I146" s="9" t="s">
        <v>26</v>
      </c>
      <c r="J146" s="9" t="s">
        <v>27</v>
      </c>
      <c r="K146" s="25" t="s">
        <v>60</v>
      </c>
      <c r="L146" s="9" t="s">
        <v>61</v>
      </c>
      <c r="M146" s="9" t="s">
        <v>61</v>
      </c>
      <c r="N146" s="9" t="s">
        <v>62</v>
      </c>
      <c r="O146" s="9" t="s">
        <v>63</v>
      </c>
      <c r="P146" s="9" t="s">
        <v>63</v>
      </c>
      <c r="Q146" s="9" t="s">
        <v>63</v>
      </c>
      <c r="R146" s="9">
        <v>9</v>
      </c>
      <c r="S146" s="31" t="s">
        <v>161</v>
      </c>
      <c r="T146" s="31" t="s">
        <v>162</v>
      </c>
      <c r="U146" s="31" t="s">
        <v>163</v>
      </c>
      <c r="V146" s="31" t="s">
        <v>164</v>
      </c>
      <c r="W146" s="31" t="s">
        <v>64</v>
      </c>
      <c r="X146" s="9" t="s">
        <v>65</v>
      </c>
      <c r="Y146" s="9" t="s">
        <v>66</v>
      </c>
      <c r="Z146" s="9" t="s">
        <v>67</v>
      </c>
      <c r="AA146" s="9" t="s">
        <v>246</v>
      </c>
      <c r="AB146" s="9" t="s">
        <v>240</v>
      </c>
      <c r="AC146" s="9">
        <v>16</v>
      </c>
      <c r="AD146" s="31" t="s">
        <v>158</v>
      </c>
      <c r="AE146" s="31" t="s">
        <v>159</v>
      </c>
      <c r="AF146" s="31" t="s">
        <v>160</v>
      </c>
      <c r="AG146" s="9">
        <v>17</v>
      </c>
      <c r="AH146" s="51"/>
    </row>
    <row r="147" spans="1:34" x14ac:dyDescent="0.25">
      <c r="A147" s="1" t="s">
        <v>209</v>
      </c>
      <c r="B147" s="10">
        <v>1</v>
      </c>
      <c r="C147" s="35" t="s">
        <v>112</v>
      </c>
      <c r="D147" s="36">
        <v>2</v>
      </c>
      <c r="E147" s="35">
        <v>100.03</v>
      </c>
      <c r="F147" s="128">
        <f>+E147*1193.74</f>
        <v>119409.8122</v>
      </c>
      <c r="G147" s="128">
        <f>+F147/60</f>
        <v>1990.1635366666667</v>
      </c>
      <c r="H147" s="128">
        <f>+F147*1.5%</f>
        <v>1791.147183</v>
      </c>
      <c r="I147" s="128">
        <f>F147*0%</f>
        <v>0</v>
      </c>
      <c r="J147" s="128">
        <f>+G147+H147</f>
        <v>3781.310719666667</v>
      </c>
      <c r="K147" s="128">
        <f>+J147/12</f>
        <v>315.10922663888891</v>
      </c>
      <c r="L147" s="128"/>
      <c r="M147" s="128">
        <f>J147*(100%+5.6%)</f>
        <v>3993.0641199680003</v>
      </c>
      <c r="N147" s="128">
        <f>+K147*N145</f>
        <v>220.57645864722224</v>
      </c>
      <c r="O147" s="128">
        <f>+N147*O145</f>
        <v>176.4611669177778</v>
      </c>
      <c r="P147" s="128">
        <f>+N147*P145</f>
        <v>198.51881278250002</v>
      </c>
      <c r="Q147" s="128">
        <f>+N147*Q145</f>
        <v>220.57645864722224</v>
      </c>
      <c r="R147" s="128">
        <v>776.44</v>
      </c>
      <c r="S147" s="128">
        <f>R147*S145</f>
        <v>77.644000000000005</v>
      </c>
      <c r="T147" s="128">
        <v>0</v>
      </c>
      <c r="U147" s="128">
        <v>0</v>
      </c>
      <c r="V147" s="128">
        <v>0</v>
      </c>
      <c r="W147" s="128">
        <f>O147</f>
        <v>176.4611669177778</v>
      </c>
      <c r="X147" s="128">
        <f>W147*12-0.01</f>
        <v>2117.5240030133336</v>
      </c>
      <c r="Y147" s="128">
        <f>X147*(100%+10.4%)-0.01</f>
        <v>2337.7364993267201</v>
      </c>
      <c r="Z147" s="128">
        <f>Y147*(100%+5.6%)</f>
        <v>2468.6497432890164</v>
      </c>
      <c r="AA147" s="128">
        <f>Z147*107.3%</f>
        <v>2648.8611745491144</v>
      </c>
      <c r="AB147" s="128">
        <f>AA147/12</f>
        <v>220.73843121242621</v>
      </c>
      <c r="AC147" s="128">
        <f>K147</f>
        <v>315.10922663888891</v>
      </c>
      <c r="AD147" s="139">
        <v>73</v>
      </c>
      <c r="AE147" s="128">
        <f>G147/12</f>
        <v>165.8469613888889</v>
      </c>
      <c r="AF147" s="130">
        <f>AE147/AC147*100</f>
        <v>52.631578947368418</v>
      </c>
      <c r="AG147" s="131">
        <f>AD147*AF147%</f>
        <v>38.421052631578945</v>
      </c>
      <c r="AH147" s="51"/>
    </row>
    <row r="148" spans="1:34" x14ac:dyDescent="0.25">
      <c r="A148" s="1" t="s">
        <v>210</v>
      </c>
      <c r="B148" s="10">
        <v>2</v>
      </c>
      <c r="C148" s="35" t="s">
        <v>113</v>
      </c>
      <c r="D148" s="36">
        <v>2</v>
      </c>
      <c r="E148" s="35">
        <v>98.27</v>
      </c>
      <c r="F148" s="128">
        <f>+E148*1193.74</f>
        <v>117308.82979999999</v>
      </c>
      <c r="G148" s="128">
        <f>+F148/60</f>
        <v>1955.1471633333333</v>
      </c>
      <c r="H148" s="128">
        <f>+F148*1.5%</f>
        <v>1759.6324469999997</v>
      </c>
      <c r="I148" s="128">
        <v>0</v>
      </c>
      <c r="J148" s="128">
        <f>+G148+H148</f>
        <v>3714.779610333333</v>
      </c>
      <c r="K148" s="128">
        <f>+J148/12</f>
        <v>309.56496752777775</v>
      </c>
      <c r="L148" s="128"/>
      <c r="M148" s="128">
        <f>J148*(100%+5.6%)</f>
        <v>3922.8072685120001</v>
      </c>
      <c r="N148" s="128">
        <f>+K148*N145</f>
        <v>216.69547726944441</v>
      </c>
      <c r="O148" s="128">
        <f>+N148*O145</f>
        <v>173.35638181555555</v>
      </c>
      <c r="P148" s="128">
        <f>+N148*P145</f>
        <v>195.02592954249997</v>
      </c>
      <c r="Q148" s="128">
        <f>+N148*Q145</f>
        <v>216.69547726944441</v>
      </c>
      <c r="R148" s="128">
        <v>561.44000000000005</v>
      </c>
      <c r="S148" s="128">
        <f>R148*S145</f>
        <v>56.144000000000005</v>
      </c>
      <c r="T148" s="128">
        <v>0</v>
      </c>
      <c r="U148" s="128">
        <v>0</v>
      </c>
      <c r="V148" s="128">
        <v>0</v>
      </c>
      <c r="W148" s="128">
        <f>O148</f>
        <v>173.35638181555555</v>
      </c>
      <c r="X148" s="128">
        <f>W148*12+0.04</f>
        <v>2080.3165817866666</v>
      </c>
      <c r="Y148" s="128">
        <f>X148*(100%+10.4%)</f>
        <v>2296.66950629248</v>
      </c>
      <c r="Z148" s="128">
        <f>Y148*(100%+5.6%)</f>
        <v>2425.2829986448592</v>
      </c>
      <c r="AA148" s="128">
        <f>Z148*(100%+7.3%)</f>
        <v>2602.3286575459338</v>
      </c>
      <c r="AB148" s="128">
        <f>AA148/12</f>
        <v>216.86072146216114</v>
      </c>
      <c r="AC148" s="128">
        <f>K148</f>
        <v>309.56496752777775</v>
      </c>
      <c r="AD148" s="139">
        <v>73</v>
      </c>
      <c r="AE148" s="128">
        <f>G148/12</f>
        <v>162.92893027777777</v>
      </c>
      <c r="AF148" s="130">
        <f>AE148/AC148*100</f>
        <v>52.631578947368418</v>
      </c>
      <c r="AG148" s="131">
        <f>AD148*AF148%</f>
        <v>38.421052631578945</v>
      </c>
      <c r="AH148" s="51"/>
    </row>
    <row r="149" spans="1:34" x14ac:dyDescent="0.25">
      <c r="B149" s="176"/>
      <c r="C149" s="248" t="s">
        <v>77</v>
      </c>
      <c r="D149" s="248"/>
      <c r="E149" s="177">
        <f>+E148+E147</f>
        <v>198.3</v>
      </c>
      <c r="F149" s="175">
        <f>SUM(F147:F148)</f>
        <v>236718.64199999999</v>
      </c>
      <c r="G149" s="175">
        <f>SUM(G147:G148)</f>
        <v>3945.3107</v>
      </c>
      <c r="H149" s="175">
        <f>SUM(H147:H148)</f>
        <v>3550.77963</v>
      </c>
      <c r="I149" s="175">
        <f>+I147</f>
        <v>0</v>
      </c>
      <c r="J149" s="175">
        <f>SUM(J147:J148)</f>
        <v>7496.09033</v>
      </c>
      <c r="K149" s="175">
        <f>SUM(K147:K148)</f>
        <v>624.67419416666667</v>
      </c>
      <c r="L149" s="175"/>
      <c r="M149" s="175">
        <f>SUM(M147:M148)</f>
        <v>7915.87138848</v>
      </c>
      <c r="N149" s="175">
        <f>SUM(N147:N148)+0.01</f>
        <v>437.28193591666661</v>
      </c>
      <c r="O149" s="175">
        <f>SUM(O147:O148)</f>
        <v>349.81754873333335</v>
      </c>
      <c r="P149" s="175">
        <f>SUM(P147:P148)+0.01</f>
        <v>393.55474232500001</v>
      </c>
      <c r="Q149" s="175">
        <f>SUM(Q147:Q148)+0.01</f>
        <v>437.28193591666661</v>
      </c>
      <c r="R149" s="175"/>
      <c r="S149" s="175">
        <f>SUM(S147:S148)-0.01</f>
        <v>133.77800000000002</v>
      </c>
      <c r="T149" s="175">
        <f t="shared" ref="T149:AG149" si="75">SUM(T147:T148)</f>
        <v>0</v>
      </c>
      <c r="U149" s="175">
        <f t="shared" si="75"/>
        <v>0</v>
      </c>
      <c r="V149" s="175">
        <f t="shared" si="75"/>
        <v>0</v>
      </c>
      <c r="W149" s="175">
        <f t="shared" si="75"/>
        <v>349.81754873333335</v>
      </c>
      <c r="X149" s="175">
        <f t="shared" si="75"/>
        <v>4197.8405848000002</v>
      </c>
      <c r="Y149" s="175">
        <f t="shared" si="75"/>
        <v>4634.4060056192002</v>
      </c>
      <c r="Z149" s="175">
        <f>SUM(Z147:Z148)</f>
        <v>4893.9327419338751</v>
      </c>
      <c r="AA149" s="175">
        <f t="shared" si="75"/>
        <v>5251.1898320950477</v>
      </c>
      <c r="AB149" s="175">
        <f t="shared" si="75"/>
        <v>437.59915267458734</v>
      </c>
      <c r="AC149" s="175">
        <f t="shared" si="75"/>
        <v>624.67419416666667</v>
      </c>
      <c r="AD149" s="175">
        <f t="shared" si="75"/>
        <v>146</v>
      </c>
      <c r="AE149" s="175">
        <f t="shared" si="75"/>
        <v>328.77589166666667</v>
      </c>
      <c r="AF149" s="175">
        <f t="shared" si="75"/>
        <v>105.26315789473684</v>
      </c>
      <c r="AG149" s="175">
        <f t="shared" si="75"/>
        <v>76.84210526315789</v>
      </c>
      <c r="AH149" s="51"/>
    </row>
    <row r="150" spans="1:34" x14ac:dyDescent="0.25">
      <c r="B150" s="4"/>
      <c r="C150" s="54"/>
      <c r="D150" s="54"/>
      <c r="E150" s="55"/>
      <c r="F150" s="55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51"/>
    </row>
    <row r="151" spans="1:34" ht="20.25" x14ac:dyDescent="0.25">
      <c r="B151" s="4"/>
      <c r="C151" s="224" t="s">
        <v>101</v>
      </c>
      <c r="D151" s="224"/>
      <c r="E151" s="42"/>
      <c r="F151" s="42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"/>
    </row>
    <row r="152" spans="1:34" ht="15.95" customHeight="1" x14ac:dyDescent="0.25">
      <c r="B152" s="174"/>
      <c r="C152" s="50"/>
      <c r="D152" s="57"/>
      <c r="E152" s="57"/>
      <c r="F152" s="57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61"/>
      <c r="T152" s="61"/>
      <c r="U152" s="61"/>
      <c r="V152" s="61"/>
      <c r="W152" s="62"/>
      <c r="X152" s="48"/>
      <c r="Y152" s="48"/>
      <c r="Z152" s="48"/>
      <c r="AA152" s="48"/>
      <c r="AB152" s="48"/>
      <c r="AC152" s="48"/>
      <c r="AD152" s="48"/>
      <c r="AE152" s="48"/>
      <c r="AF152" s="48"/>
      <c r="AG152" s="49"/>
      <c r="AH152" s="4"/>
    </row>
    <row r="153" spans="1:34" ht="116.1" customHeight="1" x14ac:dyDescent="0.25">
      <c r="B153" s="215" t="s">
        <v>1</v>
      </c>
      <c r="C153" s="217" t="s">
        <v>56</v>
      </c>
      <c r="D153" s="209" t="s">
        <v>3</v>
      </c>
      <c r="E153" s="209" t="s">
        <v>4</v>
      </c>
      <c r="F153" s="209" t="s">
        <v>5</v>
      </c>
      <c r="G153" s="209" t="s">
        <v>6</v>
      </c>
      <c r="H153" s="209" t="s">
        <v>7</v>
      </c>
      <c r="I153" s="209" t="s">
        <v>8</v>
      </c>
      <c r="J153" s="209" t="s">
        <v>9</v>
      </c>
      <c r="K153" s="209" t="s">
        <v>57</v>
      </c>
      <c r="L153" s="22" t="s">
        <v>10</v>
      </c>
      <c r="M153" s="22" t="s">
        <v>10</v>
      </c>
      <c r="N153" s="22" t="s">
        <v>12</v>
      </c>
      <c r="O153" s="211" t="s">
        <v>13</v>
      </c>
      <c r="P153" s="212"/>
      <c r="Q153" s="213"/>
      <c r="R153" s="209" t="s">
        <v>14</v>
      </c>
      <c r="S153" s="225" t="s">
        <v>58</v>
      </c>
      <c r="T153" s="226"/>
      <c r="U153" s="226"/>
      <c r="V153" s="227"/>
      <c r="W153" s="207" t="s">
        <v>21</v>
      </c>
      <c r="X153" s="209" t="s">
        <v>9</v>
      </c>
      <c r="Y153" s="22" t="s">
        <v>242</v>
      </c>
      <c r="Z153" s="22" t="s">
        <v>243</v>
      </c>
      <c r="AA153" s="22" t="s">
        <v>156</v>
      </c>
      <c r="AB153" s="207" t="s">
        <v>59</v>
      </c>
      <c r="AC153" s="228" t="s">
        <v>18</v>
      </c>
      <c r="AD153" s="229"/>
      <c r="AE153" s="229"/>
      <c r="AF153" s="229"/>
      <c r="AG153" s="205" t="s">
        <v>19</v>
      </c>
      <c r="AH153" s="4"/>
    </row>
    <row r="154" spans="1:34" ht="51" x14ac:dyDescent="0.25">
      <c r="B154" s="216"/>
      <c r="C154" s="218"/>
      <c r="D154" s="210"/>
      <c r="E154" s="210"/>
      <c r="F154" s="210"/>
      <c r="G154" s="210"/>
      <c r="H154" s="210"/>
      <c r="I154" s="210"/>
      <c r="J154" s="210"/>
      <c r="K154" s="210"/>
      <c r="L154" s="22">
        <v>5.6</v>
      </c>
      <c r="M154" s="22">
        <v>5.6</v>
      </c>
      <c r="N154" s="22">
        <v>0.7</v>
      </c>
      <c r="O154" s="23">
        <v>0.8</v>
      </c>
      <c r="P154" s="24">
        <v>0.9</v>
      </c>
      <c r="Q154" s="28">
        <v>1</v>
      </c>
      <c r="R154" s="210"/>
      <c r="S154" s="29">
        <v>0.1</v>
      </c>
      <c r="T154" s="30">
        <v>0.2</v>
      </c>
      <c r="U154" s="30">
        <v>0.3</v>
      </c>
      <c r="V154" s="30">
        <v>0.1</v>
      </c>
      <c r="W154" s="208"/>
      <c r="X154" s="210"/>
      <c r="Y154" s="22">
        <v>10.4</v>
      </c>
      <c r="Z154" s="22">
        <v>5.6</v>
      </c>
      <c r="AA154" s="22">
        <v>7.3</v>
      </c>
      <c r="AB154" s="208"/>
      <c r="AC154" s="33" t="s">
        <v>20</v>
      </c>
      <c r="AD154" s="33" t="s">
        <v>21</v>
      </c>
      <c r="AE154" s="33" t="s">
        <v>22</v>
      </c>
      <c r="AF154" s="33" t="s">
        <v>23</v>
      </c>
      <c r="AG154" s="206"/>
      <c r="AH154" s="4"/>
    </row>
    <row r="155" spans="1:34" x14ac:dyDescent="0.25">
      <c r="B155" s="7"/>
      <c r="C155" s="8"/>
      <c r="D155" s="9">
        <v>0</v>
      </c>
      <c r="E155" s="9">
        <v>1</v>
      </c>
      <c r="F155" s="9">
        <v>2</v>
      </c>
      <c r="G155" s="9" t="s">
        <v>24</v>
      </c>
      <c r="H155" s="9" t="s">
        <v>25</v>
      </c>
      <c r="I155" s="9" t="s">
        <v>26</v>
      </c>
      <c r="J155" s="9" t="s">
        <v>27</v>
      </c>
      <c r="K155" s="25" t="s">
        <v>60</v>
      </c>
      <c r="L155" s="9" t="s">
        <v>61</v>
      </c>
      <c r="M155" s="9" t="s">
        <v>61</v>
      </c>
      <c r="N155" s="9" t="s">
        <v>62</v>
      </c>
      <c r="O155" s="9" t="s">
        <v>63</v>
      </c>
      <c r="P155" s="9" t="s">
        <v>63</v>
      </c>
      <c r="Q155" s="9" t="s">
        <v>63</v>
      </c>
      <c r="R155" s="9">
        <v>9</v>
      </c>
      <c r="S155" s="31" t="s">
        <v>161</v>
      </c>
      <c r="T155" s="31" t="s">
        <v>162</v>
      </c>
      <c r="U155" s="31" t="s">
        <v>163</v>
      </c>
      <c r="V155" s="31" t="s">
        <v>164</v>
      </c>
      <c r="W155" s="31" t="s">
        <v>64</v>
      </c>
      <c r="X155" s="9" t="s">
        <v>65</v>
      </c>
      <c r="Y155" s="9" t="s">
        <v>66</v>
      </c>
      <c r="Z155" s="9" t="s">
        <v>67</v>
      </c>
      <c r="AA155" s="9" t="s">
        <v>246</v>
      </c>
      <c r="AB155" s="9" t="s">
        <v>240</v>
      </c>
      <c r="AC155" s="9">
        <v>16</v>
      </c>
      <c r="AD155" s="31" t="s">
        <v>158</v>
      </c>
      <c r="AE155" s="31" t="s">
        <v>159</v>
      </c>
      <c r="AF155" s="31" t="s">
        <v>160</v>
      </c>
      <c r="AG155" s="9">
        <v>17</v>
      </c>
      <c r="AH155" s="51"/>
    </row>
    <row r="156" spans="1:34" x14ac:dyDescent="0.25">
      <c r="A156" s="1" t="s">
        <v>211</v>
      </c>
      <c r="B156" s="7">
        <v>1</v>
      </c>
      <c r="C156" s="35" t="s">
        <v>114</v>
      </c>
      <c r="D156" s="8">
        <v>2</v>
      </c>
      <c r="E156" s="35">
        <v>87.63</v>
      </c>
      <c r="F156" s="128">
        <f t="shared" ref="F156:F161" si="76">+E156*1193.74</f>
        <v>104607.4362</v>
      </c>
      <c r="G156" s="128">
        <f t="shared" ref="G156:G161" si="77">+F156/60</f>
        <v>1743.4572699999999</v>
      </c>
      <c r="H156" s="128">
        <f t="shared" ref="H156:H161" si="78">+F156*1.5%</f>
        <v>1569.111543</v>
      </c>
      <c r="I156" s="128">
        <f t="shared" ref="I156:I161" si="79">+F156*0.5%</f>
        <v>523.03718100000003</v>
      </c>
      <c r="J156" s="128">
        <f t="shared" ref="J156:J159" si="80">+G156+H156+I156</f>
        <v>3835.605994</v>
      </c>
      <c r="K156" s="128">
        <f t="shared" ref="K156:K161" si="81">+J156/12</f>
        <v>319.63383283333332</v>
      </c>
      <c r="L156" s="128">
        <f t="shared" ref="L156:M161" si="82">+I156*(100%+5.6%)</f>
        <v>552.32726313600006</v>
      </c>
      <c r="M156" s="128">
        <f t="shared" si="82"/>
        <v>4050.3999296640004</v>
      </c>
      <c r="N156" s="128">
        <f>+K156*N154</f>
        <v>223.74368298333331</v>
      </c>
      <c r="O156" s="128">
        <f>+N156*O154</f>
        <v>178.99494638666667</v>
      </c>
      <c r="P156" s="128">
        <f>+N156*P154</f>
        <v>201.36931468499998</v>
      </c>
      <c r="Q156" s="128">
        <f>+N156*Q154</f>
        <v>223.74368298333331</v>
      </c>
      <c r="R156" s="139" t="s">
        <v>251</v>
      </c>
      <c r="S156" s="139">
        <v>0</v>
      </c>
      <c r="T156" s="139">
        <v>0</v>
      </c>
      <c r="U156" s="139">
        <v>0</v>
      </c>
      <c r="V156" s="139">
        <v>0</v>
      </c>
      <c r="W156" s="139">
        <f>N156</f>
        <v>223.74368298333331</v>
      </c>
      <c r="X156" s="139">
        <f>W156*12-0.04</f>
        <v>2684.8841957999998</v>
      </c>
      <c r="Y156" s="139">
        <f>X156*(100+10.4)%</f>
        <v>2964.1121521631999</v>
      </c>
      <c r="Z156" s="139">
        <f>Y156*(100+5.6)%</f>
        <v>3130.1024326843394</v>
      </c>
      <c r="AA156" s="139">
        <f>Z156*(100+7.3)%</f>
        <v>3358.5999102702963</v>
      </c>
      <c r="AB156" s="139">
        <f t="shared" ref="AB156:AB161" si="83">AA156/12</f>
        <v>279.883325855858</v>
      </c>
      <c r="AC156" s="139">
        <f>K156</f>
        <v>319.63383283333332</v>
      </c>
      <c r="AD156" s="139">
        <f>AB156</f>
        <v>279.883325855858</v>
      </c>
      <c r="AE156" s="128">
        <f>G156/12</f>
        <v>145.28810583333333</v>
      </c>
      <c r="AF156" s="130">
        <f>AE156/AC156*100</f>
        <v>45.45454545454546</v>
      </c>
      <c r="AG156" s="131">
        <f t="shared" ref="AG156:AG161" si="84">AD156*AF156%-0.01</f>
        <v>127.20969357084455</v>
      </c>
      <c r="AH156" s="51"/>
    </row>
    <row r="157" spans="1:34" x14ac:dyDescent="0.25">
      <c r="A157" s="1" t="s">
        <v>212</v>
      </c>
      <c r="B157" s="7">
        <v>2</v>
      </c>
      <c r="C157" s="35" t="s">
        <v>115</v>
      </c>
      <c r="D157" s="8">
        <v>2</v>
      </c>
      <c r="E157" s="35">
        <v>87.76</v>
      </c>
      <c r="F157" s="128">
        <f t="shared" si="76"/>
        <v>104762.62240000001</v>
      </c>
      <c r="G157" s="128">
        <f t="shared" si="77"/>
        <v>1746.0437066666668</v>
      </c>
      <c r="H157" s="128">
        <f t="shared" si="78"/>
        <v>1571.4393360000001</v>
      </c>
      <c r="I157" s="128">
        <f t="shared" si="79"/>
        <v>523.81311200000005</v>
      </c>
      <c r="J157" s="128">
        <v>3841.29</v>
      </c>
      <c r="K157" s="128">
        <f t="shared" si="81"/>
        <v>320.10750000000002</v>
      </c>
      <c r="L157" s="128">
        <f t="shared" si="82"/>
        <v>553.14664627200011</v>
      </c>
      <c r="M157" s="128">
        <f t="shared" si="82"/>
        <v>4056.4022400000003</v>
      </c>
      <c r="N157" s="128">
        <f>+K157*N154</f>
        <v>224.07524999999998</v>
      </c>
      <c r="O157" s="128">
        <f>+N157*O154</f>
        <v>179.2602</v>
      </c>
      <c r="P157" s="128">
        <f>+N157*P154</f>
        <v>201.66772499999999</v>
      </c>
      <c r="Q157" s="128">
        <f>+N157*Q154</f>
        <v>224.07524999999998</v>
      </c>
      <c r="R157" s="139" t="s">
        <v>251</v>
      </c>
      <c r="S157" s="139">
        <v>0</v>
      </c>
      <c r="T157" s="139">
        <v>0</v>
      </c>
      <c r="U157" s="139">
        <v>0</v>
      </c>
      <c r="V157" s="139">
        <v>0</v>
      </c>
      <c r="W157" s="139">
        <f>N157</f>
        <v>224.07524999999998</v>
      </c>
      <c r="X157" s="139">
        <f>W157*12+0.06</f>
        <v>2688.9629999999997</v>
      </c>
      <c r="Y157" s="139">
        <f>X157*(100+10.4)%-0.01</f>
        <v>2968.6051519999996</v>
      </c>
      <c r="Z157" s="139">
        <f>Y157*(100+5.6)%</f>
        <v>3134.8470405119997</v>
      </c>
      <c r="AA157" s="139">
        <f>Z157*(100+7.3)%</f>
        <v>3363.6908744693756</v>
      </c>
      <c r="AB157" s="139">
        <f t="shared" si="83"/>
        <v>280.30757287244796</v>
      </c>
      <c r="AC157" s="139">
        <f t="shared" ref="AC157:AC161" si="85">K157</f>
        <v>320.10750000000002</v>
      </c>
      <c r="AD157" s="139">
        <f>AB157</f>
        <v>280.30757287244796</v>
      </c>
      <c r="AE157" s="128">
        <f t="shared" ref="AE157:AE161" si="86">G157/12</f>
        <v>145.50364222222223</v>
      </c>
      <c r="AF157" s="130">
        <f t="shared" ref="AF157:AF161" si="87">AE157/AC157*100</f>
        <v>45.454618283614792</v>
      </c>
      <c r="AG157" s="131">
        <f t="shared" si="84"/>
        <v>127.40273726923658</v>
      </c>
      <c r="AH157" s="51"/>
    </row>
    <row r="158" spans="1:34" x14ac:dyDescent="0.25">
      <c r="A158" s="1" t="s">
        <v>213</v>
      </c>
      <c r="B158" s="7">
        <v>3</v>
      </c>
      <c r="C158" s="35" t="s">
        <v>116</v>
      </c>
      <c r="D158" s="8">
        <v>2</v>
      </c>
      <c r="E158" s="35">
        <v>93.34</v>
      </c>
      <c r="F158" s="128">
        <f t="shared" si="76"/>
        <v>111423.69160000001</v>
      </c>
      <c r="G158" s="128">
        <f t="shared" si="77"/>
        <v>1857.0615266666669</v>
      </c>
      <c r="H158" s="128">
        <f t="shared" si="78"/>
        <v>1671.355374</v>
      </c>
      <c r="I158" s="128">
        <f t="shared" si="79"/>
        <v>557.11845800000003</v>
      </c>
      <c r="J158" s="128">
        <f t="shared" si="80"/>
        <v>4085.535358666667</v>
      </c>
      <c r="K158" s="128">
        <f t="shared" si="81"/>
        <v>340.4612798888889</v>
      </c>
      <c r="L158" s="128">
        <f t="shared" si="82"/>
        <v>588.31709164800009</v>
      </c>
      <c r="M158" s="128">
        <f t="shared" si="82"/>
        <v>4314.3253387520008</v>
      </c>
      <c r="N158" s="128">
        <f>+K158*N154</f>
        <v>238.32289592222222</v>
      </c>
      <c r="O158" s="128">
        <f>+N158*O154</f>
        <v>190.6583167377778</v>
      </c>
      <c r="P158" s="128">
        <f>+N158*P154</f>
        <v>214.49060632999999</v>
      </c>
      <c r="Q158" s="128">
        <f>+N158*Q154</f>
        <v>238.32289592222222</v>
      </c>
      <c r="R158" s="145" t="s">
        <v>245</v>
      </c>
      <c r="S158" s="145">
        <v>0</v>
      </c>
      <c r="T158" s="145">
        <v>0</v>
      </c>
      <c r="U158" s="145">
        <v>0</v>
      </c>
      <c r="V158" s="145">
        <v>257.39999999999998</v>
      </c>
      <c r="W158" s="145">
        <v>257.39999999999998</v>
      </c>
      <c r="X158" s="145">
        <f>W158*12</f>
        <v>3088.7999999999997</v>
      </c>
      <c r="Y158" s="145">
        <f>X158*(100+10.4)%</f>
        <v>3410.0351999999998</v>
      </c>
      <c r="Z158" s="145">
        <f>Y158*(100+5.6)%</f>
        <v>3600.9971712000001</v>
      </c>
      <c r="AA158" s="145">
        <f>Z158*(100+7.3)%</f>
        <v>3863.8699646976002</v>
      </c>
      <c r="AB158" s="145">
        <f t="shared" si="83"/>
        <v>321.98916372479999</v>
      </c>
      <c r="AC158" s="145">
        <f t="shared" si="85"/>
        <v>340.4612798888889</v>
      </c>
      <c r="AD158" s="139">
        <f>V158</f>
        <v>257.39999999999998</v>
      </c>
      <c r="AE158" s="128">
        <f t="shared" si="86"/>
        <v>154.75512722222223</v>
      </c>
      <c r="AF158" s="130">
        <f t="shared" si="87"/>
        <v>45.454545454545453</v>
      </c>
      <c r="AG158" s="131">
        <f t="shared" si="84"/>
        <v>116.98999999999998</v>
      </c>
      <c r="AH158" s="51"/>
    </row>
    <row r="159" spans="1:34" x14ac:dyDescent="0.25">
      <c r="A159" s="1" t="s">
        <v>214</v>
      </c>
      <c r="B159" s="7">
        <v>4</v>
      </c>
      <c r="C159" s="35" t="s">
        <v>117</v>
      </c>
      <c r="D159" s="8">
        <v>2</v>
      </c>
      <c r="E159" s="35">
        <v>99.46</v>
      </c>
      <c r="F159" s="128">
        <f t="shared" si="76"/>
        <v>118729.38039999999</v>
      </c>
      <c r="G159" s="128">
        <f t="shared" si="77"/>
        <v>1978.8230066666665</v>
      </c>
      <c r="H159" s="128">
        <f t="shared" si="78"/>
        <v>1780.9407059999999</v>
      </c>
      <c r="I159" s="128">
        <f t="shared" si="79"/>
        <v>593.64690199999995</v>
      </c>
      <c r="J159" s="128">
        <f t="shared" si="80"/>
        <v>4353.4106146666663</v>
      </c>
      <c r="K159" s="128">
        <f t="shared" si="81"/>
        <v>362.78421788888886</v>
      </c>
      <c r="L159" s="128">
        <f t="shared" si="82"/>
        <v>626.89112851200002</v>
      </c>
      <c r="M159" s="128">
        <f t="shared" si="82"/>
        <v>4597.2016090879997</v>
      </c>
      <c r="N159" s="128">
        <f>+K159*N154</f>
        <v>253.94895252222219</v>
      </c>
      <c r="O159" s="128">
        <f>+N159*O154</f>
        <v>203.15916201777776</v>
      </c>
      <c r="P159" s="128">
        <f>+N159*P154</f>
        <v>228.55405726999996</v>
      </c>
      <c r="Q159" s="128">
        <f>+N159*Q154</f>
        <v>253.94895252222219</v>
      </c>
      <c r="R159" s="128">
        <v>2776.5</v>
      </c>
      <c r="S159" s="128">
        <v>0</v>
      </c>
      <c r="T159" s="128">
        <f>R159*T154</f>
        <v>555.30000000000007</v>
      </c>
      <c r="U159" s="128">
        <v>0</v>
      </c>
      <c r="V159" s="128">
        <v>0</v>
      </c>
      <c r="W159" s="128">
        <f>P159</f>
        <v>228.55405726999996</v>
      </c>
      <c r="X159" s="128">
        <f>W159*12-0.05</f>
        <v>2742.5986872399994</v>
      </c>
      <c r="Y159" s="128">
        <f>X159*(100+10.4)%</f>
        <v>3027.8289507129598</v>
      </c>
      <c r="Z159" s="128">
        <f>Y159*(100+5.6)%</f>
        <v>3197.3873719528856</v>
      </c>
      <c r="AA159" s="128">
        <f>Z159*(100+7.3)%</f>
        <v>3430.7966501054461</v>
      </c>
      <c r="AB159" s="128">
        <f t="shared" si="83"/>
        <v>285.89972084212053</v>
      </c>
      <c r="AC159" s="128">
        <f t="shared" si="85"/>
        <v>362.78421788888886</v>
      </c>
      <c r="AD159" s="139">
        <f>AB159</f>
        <v>285.89972084212053</v>
      </c>
      <c r="AE159" s="128">
        <f t="shared" si="86"/>
        <v>164.90191722222221</v>
      </c>
      <c r="AF159" s="130">
        <f t="shared" si="87"/>
        <v>45.454545454545453</v>
      </c>
      <c r="AG159" s="131">
        <f t="shared" si="84"/>
        <v>129.94441856460026</v>
      </c>
      <c r="AH159" s="51"/>
    </row>
    <row r="160" spans="1:34" x14ac:dyDescent="0.25">
      <c r="A160" s="1" t="s">
        <v>215</v>
      </c>
      <c r="B160" s="8">
        <v>5</v>
      </c>
      <c r="C160" s="35" t="s">
        <v>118</v>
      </c>
      <c r="D160" s="8">
        <v>2</v>
      </c>
      <c r="E160" s="35">
        <v>99.55</v>
      </c>
      <c r="F160" s="128">
        <f t="shared" si="76"/>
        <v>118836.817</v>
      </c>
      <c r="G160" s="128">
        <f t="shared" si="77"/>
        <v>1980.6136166666665</v>
      </c>
      <c r="H160" s="128">
        <f t="shared" si="78"/>
        <v>1782.5522549999998</v>
      </c>
      <c r="I160" s="128">
        <f t="shared" si="79"/>
        <v>594.18408499999998</v>
      </c>
      <c r="J160" s="128">
        <v>4357.34</v>
      </c>
      <c r="K160" s="128">
        <f t="shared" si="81"/>
        <v>363.11166666666668</v>
      </c>
      <c r="L160" s="128">
        <f t="shared" si="82"/>
        <v>627.45839376000004</v>
      </c>
      <c r="M160" s="128">
        <f t="shared" si="82"/>
        <v>4601.3510400000005</v>
      </c>
      <c r="N160" s="128">
        <f>+K160*N154</f>
        <v>254.17816666666667</v>
      </c>
      <c r="O160" s="128">
        <f>+N160*O154</f>
        <v>203.34253333333334</v>
      </c>
      <c r="P160" s="128">
        <f>+N160*P154</f>
        <v>228.76035000000002</v>
      </c>
      <c r="Q160" s="128">
        <f>+N160*Q154</f>
        <v>254.17816666666667</v>
      </c>
      <c r="R160" s="128">
        <v>1389.47</v>
      </c>
      <c r="S160" s="128">
        <f>R160*S154</f>
        <v>138.947</v>
      </c>
      <c r="T160" s="128">
        <v>0</v>
      </c>
      <c r="U160" s="128">
        <v>0</v>
      </c>
      <c r="V160" s="128">
        <v>0</v>
      </c>
      <c r="W160" s="128">
        <f>O160</f>
        <v>203.34253333333334</v>
      </c>
      <c r="X160" s="128">
        <f>W160*12-0.03</f>
        <v>2440.0803999999998</v>
      </c>
      <c r="Y160" s="128">
        <f>X160*(100+10.4)%</f>
        <v>2693.8487616000002</v>
      </c>
      <c r="Z160" s="128">
        <f>Y160*(100+5.6)%+0.01</f>
        <v>2844.7142922496005</v>
      </c>
      <c r="AA160" s="128">
        <f>Z160*(100+7.3)%-0.01</f>
        <v>3052.3684355838209</v>
      </c>
      <c r="AB160" s="128">
        <f t="shared" si="83"/>
        <v>254.36403629865174</v>
      </c>
      <c r="AC160" s="128">
        <f t="shared" si="85"/>
        <v>363.11166666666668</v>
      </c>
      <c r="AD160" s="139">
        <f>S160</f>
        <v>138.947</v>
      </c>
      <c r="AE160" s="128">
        <f t="shared" si="86"/>
        <v>165.0511347222222</v>
      </c>
      <c r="AF160" s="130">
        <f t="shared" si="87"/>
        <v>45.454649319691974</v>
      </c>
      <c r="AG160" s="131">
        <f t="shared" si="84"/>
        <v>63.147871590232413</v>
      </c>
      <c r="AH160" s="51"/>
    </row>
    <row r="161" spans="1:34" x14ac:dyDescent="0.25">
      <c r="A161" s="1" t="s">
        <v>216</v>
      </c>
      <c r="B161" s="7">
        <v>6</v>
      </c>
      <c r="C161" s="35" t="s">
        <v>119</v>
      </c>
      <c r="D161" s="8">
        <v>2</v>
      </c>
      <c r="E161" s="35">
        <v>101.33</v>
      </c>
      <c r="F161" s="128">
        <f t="shared" si="76"/>
        <v>120961.67419999999</v>
      </c>
      <c r="G161" s="128">
        <f t="shared" si="77"/>
        <v>2016.0279033333331</v>
      </c>
      <c r="H161" s="128">
        <f t="shared" si="78"/>
        <v>1814.4251129999998</v>
      </c>
      <c r="I161" s="128">
        <f t="shared" si="79"/>
        <v>604.80837099999997</v>
      </c>
      <c r="J161" s="128">
        <v>4435.2700000000004</v>
      </c>
      <c r="K161" s="128">
        <f t="shared" si="81"/>
        <v>369.60583333333335</v>
      </c>
      <c r="L161" s="128">
        <f t="shared" si="82"/>
        <v>638.67763977599998</v>
      </c>
      <c r="M161" s="128">
        <f t="shared" si="82"/>
        <v>4683.645120000001</v>
      </c>
      <c r="N161" s="128">
        <f>+K161*N154</f>
        <v>258.72408333333334</v>
      </c>
      <c r="O161" s="128">
        <f>+N161*O154</f>
        <v>206.97926666666669</v>
      </c>
      <c r="P161" s="128">
        <f>+N161*P154</f>
        <v>232.851675</v>
      </c>
      <c r="Q161" s="128">
        <f>+N161*Q154</f>
        <v>258.72408333333334</v>
      </c>
      <c r="R161" s="128">
        <v>1017.03</v>
      </c>
      <c r="S161" s="128">
        <f>R161*S154</f>
        <v>101.703</v>
      </c>
      <c r="T161" s="128">
        <v>0</v>
      </c>
      <c r="U161" s="128">
        <v>0</v>
      </c>
      <c r="V161" s="128">
        <v>0</v>
      </c>
      <c r="W161" s="128">
        <f>O161</f>
        <v>206.97926666666669</v>
      </c>
      <c r="X161" s="128">
        <f>W161*12+0.01</f>
        <v>2483.7612000000004</v>
      </c>
      <c r="Y161" s="128">
        <f>X161*(100+10.4)%</f>
        <v>2742.0723648000007</v>
      </c>
      <c r="Z161" s="128">
        <f>Y161*(100+5.6)%</f>
        <v>2895.628417228801</v>
      </c>
      <c r="AA161" s="128">
        <f>Z161*(100+7.3)%</f>
        <v>3107.0092916865033</v>
      </c>
      <c r="AB161" s="128">
        <f t="shared" si="83"/>
        <v>258.91744097387527</v>
      </c>
      <c r="AC161" s="128">
        <f t="shared" si="85"/>
        <v>369.60583333333335</v>
      </c>
      <c r="AD161" s="139">
        <f>S161</f>
        <v>101.703</v>
      </c>
      <c r="AE161" s="128">
        <f t="shared" si="86"/>
        <v>168.00232527777777</v>
      </c>
      <c r="AF161" s="130">
        <f t="shared" si="87"/>
        <v>45.454457188250842</v>
      </c>
      <c r="AG161" s="131">
        <f t="shared" si="84"/>
        <v>46.218546594166753</v>
      </c>
      <c r="AH161" s="51"/>
    </row>
    <row r="162" spans="1:34" x14ac:dyDescent="0.25">
      <c r="B162" s="176"/>
      <c r="C162" s="248" t="s">
        <v>77</v>
      </c>
      <c r="D162" s="248"/>
      <c r="E162" s="177">
        <f>SUM(E156:E161)</f>
        <v>569.07000000000005</v>
      </c>
      <c r="F162" s="175">
        <f>SUM(F156:F161)</f>
        <v>679321.62180000008</v>
      </c>
      <c r="G162" s="175">
        <f>SUM(G156:G161)-0.01</f>
        <v>11322.017029999999</v>
      </c>
      <c r="H162" s="175">
        <f>SUM(H156:H161)+0.01</f>
        <v>10189.834327</v>
      </c>
      <c r="I162" s="175">
        <f>SUM(I156:I161)</f>
        <v>3396.6081089999998</v>
      </c>
      <c r="J162" s="175">
        <f>SUM(J156:J161)+0.01</f>
        <v>24908.461967333333</v>
      </c>
      <c r="K162" s="175">
        <f>SUM(K156:K161)</f>
        <v>2075.7043306111113</v>
      </c>
      <c r="L162" s="175">
        <f t="shared" ref="L162:Q162" si="88">SUM(L156:L161)</f>
        <v>3586.8181631040002</v>
      </c>
      <c r="M162" s="175">
        <f t="shared" si="88"/>
        <v>26303.325277504002</v>
      </c>
      <c r="N162" s="175">
        <f t="shared" si="88"/>
        <v>1452.9930314277776</v>
      </c>
      <c r="O162" s="175">
        <f t="shared" si="88"/>
        <v>1162.3944251422222</v>
      </c>
      <c r="P162" s="175">
        <f t="shared" si="88"/>
        <v>1307.6937282849999</v>
      </c>
      <c r="Q162" s="175">
        <f t="shared" si="88"/>
        <v>1452.9930314277776</v>
      </c>
      <c r="R162" s="175"/>
      <c r="S162" s="175">
        <f>SUM(S156:S161)</f>
        <v>240.65</v>
      </c>
      <c r="T162" s="175">
        <f t="shared" ref="T162:AG162" si="89">SUM(T156:T161)</f>
        <v>555.30000000000007</v>
      </c>
      <c r="U162" s="175">
        <f t="shared" si="89"/>
        <v>0</v>
      </c>
      <c r="V162" s="175">
        <f t="shared" si="89"/>
        <v>257.39999999999998</v>
      </c>
      <c r="W162" s="175">
        <f t="shared" si="89"/>
        <v>1344.0947902533333</v>
      </c>
      <c r="X162" s="175">
        <f>SUM(X156:X161)-0.01</f>
        <v>16129.077483039999</v>
      </c>
      <c r="Y162" s="175">
        <f>SUM(Y156:Y161)+0.01</f>
        <v>17806.512581276158</v>
      </c>
      <c r="Z162" s="175">
        <f t="shared" si="89"/>
        <v>18803.676725827627</v>
      </c>
      <c r="AA162" s="175">
        <f t="shared" si="89"/>
        <v>20176.335126813043</v>
      </c>
      <c r="AB162" s="175">
        <f t="shared" si="89"/>
        <v>1681.3612605677536</v>
      </c>
      <c r="AC162" s="175">
        <f t="shared" si="89"/>
        <v>2075.7043306111113</v>
      </c>
      <c r="AD162" s="175">
        <f t="shared" si="89"/>
        <v>1344.1406195704262</v>
      </c>
      <c r="AE162" s="175">
        <f t="shared" si="89"/>
        <v>943.50225249999994</v>
      </c>
      <c r="AF162" s="175">
        <f>SUM(AF156:AF161)-0.03</f>
        <v>272.69736115519402</v>
      </c>
      <c r="AG162" s="175">
        <f t="shared" si="89"/>
        <v>610.91326758908053</v>
      </c>
      <c r="AH162" s="51"/>
    </row>
    <row r="163" spans="1:34" x14ac:dyDescent="0.25">
      <c r="B163" s="4"/>
      <c r="C163" s="52"/>
      <c r="D163" s="52"/>
      <c r="E163" s="41"/>
      <c r="F163" s="41"/>
      <c r="G163" s="41"/>
      <c r="H163" s="41"/>
      <c r="I163" s="41"/>
      <c r="J163" s="41"/>
      <c r="K163" s="40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"/>
    </row>
    <row r="164" spans="1:34" ht="15.95" customHeight="1" x14ac:dyDescent="0.25">
      <c r="C164" s="223" t="s">
        <v>120</v>
      </c>
      <c r="D164" s="223"/>
      <c r="E164" s="223"/>
      <c r="F164" s="223"/>
      <c r="G164" s="223"/>
      <c r="H164" s="223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60"/>
      <c r="X164" s="2"/>
      <c r="Y164" s="2"/>
      <c r="Z164" s="2"/>
      <c r="AA164" s="2"/>
      <c r="AB164" s="2"/>
      <c r="AC164" s="2"/>
      <c r="AD164" s="48"/>
      <c r="AE164" s="48"/>
      <c r="AF164" s="48"/>
      <c r="AG164" s="65"/>
      <c r="AH164" s="4"/>
    </row>
    <row r="165" spans="1:34" ht="24" customHeight="1" x14ac:dyDescent="0.25">
      <c r="B165" s="4"/>
      <c r="C165" s="224" t="s">
        <v>101</v>
      </c>
      <c r="D165" s="224"/>
      <c r="E165" s="42"/>
      <c r="F165" s="42"/>
      <c r="G165" s="41"/>
      <c r="H165" s="41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50"/>
      <c r="Y165" s="50"/>
      <c r="Z165" s="50"/>
      <c r="AA165" s="50"/>
      <c r="AB165" s="50"/>
      <c r="AC165" s="50"/>
      <c r="AD165" s="48"/>
      <c r="AE165" s="48"/>
      <c r="AF165" s="48"/>
      <c r="AG165" s="49"/>
      <c r="AH165" s="4"/>
    </row>
    <row r="166" spans="1:34" ht="116.1" customHeight="1" x14ac:dyDescent="0.25">
      <c r="B166" s="215" t="s">
        <v>1</v>
      </c>
      <c r="C166" s="217" t="s">
        <v>56</v>
      </c>
      <c r="D166" s="209" t="s">
        <v>3</v>
      </c>
      <c r="E166" s="209" t="s">
        <v>4</v>
      </c>
      <c r="F166" s="209" t="s">
        <v>5</v>
      </c>
      <c r="G166" s="209" t="s">
        <v>6</v>
      </c>
      <c r="H166" s="209" t="s">
        <v>7</v>
      </c>
      <c r="I166" s="209" t="s">
        <v>8</v>
      </c>
      <c r="J166" s="209" t="s">
        <v>9</v>
      </c>
      <c r="K166" s="209" t="s">
        <v>57</v>
      </c>
      <c r="L166" s="22" t="s">
        <v>10</v>
      </c>
      <c r="M166" s="22" t="s">
        <v>10</v>
      </c>
      <c r="N166" s="22" t="s">
        <v>12</v>
      </c>
      <c r="O166" s="211" t="s">
        <v>13</v>
      </c>
      <c r="P166" s="212"/>
      <c r="Q166" s="213"/>
      <c r="R166" s="209" t="s">
        <v>14</v>
      </c>
      <c r="S166" s="225" t="s">
        <v>58</v>
      </c>
      <c r="T166" s="226"/>
      <c r="U166" s="226"/>
      <c r="V166" s="227"/>
      <c r="W166" s="207" t="s">
        <v>21</v>
      </c>
      <c r="X166" s="209" t="s">
        <v>9</v>
      </c>
      <c r="Y166" s="22" t="s">
        <v>242</v>
      </c>
      <c r="Z166" s="22" t="s">
        <v>243</v>
      </c>
      <c r="AA166" s="22" t="s">
        <v>156</v>
      </c>
      <c r="AB166" s="207" t="s">
        <v>59</v>
      </c>
      <c r="AC166" s="228" t="s">
        <v>18</v>
      </c>
      <c r="AD166" s="229"/>
      <c r="AE166" s="229"/>
      <c r="AF166" s="229"/>
      <c r="AG166" s="205" t="s">
        <v>19</v>
      </c>
      <c r="AH166" s="4"/>
    </row>
    <row r="167" spans="1:34" ht="51" x14ac:dyDescent="0.25">
      <c r="B167" s="216"/>
      <c r="C167" s="218"/>
      <c r="D167" s="210"/>
      <c r="E167" s="210"/>
      <c r="F167" s="210"/>
      <c r="G167" s="210"/>
      <c r="H167" s="210"/>
      <c r="I167" s="210"/>
      <c r="J167" s="210"/>
      <c r="K167" s="210"/>
      <c r="L167" s="22">
        <v>5.6</v>
      </c>
      <c r="M167" s="22">
        <v>5.6</v>
      </c>
      <c r="N167" s="22">
        <v>0.7</v>
      </c>
      <c r="O167" s="23">
        <v>0.8</v>
      </c>
      <c r="P167" s="24">
        <v>0.9</v>
      </c>
      <c r="Q167" s="28">
        <v>1</v>
      </c>
      <c r="R167" s="210"/>
      <c r="S167" s="29">
        <v>0.1</v>
      </c>
      <c r="T167" s="30">
        <v>0.2</v>
      </c>
      <c r="U167" s="30">
        <v>0.3</v>
      </c>
      <c r="V167" s="30">
        <v>0.1</v>
      </c>
      <c r="W167" s="208"/>
      <c r="X167" s="210"/>
      <c r="Y167" s="22">
        <v>10.4</v>
      </c>
      <c r="Z167" s="22">
        <v>5.6</v>
      </c>
      <c r="AA167" s="22">
        <v>7.3</v>
      </c>
      <c r="AB167" s="208"/>
      <c r="AC167" s="33" t="s">
        <v>20</v>
      </c>
      <c r="AD167" s="33" t="s">
        <v>21</v>
      </c>
      <c r="AE167" s="33" t="s">
        <v>22</v>
      </c>
      <c r="AF167" s="33" t="s">
        <v>23</v>
      </c>
      <c r="AG167" s="206"/>
      <c r="AH167" s="4"/>
    </row>
    <row r="168" spans="1:34" x14ac:dyDescent="0.25">
      <c r="B168" s="7"/>
      <c r="C168" s="8"/>
      <c r="D168" s="9">
        <v>0</v>
      </c>
      <c r="E168" s="9">
        <v>1</v>
      </c>
      <c r="F168" s="9">
        <v>2</v>
      </c>
      <c r="G168" s="9" t="s">
        <v>24</v>
      </c>
      <c r="H168" s="9" t="s">
        <v>25</v>
      </c>
      <c r="I168" s="9" t="s">
        <v>26</v>
      </c>
      <c r="J168" s="9" t="s">
        <v>27</v>
      </c>
      <c r="K168" s="25" t="s">
        <v>60</v>
      </c>
      <c r="L168" s="9" t="s">
        <v>61</v>
      </c>
      <c r="M168" s="9" t="s">
        <v>61</v>
      </c>
      <c r="N168" s="9" t="s">
        <v>62</v>
      </c>
      <c r="O168" s="9" t="s">
        <v>63</v>
      </c>
      <c r="P168" s="9" t="s">
        <v>63</v>
      </c>
      <c r="Q168" s="9" t="s">
        <v>63</v>
      </c>
      <c r="R168" s="9">
        <v>9</v>
      </c>
      <c r="S168" s="31" t="s">
        <v>161</v>
      </c>
      <c r="T168" s="31" t="s">
        <v>162</v>
      </c>
      <c r="U168" s="31" t="s">
        <v>163</v>
      </c>
      <c r="V168" s="31" t="s">
        <v>164</v>
      </c>
      <c r="W168" s="31" t="s">
        <v>64</v>
      </c>
      <c r="X168" s="9" t="s">
        <v>65</v>
      </c>
      <c r="Y168" s="9" t="s">
        <v>66</v>
      </c>
      <c r="Z168" s="9" t="s">
        <v>67</v>
      </c>
      <c r="AA168" s="9" t="s">
        <v>246</v>
      </c>
      <c r="AB168" s="9" t="s">
        <v>240</v>
      </c>
      <c r="AC168" s="9">
        <v>16</v>
      </c>
      <c r="AD168" s="31" t="s">
        <v>158</v>
      </c>
      <c r="AE168" s="31" t="s">
        <v>159</v>
      </c>
      <c r="AF168" s="31" t="s">
        <v>160</v>
      </c>
      <c r="AG168" s="9">
        <v>17</v>
      </c>
      <c r="AH168" s="4"/>
    </row>
    <row r="169" spans="1:34" x14ac:dyDescent="0.25">
      <c r="A169" s="1" t="s">
        <v>217</v>
      </c>
      <c r="B169" s="35">
        <v>1</v>
      </c>
      <c r="C169" s="35" t="s">
        <v>121</v>
      </c>
      <c r="D169" s="36">
        <v>2</v>
      </c>
      <c r="E169" s="37">
        <v>87.25</v>
      </c>
      <c r="F169" s="128">
        <f>+E169*1193.93</f>
        <v>104170.3925</v>
      </c>
      <c r="G169" s="128">
        <f>+F169/60</f>
        <v>1736.1732083333334</v>
      </c>
      <c r="H169" s="128">
        <f>+F169*1.5%</f>
        <v>1562.5558874999999</v>
      </c>
      <c r="I169" s="128">
        <f>+F169*0.5%</f>
        <v>520.85196250000001</v>
      </c>
      <c r="J169" s="128">
        <f>+G169+H169+I169</f>
        <v>3819.5810583333332</v>
      </c>
      <c r="K169" s="128">
        <f>J169/12</f>
        <v>318.29842152777775</v>
      </c>
      <c r="L169" s="128"/>
      <c r="M169" s="128">
        <f>J169*(100%+5.6%)</f>
        <v>4033.4775976000001</v>
      </c>
      <c r="N169" s="128">
        <f>K169*N167</f>
        <v>222.80889506944442</v>
      </c>
      <c r="O169" s="128">
        <f>+N169*O167</f>
        <v>178.24711605555555</v>
      </c>
      <c r="P169" s="128">
        <f>+N169*P167</f>
        <v>200.52800556249997</v>
      </c>
      <c r="Q169" s="128">
        <f>+N169*Q167</f>
        <v>222.80889506944442</v>
      </c>
      <c r="R169" s="139" t="s">
        <v>251</v>
      </c>
      <c r="S169" s="139">
        <v>0</v>
      </c>
      <c r="T169" s="139">
        <v>0</v>
      </c>
      <c r="U169" s="139">
        <v>0</v>
      </c>
      <c r="V169" s="139">
        <v>0</v>
      </c>
      <c r="W169" s="139">
        <f>N169</f>
        <v>222.80889506944442</v>
      </c>
      <c r="X169" s="139">
        <f>W169*12+0.01</f>
        <v>2673.7167408333335</v>
      </c>
      <c r="Y169" s="139">
        <f>X169*(100+10.4)%+0.01</f>
        <v>2951.7932818800004</v>
      </c>
      <c r="Z169" s="139">
        <f t="shared" ref="Z169:Z178" si="90">Y169*(100+5.6)%</f>
        <v>3117.0937056652806</v>
      </c>
      <c r="AA169" s="139">
        <f>Z169*(100+7.3)%</f>
        <v>3344.6415461788461</v>
      </c>
      <c r="AB169" s="139">
        <f t="shared" ref="AB169:AB178" si="91">AA169/12</f>
        <v>278.72012884823715</v>
      </c>
      <c r="AC169" s="139">
        <f>K169</f>
        <v>318.29842152777775</v>
      </c>
      <c r="AD169" s="139">
        <f>AB169</f>
        <v>278.72012884823715</v>
      </c>
      <c r="AE169" s="128">
        <f>G169/12</f>
        <v>144.68110069444444</v>
      </c>
      <c r="AF169" s="130">
        <f>AE169/AC169*100</f>
        <v>45.45454545454546</v>
      </c>
      <c r="AG169" s="131">
        <f>AD169*AF169%-0.01</f>
        <v>126.68096765828962</v>
      </c>
      <c r="AH169" s="51"/>
    </row>
    <row r="170" spans="1:34" x14ac:dyDescent="0.25">
      <c r="A170" s="1" t="s">
        <v>218</v>
      </c>
      <c r="B170" s="35">
        <v>2</v>
      </c>
      <c r="C170" s="35" t="s">
        <v>122</v>
      </c>
      <c r="D170" s="36">
        <v>2</v>
      </c>
      <c r="E170" s="37">
        <v>86.95</v>
      </c>
      <c r="F170" s="128">
        <f t="shared" ref="F170:F178" si="92">+E170*1193.93</f>
        <v>103812.21350000001</v>
      </c>
      <c r="G170" s="128">
        <f t="shared" ref="G170:G178" si="93">+F170/60</f>
        <v>1730.2035583333336</v>
      </c>
      <c r="H170" s="128">
        <f t="shared" ref="H170:H178" si="94">+F170*1.5%</f>
        <v>1557.1832025000001</v>
      </c>
      <c r="I170" s="128">
        <f t="shared" ref="I170:I178" si="95">+F170*0.5%</f>
        <v>519.06106750000004</v>
      </c>
      <c r="J170" s="128">
        <f t="shared" ref="J170:J178" si="96">+G170+H170+I170</f>
        <v>3806.4478283333337</v>
      </c>
      <c r="K170" s="128">
        <f>J170/12</f>
        <v>317.2039856944445</v>
      </c>
      <c r="L170" s="128"/>
      <c r="M170" s="128">
        <f t="shared" ref="M170:M178" si="97">J170*(100%+5.6%)</f>
        <v>4019.6089067200005</v>
      </c>
      <c r="N170" s="128">
        <f>K170*N167</f>
        <v>222.04278998611113</v>
      </c>
      <c r="O170" s="128">
        <f>+N170*O167</f>
        <v>177.63423198888893</v>
      </c>
      <c r="P170" s="128">
        <f>+N170*P167</f>
        <v>199.83851098750003</v>
      </c>
      <c r="Q170" s="128">
        <f>+N170*Q167</f>
        <v>222.04278998611113</v>
      </c>
      <c r="R170" s="128">
        <v>1662.13</v>
      </c>
      <c r="S170" s="128">
        <f>R170*S167</f>
        <v>166.21300000000002</v>
      </c>
      <c r="T170" s="128">
        <v>0</v>
      </c>
      <c r="U170" s="128">
        <v>0</v>
      </c>
      <c r="V170" s="128">
        <v>0</v>
      </c>
      <c r="W170" s="128">
        <f>O170</f>
        <v>177.63423198888893</v>
      </c>
      <c r="X170" s="128">
        <f>W170*12-0.05</f>
        <v>2131.560783866667</v>
      </c>
      <c r="Y170" s="128">
        <f>X170*(100+10.4)%</f>
        <v>2353.2431053888004</v>
      </c>
      <c r="Z170" s="128">
        <f t="shared" si="90"/>
        <v>2485.0247192905731</v>
      </c>
      <c r="AA170" s="128">
        <f>Z170*(100+7.3)%</f>
        <v>2666.4315237987848</v>
      </c>
      <c r="AB170" s="128">
        <f t="shared" si="91"/>
        <v>222.20262698323208</v>
      </c>
      <c r="AC170" s="128">
        <f t="shared" ref="AC170:AC178" si="98">K170</f>
        <v>317.2039856944445</v>
      </c>
      <c r="AD170" s="139">
        <f>S170</f>
        <v>166.21300000000002</v>
      </c>
      <c r="AE170" s="128">
        <f t="shared" ref="AE170:AE178" si="99">G170/12</f>
        <v>144.18362986111114</v>
      </c>
      <c r="AF170" s="130">
        <f t="shared" ref="AF170:AF178" si="100">AE170/AC170*100</f>
        <v>45.45454545454546</v>
      </c>
      <c r="AG170" s="131">
        <f>AD170*AF170%-0.01</f>
        <v>75.541363636363641</v>
      </c>
      <c r="AH170" s="51"/>
    </row>
    <row r="171" spans="1:34" x14ac:dyDescent="0.25">
      <c r="A171" s="1" t="s">
        <v>219</v>
      </c>
      <c r="B171" s="35">
        <v>3</v>
      </c>
      <c r="C171" s="35" t="s">
        <v>123</v>
      </c>
      <c r="D171" s="36">
        <v>2</v>
      </c>
      <c r="E171" s="37">
        <v>87.84</v>
      </c>
      <c r="F171" s="128">
        <f t="shared" si="92"/>
        <v>104874.81120000001</v>
      </c>
      <c r="G171" s="128">
        <f t="shared" si="93"/>
        <v>1747.9135200000003</v>
      </c>
      <c r="H171" s="128">
        <f t="shared" si="94"/>
        <v>1573.1221680000001</v>
      </c>
      <c r="I171" s="128">
        <f t="shared" si="95"/>
        <v>524.37405600000011</v>
      </c>
      <c r="J171" s="128">
        <f t="shared" si="96"/>
        <v>3845.4097440000005</v>
      </c>
      <c r="K171" s="128">
        <f>J171/12</f>
        <v>320.45081200000004</v>
      </c>
      <c r="L171" s="128"/>
      <c r="M171" s="128">
        <f t="shared" si="97"/>
        <v>4060.7526896640006</v>
      </c>
      <c r="N171" s="128">
        <f>K171*N167</f>
        <v>224.31556840000002</v>
      </c>
      <c r="O171" s="128">
        <f>N171*O167</f>
        <v>179.45245472000002</v>
      </c>
      <c r="P171" s="128">
        <f>N171*P167</f>
        <v>201.88401156000003</v>
      </c>
      <c r="Q171" s="128">
        <f>+N171*Q167</f>
        <v>224.31556840000002</v>
      </c>
      <c r="R171" s="128">
        <v>2271.7800000000002</v>
      </c>
      <c r="S171" s="128">
        <f>R171*S167</f>
        <v>227.17800000000003</v>
      </c>
      <c r="T171" s="128">
        <v>0</v>
      </c>
      <c r="U171" s="128">
        <v>0</v>
      </c>
      <c r="V171" s="128">
        <v>0</v>
      </c>
      <c r="W171" s="128">
        <f>O171</f>
        <v>179.45245472000002</v>
      </c>
      <c r="X171" s="128">
        <f>W171*12</f>
        <v>2153.4294566400004</v>
      </c>
      <c r="Y171" s="128">
        <f>X171*(100+10.4)%</f>
        <v>2377.3861201305608</v>
      </c>
      <c r="Z171" s="128">
        <f t="shared" si="90"/>
        <v>2510.5197428578722</v>
      </c>
      <c r="AA171" s="128">
        <f>Z171*(100+7.3)%+0.01</f>
        <v>2693.7976840864972</v>
      </c>
      <c r="AB171" s="128">
        <f t="shared" si="91"/>
        <v>224.48314034054144</v>
      </c>
      <c r="AC171" s="128">
        <f t="shared" si="98"/>
        <v>320.45081200000004</v>
      </c>
      <c r="AD171" s="139">
        <f>AB171</f>
        <v>224.48314034054144</v>
      </c>
      <c r="AE171" s="128">
        <f t="shared" si="99"/>
        <v>145.65946000000002</v>
      </c>
      <c r="AF171" s="130">
        <f t="shared" si="100"/>
        <v>45.45454545454546</v>
      </c>
      <c r="AG171" s="131">
        <f>AD171*AF171%-0.01</f>
        <v>102.02779106388247</v>
      </c>
      <c r="AH171" s="51"/>
    </row>
    <row r="172" spans="1:34" x14ac:dyDescent="0.25">
      <c r="A172" s="1" t="s">
        <v>220</v>
      </c>
      <c r="B172" s="35">
        <v>4</v>
      </c>
      <c r="C172" s="35" t="s">
        <v>124</v>
      </c>
      <c r="D172" s="36">
        <v>2</v>
      </c>
      <c r="E172" s="37">
        <v>93.15</v>
      </c>
      <c r="F172" s="128">
        <f t="shared" si="92"/>
        <v>111214.57950000001</v>
      </c>
      <c r="G172" s="128">
        <f t="shared" si="93"/>
        <v>1853.5763250000002</v>
      </c>
      <c r="H172" s="128">
        <f t="shared" si="94"/>
        <v>1668.2186925000001</v>
      </c>
      <c r="I172" s="128">
        <f t="shared" si="95"/>
        <v>556.07289750000007</v>
      </c>
      <c r="J172" s="128">
        <f t="shared" si="96"/>
        <v>4077.8679150000007</v>
      </c>
      <c r="K172" s="128">
        <f>J172/12</f>
        <v>339.82232625000006</v>
      </c>
      <c r="L172" s="128"/>
      <c r="M172" s="128">
        <f t="shared" si="97"/>
        <v>4306.228518240001</v>
      </c>
      <c r="N172" s="128">
        <f>K172*N167</f>
        <v>237.87562837500002</v>
      </c>
      <c r="O172" s="128">
        <f>+N172*O167</f>
        <v>190.30050270000004</v>
      </c>
      <c r="P172" s="128">
        <f>+N172*P167</f>
        <v>214.08806553750003</v>
      </c>
      <c r="Q172" s="128">
        <f>+N172*Q167</f>
        <v>237.87562837500002</v>
      </c>
      <c r="R172" s="128">
        <v>2026.23</v>
      </c>
      <c r="S172" s="128">
        <f>R172*S167</f>
        <v>202.62300000000002</v>
      </c>
      <c r="T172" s="128">
        <v>0</v>
      </c>
      <c r="U172" s="128">
        <v>0</v>
      </c>
      <c r="V172" s="128">
        <v>0</v>
      </c>
      <c r="W172" s="128">
        <f>O172</f>
        <v>190.30050270000004</v>
      </c>
      <c r="X172" s="128">
        <f>W172*12+0.05</f>
        <v>2283.6560324000006</v>
      </c>
      <c r="Y172" s="128">
        <f>X172*(100+10.4)%-0.01</f>
        <v>2521.1462597696009</v>
      </c>
      <c r="Z172" s="128">
        <f t="shared" si="90"/>
        <v>2662.3304503166987</v>
      </c>
      <c r="AA172" s="128">
        <f>Z172*(100+7.3)%+0.01</f>
        <v>2856.6905731898178</v>
      </c>
      <c r="AB172" s="128">
        <f t="shared" si="91"/>
        <v>238.05754776581816</v>
      </c>
      <c r="AC172" s="128">
        <f t="shared" si="98"/>
        <v>339.82232625000006</v>
      </c>
      <c r="AD172" s="139">
        <f>S172</f>
        <v>202.62300000000002</v>
      </c>
      <c r="AE172" s="128">
        <f t="shared" si="99"/>
        <v>154.46469375000001</v>
      </c>
      <c r="AF172" s="130">
        <f t="shared" si="100"/>
        <v>45.454545454545446</v>
      </c>
      <c r="AG172" s="131">
        <f>AD172*AF172%-0.01</f>
        <v>92.091363636363624</v>
      </c>
      <c r="AH172" s="51"/>
    </row>
    <row r="173" spans="1:34" x14ac:dyDescent="0.25">
      <c r="A173" s="1" t="s">
        <v>221</v>
      </c>
      <c r="B173" s="35">
        <v>5</v>
      </c>
      <c r="C173" s="35" t="s">
        <v>125</v>
      </c>
      <c r="D173" s="36">
        <v>2</v>
      </c>
      <c r="E173" s="37">
        <v>98.79</v>
      </c>
      <c r="F173" s="128">
        <f t="shared" si="92"/>
        <v>117948.34470000002</v>
      </c>
      <c r="G173" s="128">
        <f t="shared" si="93"/>
        <v>1965.8057450000003</v>
      </c>
      <c r="H173" s="128">
        <f t="shared" si="94"/>
        <v>1769.2251705000001</v>
      </c>
      <c r="I173" s="128">
        <f t="shared" si="95"/>
        <v>589.74172350000015</v>
      </c>
      <c r="J173" s="128">
        <f t="shared" si="96"/>
        <v>4324.7726390000007</v>
      </c>
      <c r="K173" s="128">
        <f>J173/12</f>
        <v>360.39771991666674</v>
      </c>
      <c r="L173" s="128"/>
      <c r="M173" s="128">
        <f t="shared" si="97"/>
        <v>4566.9599067840009</v>
      </c>
      <c r="N173" s="128">
        <f>+K173*N167</f>
        <v>252.27840394166671</v>
      </c>
      <c r="O173" s="128">
        <f>+N173*O167</f>
        <v>201.82272315333338</v>
      </c>
      <c r="P173" s="128">
        <f>+N173*P167</f>
        <v>227.05056354750005</v>
      </c>
      <c r="Q173" s="128">
        <f>+N173*Q167</f>
        <v>252.27840394166671</v>
      </c>
      <c r="R173" s="128">
        <v>2347.56</v>
      </c>
      <c r="S173" s="128">
        <f>R173*S167</f>
        <v>234.756</v>
      </c>
      <c r="T173" s="128">
        <v>0</v>
      </c>
      <c r="U173" s="128">
        <v>0</v>
      </c>
      <c r="V173" s="128">
        <v>0</v>
      </c>
      <c r="W173" s="128">
        <f>O173</f>
        <v>201.82272315333338</v>
      </c>
      <c r="X173" s="128">
        <f>W173*12-0.03</f>
        <v>2421.8426778400003</v>
      </c>
      <c r="Y173" s="128">
        <f t="shared" ref="Y173:Y178" si="101">X173*(100+10.4)%</f>
        <v>2673.7143163353608</v>
      </c>
      <c r="Z173" s="128">
        <f t="shared" si="90"/>
        <v>2823.4423180501412</v>
      </c>
      <c r="AA173" s="128">
        <f t="shared" ref="AA173:AA178" si="102">Z173*(100+7.3)%</f>
        <v>3029.5536072678015</v>
      </c>
      <c r="AB173" s="128">
        <f t="shared" si="91"/>
        <v>252.46280060565013</v>
      </c>
      <c r="AC173" s="128">
        <f t="shared" si="98"/>
        <v>360.39771991666674</v>
      </c>
      <c r="AD173" s="139">
        <f>S173</f>
        <v>234.756</v>
      </c>
      <c r="AE173" s="128">
        <f t="shared" si="99"/>
        <v>163.8171454166667</v>
      </c>
      <c r="AF173" s="130">
        <f t="shared" si="100"/>
        <v>45.454545454545453</v>
      </c>
      <c r="AG173" s="131">
        <f>AD173*AF173%-0.01</f>
        <v>106.69727272727272</v>
      </c>
      <c r="AH173" s="51"/>
    </row>
    <row r="174" spans="1:34" x14ac:dyDescent="0.25">
      <c r="A174" s="1" t="s">
        <v>222</v>
      </c>
      <c r="B174" s="35">
        <v>6</v>
      </c>
      <c r="C174" s="35" t="s">
        <v>126</v>
      </c>
      <c r="D174" s="36">
        <v>2</v>
      </c>
      <c r="E174" s="37">
        <v>99.28</v>
      </c>
      <c r="F174" s="128">
        <f t="shared" si="92"/>
        <v>118533.37040000001</v>
      </c>
      <c r="G174" s="128">
        <f t="shared" si="93"/>
        <v>1975.5561733333336</v>
      </c>
      <c r="H174" s="128">
        <f t="shared" si="94"/>
        <v>1778.0005560000002</v>
      </c>
      <c r="I174" s="128">
        <f t="shared" si="95"/>
        <v>592.66685200000006</v>
      </c>
      <c r="J174" s="128">
        <f t="shared" si="96"/>
        <v>4346.2235813333336</v>
      </c>
      <c r="K174" s="128">
        <f t="shared" ref="K174:K178" si="103">J174/12</f>
        <v>362.18529844444447</v>
      </c>
      <c r="L174" s="128"/>
      <c r="M174" s="128">
        <f t="shared" si="97"/>
        <v>4589.6121018880003</v>
      </c>
      <c r="N174" s="128">
        <f>+K174*N167</f>
        <v>253.5297089111111</v>
      </c>
      <c r="O174" s="128">
        <f>N174*O167</f>
        <v>202.8237671288889</v>
      </c>
      <c r="P174" s="128">
        <f>+N174*P167</f>
        <v>228.17673801999999</v>
      </c>
      <c r="Q174" s="128">
        <f>N174*Q167</f>
        <v>253.5297089111111</v>
      </c>
      <c r="R174" s="139" t="s">
        <v>251</v>
      </c>
      <c r="S174" s="139">
        <v>0</v>
      </c>
      <c r="T174" s="139">
        <v>0</v>
      </c>
      <c r="U174" s="139">
        <v>0</v>
      </c>
      <c r="V174" s="139">
        <v>0</v>
      </c>
      <c r="W174" s="139">
        <f>N174</f>
        <v>253.5297089111111</v>
      </c>
      <c r="X174" s="139">
        <f>W174*12-0.04</f>
        <v>3042.3165069333331</v>
      </c>
      <c r="Y174" s="139">
        <f>X174*(100+10.4)%+0.01</f>
        <v>3358.7274236544004</v>
      </c>
      <c r="Z174" s="139">
        <f t="shared" si="90"/>
        <v>3546.8161593790469</v>
      </c>
      <c r="AA174" s="139">
        <f t="shared" si="102"/>
        <v>3805.7337390137172</v>
      </c>
      <c r="AB174" s="139">
        <f t="shared" si="91"/>
        <v>317.14447825114308</v>
      </c>
      <c r="AC174" s="139">
        <f t="shared" si="98"/>
        <v>362.18529844444447</v>
      </c>
      <c r="AD174" s="139">
        <f>AB174</f>
        <v>317.14447825114308</v>
      </c>
      <c r="AE174" s="128">
        <f t="shared" si="99"/>
        <v>164.62968111111113</v>
      </c>
      <c r="AF174" s="130">
        <f t="shared" si="100"/>
        <v>45.454545454545453</v>
      </c>
      <c r="AG174" s="131">
        <f>AD174*AF174%-0.02</f>
        <v>144.13658102324683</v>
      </c>
      <c r="AH174" s="51"/>
    </row>
    <row r="175" spans="1:34" x14ac:dyDescent="0.25">
      <c r="A175" s="1" t="s">
        <v>223</v>
      </c>
      <c r="B175" s="35">
        <v>7</v>
      </c>
      <c r="C175" s="35" t="s">
        <v>127</v>
      </c>
      <c r="D175" s="36">
        <v>2</v>
      </c>
      <c r="E175" s="37">
        <v>100.11</v>
      </c>
      <c r="F175" s="128">
        <f t="shared" si="92"/>
        <v>119524.33230000001</v>
      </c>
      <c r="G175" s="128">
        <f t="shared" si="93"/>
        <v>1992.0722050000002</v>
      </c>
      <c r="H175" s="128">
        <f t="shared" si="94"/>
        <v>1792.8649845</v>
      </c>
      <c r="I175" s="128">
        <f t="shared" si="95"/>
        <v>597.62166150000007</v>
      </c>
      <c r="J175" s="128">
        <f t="shared" si="96"/>
        <v>4382.5588510000007</v>
      </c>
      <c r="K175" s="128">
        <f t="shared" si="103"/>
        <v>365.21323758333341</v>
      </c>
      <c r="L175" s="128"/>
      <c r="M175" s="128">
        <f t="shared" si="97"/>
        <v>4627.9821466560006</v>
      </c>
      <c r="N175" s="128">
        <f>+K175*N167</f>
        <v>255.64926630833338</v>
      </c>
      <c r="O175" s="128">
        <f>+N175*O167</f>
        <v>204.51941304666673</v>
      </c>
      <c r="P175" s="128">
        <f>+N175*P167</f>
        <v>230.08433967750005</v>
      </c>
      <c r="Q175" s="128">
        <f>+N175*Q167</f>
        <v>255.64926630833338</v>
      </c>
      <c r="R175" s="128">
        <v>2159.0700000000002</v>
      </c>
      <c r="S175" s="128">
        <f>R175*S167</f>
        <v>215.90700000000004</v>
      </c>
      <c r="T175" s="128">
        <v>0</v>
      </c>
      <c r="U175" s="128">
        <v>0</v>
      </c>
      <c r="V175" s="128">
        <v>0</v>
      </c>
      <c r="W175" s="128">
        <f>O175</f>
        <v>204.51941304666673</v>
      </c>
      <c r="X175" s="128">
        <f>W175*12+0.01</f>
        <v>2454.2429565600009</v>
      </c>
      <c r="Y175" s="128">
        <f t="shared" si="101"/>
        <v>2709.4842240422413</v>
      </c>
      <c r="Z175" s="128">
        <f t="shared" si="90"/>
        <v>2861.215340588607</v>
      </c>
      <c r="AA175" s="128">
        <f t="shared" si="102"/>
        <v>3070.0840604515752</v>
      </c>
      <c r="AB175" s="128">
        <f t="shared" si="91"/>
        <v>255.84033837096459</v>
      </c>
      <c r="AC175" s="128">
        <f t="shared" si="98"/>
        <v>365.21323758333341</v>
      </c>
      <c r="AD175" s="139">
        <f>S175</f>
        <v>215.90700000000004</v>
      </c>
      <c r="AE175" s="128">
        <f t="shared" si="99"/>
        <v>166.00601708333335</v>
      </c>
      <c r="AF175" s="130">
        <f t="shared" si="100"/>
        <v>45.454545454545446</v>
      </c>
      <c r="AG175" s="131">
        <f>AD175*AF175%-0.01</f>
        <v>98.12954545454545</v>
      </c>
      <c r="AH175" s="51"/>
    </row>
    <row r="176" spans="1:34" x14ac:dyDescent="0.25">
      <c r="A176" s="1" t="s">
        <v>224</v>
      </c>
      <c r="B176" s="35">
        <v>8</v>
      </c>
      <c r="C176" s="35" t="s">
        <v>128</v>
      </c>
      <c r="D176" s="36">
        <v>2</v>
      </c>
      <c r="E176" s="37">
        <v>99.5</v>
      </c>
      <c r="F176" s="128">
        <f t="shared" si="92"/>
        <v>118796.035</v>
      </c>
      <c r="G176" s="128">
        <f t="shared" si="93"/>
        <v>1979.9339166666666</v>
      </c>
      <c r="H176" s="128">
        <f t="shared" si="94"/>
        <v>1781.940525</v>
      </c>
      <c r="I176" s="128">
        <f t="shared" si="95"/>
        <v>593.98017500000003</v>
      </c>
      <c r="J176" s="128">
        <f t="shared" si="96"/>
        <v>4355.8546166666665</v>
      </c>
      <c r="K176" s="128">
        <f t="shared" si="103"/>
        <v>362.98788472222219</v>
      </c>
      <c r="L176" s="128"/>
      <c r="M176" s="128">
        <f t="shared" si="97"/>
        <v>4599.7824751999997</v>
      </c>
      <c r="N176" s="128">
        <f>+K176*N167</f>
        <v>254.09151930555552</v>
      </c>
      <c r="O176" s="128">
        <f>+N176*O167</f>
        <v>203.27321544444442</v>
      </c>
      <c r="P176" s="128">
        <f>+N176*P167</f>
        <v>228.68236737499998</v>
      </c>
      <c r="Q176" s="128">
        <f>+N176*Q167</f>
        <v>254.09151930555552</v>
      </c>
      <c r="R176" s="128">
        <v>3124.11</v>
      </c>
      <c r="S176" s="128">
        <v>0</v>
      </c>
      <c r="T176" s="128">
        <f>R176*T167</f>
        <v>624.82200000000012</v>
      </c>
      <c r="U176" s="128">
        <v>0</v>
      </c>
      <c r="V176" s="128">
        <v>0</v>
      </c>
      <c r="W176" s="128">
        <f>P176</f>
        <v>228.68236737499998</v>
      </c>
      <c r="X176" s="128">
        <f>W176*12-0.03</f>
        <v>2744.1584084999995</v>
      </c>
      <c r="Y176" s="128">
        <f t="shared" si="101"/>
        <v>3029.5508829839996</v>
      </c>
      <c r="Z176" s="128">
        <f>Y176*(100+5.6)%-0.01</f>
        <v>3199.1957324311034</v>
      </c>
      <c r="AA176" s="128">
        <f t="shared" si="102"/>
        <v>3432.737020898574</v>
      </c>
      <c r="AB176" s="128">
        <f t="shared" si="91"/>
        <v>286.06141840821448</v>
      </c>
      <c r="AC176" s="128">
        <f t="shared" si="98"/>
        <v>362.98788472222219</v>
      </c>
      <c r="AD176" s="139">
        <f>AB176</f>
        <v>286.06141840821448</v>
      </c>
      <c r="AE176" s="128">
        <f t="shared" si="99"/>
        <v>164.99449305555555</v>
      </c>
      <c r="AF176" s="130">
        <f t="shared" si="100"/>
        <v>45.45454545454546</v>
      </c>
      <c r="AG176" s="131">
        <f>AD176*AF176%-0.02</f>
        <v>130.00791745827931</v>
      </c>
      <c r="AH176" s="51"/>
    </row>
    <row r="177" spans="1:34" x14ac:dyDescent="0.25">
      <c r="A177" s="1" t="s">
        <v>174</v>
      </c>
      <c r="B177" s="35">
        <v>9</v>
      </c>
      <c r="C177" s="35" t="s">
        <v>129</v>
      </c>
      <c r="D177" s="36">
        <v>2</v>
      </c>
      <c r="E177" s="37">
        <v>99.9</v>
      </c>
      <c r="F177" s="128">
        <f t="shared" si="92"/>
        <v>119273.60700000002</v>
      </c>
      <c r="G177" s="128">
        <f t="shared" si="93"/>
        <v>1987.8934500000003</v>
      </c>
      <c r="H177" s="128">
        <f t="shared" si="94"/>
        <v>1789.1041050000001</v>
      </c>
      <c r="I177" s="128">
        <f t="shared" si="95"/>
        <v>596.36803500000008</v>
      </c>
      <c r="J177" s="128">
        <f t="shared" si="96"/>
        <v>4373.3655900000003</v>
      </c>
      <c r="K177" s="128">
        <f t="shared" si="103"/>
        <v>364.44713250000001</v>
      </c>
      <c r="L177" s="128"/>
      <c r="M177" s="128">
        <f t="shared" si="97"/>
        <v>4618.2740630400003</v>
      </c>
      <c r="N177" s="128">
        <f>K177*N167</f>
        <v>255.11299274999999</v>
      </c>
      <c r="O177" s="128">
        <f>+N177*O167</f>
        <v>204.09039419999999</v>
      </c>
      <c r="P177" s="128">
        <f>+N177*P167</f>
        <v>229.60169347499999</v>
      </c>
      <c r="Q177" s="128">
        <f>+N177*Q167</f>
        <v>255.11299274999999</v>
      </c>
      <c r="R177" s="128">
        <v>2437.0300000000002</v>
      </c>
      <c r="S177" s="128">
        <f>R177*S167</f>
        <v>243.70300000000003</v>
      </c>
      <c r="T177" s="128">
        <v>0</v>
      </c>
      <c r="U177" s="128">
        <v>0</v>
      </c>
      <c r="V177" s="128">
        <v>0</v>
      </c>
      <c r="W177" s="128">
        <f>O177</f>
        <v>204.09039419999999</v>
      </c>
      <c r="X177" s="128">
        <f>W177*12+0.05</f>
        <v>2449.1347304000001</v>
      </c>
      <c r="Y177" s="128">
        <f t="shared" si="101"/>
        <v>2703.8447423616003</v>
      </c>
      <c r="Z177" s="128">
        <f t="shared" si="90"/>
        <v>2855.2600479338503</v>
      </c>
      <c r="AA177" s="128">
        <f t="shared" si="102"/>
        <v>3063.6940314330213</v>
      </c>
      <c r="AB177" s="128">
        <f>AA177/12+0.01</f>
        <v>255.31783595275178</v>
      </c>
      <c r="AC177" s="128">
        <f t="shared" si="98"/>
        <v>364.44713250000001</v>
      </c>
      <c r="AD177" s="139">
        <f>S177</f>
        <v>243.70300000000003</v>
      </c>
      <c r="AE177" s="128">
        <f t="shared" si="99"/>
        <v>165.65778750000001</v>
      </c>
      <c r="AF177" s="130">
        <f t="shared" si="100"/>
        <v>45.45454545454546</v>
      </c>
      <c r="AG177" s="131">
        <f>AD177*AF177%-0.01</f>
        <v>110.76409090909092</v>
      </c>
      <c r="AH177" s="51"/>
    </row>
    <row r="178" spans="1:34" x14ac:dyDescent="0.25">
      <c r="A178" s="1" t="s">
        <v>225</v>
      </c>
      <c r="B178" s="35">
        <v>10</v>
      </c>
      <c r="C178" s="35" t="s">
        <v>130</v>
      </c>
      <c r="D178" s="36">
        <v>2</v>
      </c>
      <c r="E178" s="37">
        <v>100.22</v>
      </c>
      <c r="F178" s="128">
        <f t="shared" si="92"/>
        <v>119655.6646</v>
      </c>
      <c r="G178" s="128">
        <f t="shared" si="93"/>
        <v>1994.2610766666667</v>
      </c>
      <c r="H178" s="128">
        <f t="shared" si="94"/>
        <v>1794.834969</v>
      </c>
      <c r="I178" s="128">
        <f t="shared" si="95"/>
        <v>598.278323</v>
      </c>
      <c r="J178" s="128">
        <f t="shared" si="96"/>
        <v>4387.3743686666667</v>
      </c>
      <c r="K178" s="128">
        <f t="shared" si="103"/>
        <v>365.61453072222224</v>
      </c>
      <c r="L178" s="128"/>
      <c r="M178" s="128">
        <f t="shared" si="97"/>
        <v>4633.0673333120003</v>
      </c>
      <c r="N178" s="128">
        <f>+K178*N167</f>
        <v>255.93017150555556</v>
      </c>
      <c r="O178" s="128">
        <f>+N178*O167</f>
        <v>204.74413720444446</v>
      </c>
      <c r="P178" s="128">
        <f>+N178*P167</f>
        <v>230.33715435500002</v>
      </c>
      <c r="Q178" s="128">
        <f>+N178*Q167</f>
        <v>255.93017150555556</v>
      </c>
      <c r="R178" s="128">
        <v>2054.42</v>
      </c>
      <c r="S178" s="128">
        <f>R178*S167</f>
        <v>205.44200000000001</v>
      </c>
      <c r="T178" s="128">
        <v>0</v>
      </c>
      <c r="U178" s="128">
        <v>0</v>
      </c>
      <c r="V178" s="128">
        <v>0</v>
      </c>
      <c r="W178" s="128">
        <v>204.74</v>
      </c>
      <c r="X178" s="128">
        <f>W178*12</f>
        <v>2456.88</v>
      </c>
      <c r="Y178" s="128">
        <f t="shared" si="101"/>
        <v>2712.3955200000005</v>
      </c>
      <c r="Z178" s="128">
        <f t="shared" si="90"/>
        <v>2864.2896691200008</v>
      </c>
      <c r="AA178" s="128">
        <f t="shared" si="102"/>
        <v>3073.3828149657606</v>
      </c>
      <c r="AB178" s="128">
        <f t="shared" si="91"/>
        <v>256.11523458048003</v>
      </c>
      <c r="AC178" s="128">
        <f t="shared" si="98"/>
        <v>365.61453072222224</v>
      </c>
      <c r="AD178" s="139">
        <f>S178</f>
        <v>205.44200000000001</v>
      </c>
      <c r="AE178" s="128">
        <f t="shared" si="99"/>
        <v>166.18842305555555</v>
      </c>
      <c r="AF178" s="130">
        <f t="shared" si="100"/>
        <v>45.454545454545446</v>
      </c>
      <c r="AG178" s="131">
        <f>AD178*AF178%-0.01</f>
        <v>93.372727272727261</v>
      </c>
      <c r="AH178" s="51"/>
    </row>
    <row r="179" spans="1:34" x14ac:dyDescent="0.25">
      <c r="B179" s="176"/>
      <c r="C179" s="248" t="s">
        <v>77</v>
      </c>
      <c r="D179" s="248"/>
      <c r="E179" s="177">
        <f>SUM(E169:E178)</f>
        <v>952.99</v>
      </c>
      <c r="F179" s="175">
        <f>SUM(F169:F178)-0.01</f>
        <v>1137803.3407000001</v>
      </c>
      <c r="G179" s="175">
        <f>SUM(G169:G178)-0.01</f>
        <v>18963.379178333336</v>
      </c>
      <c r="H179" s="175">
        <f>SUM(H169:H178)-0.01</f>
        <v>17067.040260500002</v>
      </c>
      <c r="I179" s="175">
        <f>SUM(I169:I178)-0.01</f>
        <v>5689.0067535000017</v>
      </c>
      <c r="J179" s="175">
        <f>SUM(J169:J178)-0.01</f>
        <v>41719.446192333329</v>
      </c>
      <c r="K179" s="175">
        <f>SUM(K169:K178)</f>
        <v>3476.6213493611112</v>
      </c>
      <c r="L179" s="175"/>
      <c r="M179" s="175">
        <f>SUM(M169:M178)</f>
        <v>44055.745739104008</v>
      </c>
      <c r="N179" s="175">
        <f>SUM(N169:N178)+0.01</f>
        <v>2433.6449445527778</v>
      </c>
      <c r="O179" s="175">
        <f>SUM(O169:O178)-0.02</f>
        <v>1946.8879556422226</v>
      </c>
      <c r="P179" s="175">
        <f>SUM(P169:P178)</f>
        <v>2190.2714500975003</v>
      </c>
      <c r="Q179" s="175">
        <f>SUM(Q169:Q178)+0.01</f>
        <v>2433.6449445527778</v>
      </c>
      <c r="R179" s="175"/>
      <c r="S179" s="175">
        <f>SUM(S169:S178)</f>
        <v>1495.8220000000001</v>
      </c>
      <c r="T179" s="175">
        <f t="shared" ref="T179:AG179" si="104">SUM(T169:T178)</f>
        <v>624.82200000000012</v>
      </c>
      <c r="U179" s="175">
        <f t="shared" si="104"/>
        <v>0</v>
      </c>
      <c r="V179" s="175">
        <f t="shared" si="104"/>
        <v>0</v>
      </c>
      <c r="W179" s="175">
        <f>SUM(W169:W178)-0.01</f>
        <v>2067.5706911644447</v>
      </c>
      <c r="X179" s="175">
        <f t="shared" si="104"/>
        <v>24810.938293973337</v>
      </c>
      <c r="Y179" s="175">
        <f>SUM(Y169:Y178)-0.01</f>
        <v>27391.27587654657</v>
      </c>
      <c r="Z179" s="175">
        <f t="shared" si="104"/>
        <v>28925.187885633175</v>
      </c>
      <c r="AA179" s="175">
        <f>SUM(AA169:AA178)-0.02</f>
        <v>31036.726601284394</v>
      </c>
      <c r="AB179" s="175">
        <f>SUM(AB169:AB178)-0.01</f>
        <v>2586.3955501070327</v>
      </c>
      <c r="AC179" s="175">
        <f t="shared" si="104"/>
        <v>3476.6213493611112</v>
      </c>
      <c r="AD179" s="175">
        <f>SUM(AD169:AD178)-0.01</f>
        <v>2375.0431658481361</v>
      </c>
      <c r="AE179" s="175">
        <f>SUM(AE169:AE178)</f>
        <v>1580.282431527778</v>
      </c>
      <c r="AF179" s="175">
        <f>SUM(AF169:AF178)-0.05</f>
        <v>454.49545454545444</v>
      </c>
      <c r="AG179" s="175">
        <f t="shared" si="104"/>
        <v>1079.4496208400617</v>
      </c>
      <c r="AH179" s="51"/>
    </row>
    <row r="180" spans="1:34" x14ac:dyDescent="0.25">
      <c r="B180" s="4"/>
      <c r="C180" s="172"/>
      <c r="D180" s="172"/>
      <c r="E180" s="17"/>
      <c r="F180" s="17"/>
      <c r="G180" s="17"/>
      <c r="H180" s="17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"/>
    </row>
    <row r="181" spans="1:34" ht="20.25" x14ac:dyDescent="0.25">
      <c r="C181" s="223" t="s">
        <v>131</v>
      </c>
      <c r="D181" s="223"/>
      <c r="E181" s="223"/>
      <c r="F181" s="223"/>
      <c r="G181" s="223"/>
      <c r="H181" s="223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"/>
    </row>
    <row r="182" spans="1:34" x14ac:dyDescent="0.25">
      <c r="B182" s="4"/>
      <c r="C182" s="52"/>
      <c r="D182" s="52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"/>
    </row>
    <row r="183" spans="1:34" ht="20.25" x14ac:dyDescent="0.25">
      <c r="B183" s="4"/>
      <c r="C183" s="224" t="s">
        <v>0</v>
      </c>
      <c r="D183" s="224"/>
      <c r="E183" s="42"/>
      <c r="F183" s="42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22.1" customHeight="1" x14ac:dyDescent="0.25">
      <c r="B185" s="215" t="s">
        <v>1</v>
      </c>
      <c r="C185" s="217" t="s">
        <v>56</v>
      </c>
      <c r="D185" s="209" t="s">
        <v>3</v>
      </c>
      <c r="E185" s="209" t="s">
        <v>4</v>
      </c>
      <c r="F185" s="209" t="s">
        <v>5</v>
      </c>
      <c r="G185" s="209" t="s">
        <v>6</v>
      </c>
      <c r="H185" s="209" t="s">
        <v>7</v>
      </c>
      <c r="I185" s="209" t="s">
        <v>8</v>
      </c>
      <c r="J185" s="209" t="s">
        <v>9</v>
      </c>
      <c r="K185" s="209" t="s">
        <v>57</v>
      </c>
      <c r="L185" s="22" t="s">
        <v>10</v>
      </c>
      <c r="M185" s="22" t="s">
        <v>10</v>
      </c>
      <c r="N185" s="22" t="s">
        <v>12</v>
      </c>
      <c r="O185" s="211" t="s">
        <v>13</v>
      </c>
      <c r="P185" s="212"/>
      <c r="Q185" s="213"/>
      <c r="R185" s="209" t="s">
        <v>14</v>
      </c>
      <c r="S185" s="225" t="s">
        <v>58</v>
      </c>
      <c r="T185" s="226"/>
      <c r="U185" s="226"/>
      <c r="V185" s="227"/>
      <c r="W185" s="207" t="s">
        <v>21</v>
      </c>
      <c r="X185" s="209" t="s">
        <v>9</v>
      </c>
      <c r="Y185" s="22" t="s">
        <v>242</v>
      </c>
      <c r="Z185" s="22" t="s">
        <v>243</v>
      </c>
      <c r="AA185" s="22" t="s">
        <v>156</v>
      </c>
      <c r="AB185" s="207" t="s">
        <v>59</v>
      </c>
      <c r="AC185" s="228" t="s">
        <v>18</v>
      </c>
      <c r="AD185" s="229"/>
      <c r="AE185" s="229"/>
      <c r="AF185" s="229"/>
      <c r="AG185" s="205" t="s">
        <v>19</v>
      </c>
      <c r="AH185" s="4"/>
    </row>
    <row r="186" spans="1:34" ht="51" x14ac:dyDescent="0.25">
      <c r="B186" s="216"/>
      <c r="C186" s="218"/>
      <c r="D186" s="210"/>
      <c r="E186" s="210"/>
      <c r="F186" s="210"/>
      <c r="G186" s="210"/>
      <c r="H186" s="210"/>
      <c r="I186" s="210"/>
      <c r="J186" s="210"/>
      <c r="K186" s="210"/>
      <c r="L186" s="22">
        <v>5.6</v>
      </c>
      <c r="M186" s="22">
        <v>5.6</v>
      </c>
      <c r="N186" s="22">
        <v>0.7</v>
      </c>
      <c r="O186" s="23">
        <v>0.8</v>
      </c>
      <c r="P186" s="24">
        <v>0.9</v>
      </c>
      <c r="Q186" s="28">
        <v>1</v>
      </c>
      <c r="R186" s="210"/>
      <c r="S186" s="29">
        <v>0.1</v>
      </c>
      <c r="T186" s="30">
        <v>0.2</v>
      </c>
      <c r="U186" s="30">
        <v>0.3</v>
      </c>
      <c r="V186" s="30">
        <v>0.1</v>
      </c>
      <c r="W186" s="208"/>
      <c r="X186" s="210"/>
      <c r="Y186" s="22">
        <v>10.4</v>
      </c>
      <c r="Z186" s="22">
        <v>5.6</v>
      </c>
      <c r="AA186" s="22">
        <v>7.3</v>
      </c>
      <c r="AB186" s="208"/>
      <c r="AC186" s="33" t="s">
        <v>20</v>
      </c>
      <c r="AD186" s="33" t="s">
        <v>21</v>
      </c>
      <c r="AE186" s="33" t="s">
        <v>22</v>
      </c>
      <c r="AF186" s="33" t="s">
        <v>23</v>
      </c>
      <c r="AG186" s="206"/>
      <c r="AH186" s="4"/>
    </row>
    <row r="187" spans="1:34" x14ac:dyDescent="0.25">
      <c r="B187" s="7"/>
      <c r="C187" s="8"/>
      <c r="D187" s="9">
        <v>0</v>
      </c>
      <c r="E187" s="9">
        <v>1</v>
      </c>
      <c r="F187" s="9">
        <v>2</v>
      </c>
      <c r="G187" s="9" t="s">
        <v>24</v>
      </c>
      <c r="H187" s="9" t="s">
        <v>25</v>
      </c>
      <c r="I187" s="9" t="s">
        <v>26</v>
      </c>
      <c r="J187" s="9" t="s">
        <v>27</v>
      </c>
      <c r="K187" s="25" t="s">
        <v>60</v>
      </c>
      <c r="L187" s="9" t="s">
        <v>61</v>
      </c>
      <c r="M187" s="9" t="s">
        <v>61</v>
      </c>
      <c r="N187" s="9" t="s">
        <v>62</v>
      </c>
      <c r="O187" s="9" t="s">
        <v>63</v>
      </c>
      <c r="P187" s="9" t="s">
        <v>63</v>
      </c>
      <c r="Q187" s="9" t="s">
        <v>63</v>
      </c>
      <c r="R187" s="9">
        <v>9</v>
      </c>
      <c r="S187" s="31" t="s">
        <v>161</v>
      </c>
      <c r="T187" s="31" t="s">
        <v>162</v>
      </c>
      <c r="U187" s="31" t="s">
        <v>163</v>
      </c>
      <c r="V187" s="31" t="s">
        <v>164</v>
      </c>
      <c r="W187" s="31" t="s">
        <v>64</v>
      </c>
      <c r="X187" s="9" t="s">
        <v>65</v>
      </c>
      <c r="Y187" s="9" t="s">
        <v>66</v>
      </c>
      <c r="Z187" s="9" t="s">
        <v>67</v>
      </c>
      <c r="AA187" s="9" t="s">
        <v>246</v>
      </c>
      <c r="AB187" s="9" t="s">
        <v>240</v>
      </c>
      <c r="AC187" s="9">
        <v>16</v>
      </c>
      <c r="AD187" s="31" t="s">
        <v>158</v>
      </c>
      <c r="AE187" s="31" t="s">
        <v>159</v>
      </c>
      <c r="AF187" s="31" t="s">
        <v>160</v>
      </c>
      <c r="AG187" s="9">
        <v>17</v>
      </c>
      <c r="AH187" s="4"/>
    </row>
    <row r="188" spans="1:34" ht="15" x14ac:dyDescent="0.25">
      <c r="A188" s="1" t="s">
        <v>226</v>
      </c>
      <c r="B188" s="183">
        <v>1</v>
      </c>
      <c r="C188" s="10" t="s">
        <v>132</v>
      </c>
      <c r="D188" s="184">
        <v>2</v>
      </c>
      <c r="E188" s="180">
        <v>87.96</v>
      </c>
      <c r="F188" s="180">
        <f>+E188*1193.52</f>
        <v>104982.0192</v>
      </c>
      <c r="G188" s="180">
        <f>+F188/60</f>
        <v>1749.7003199999999</v>
      </c>
      <c r="H188" s="180">
        <f>+F188*1.5%</f>
        <v>1574.730288</v>
      </c>
      <c r="I188" s="180">
        <v>0</v>
      </c>
      <c r="J188" s="180">
        <f>+G188+H188+I188</f>
        <v>3324.4306079999997</v>
      </c>
      <c r="K188" s="180">
        <f>+J188/12</f>
        <v>277.03588399999995</v>
      </c>
      <c r="L188" s="180"/>
      <c r="M188" s="180">
        <f>+J188*(100%+5.6%)</f>
        <v>3510.5987220479997</v>
      </c>
      <c r="N188" s="180">
        <f>+K188*N186</f>
        <v>193.92511879999995</v>
      </c>
      <c r="O188" s="180">
        <f>+N188*O186</f>
        <v>155.14009503999998</v>
      </c>
      <c r="P188" s="180">
        <f>+N188*P186</f>
        <v>174.53260691999995</v>
      </c>
      <c r="Q188" s="180">
        <f>+N188*Q186</f>
        <v>193.92511879999995</v>
      </c>
      <c r="R188" s="180" t="s">
        <v>251</v>
      </c>
      <c r="S188" s="180">
        <v>0</v>
      </c>
      <c r="T188" s="180">
        <v>0</v>
      </c>
      <c r="U188" s="180">
        <v>0</v>
      </c>
      <c r="V188" s="180">
        <v>0</v>
      </c>
      <c r="W188" s="180">
        <f>N188</f>
        <v>193.92511879999995</v>
      </c>
      <c r="X188" s="180">
        <f>W188*12+0.06</f>
        <v>2327.1614255999993</v>
      </c>
      <c r="Y188" s="180">
        <v>0</v>
      </c>
      <c r="Z188" s="180">
        <v>0</v>
      </c>
      <c r="AA188" s="180">
        <f>X188*(100+7.3)%</f>
        <v>2497.0442096687993</v>
      </c>
      <c r="AB188" s="180">
        <f>AA188/12</f>
        <v>208.08701747239994</v>
      </c>
      <c r="AC188" s="180">
        <f>K188</f>
        <v>277.03588399999995</v>
      </c>
      <c r="AD188" s="139">
        <f>AB188</f>
        <v>208.08701747239994</v>
      </c>
      <c r="AE188" s="180">
        <f>G188/12</f>
        <v>145.80835999999999</v>
      </c>
      <c r="AF188" s="181">
        <f>AE188/AC188*100</f>
        <v>52.631578947368432</v>
      </c>
      <c r="AG188" s="182">
        <f>AD188*AF188%</f>
        <v>109.5194828802105</v>
      </c>
      <c r="AH188" s="51"/>
    </row>
    <row r="189" spans="1:34" x14ac:dyDescent="0.25">
      <c r="B189" s="176"/>
      <c r="C189" s="248" t="s">
        <v>77</v>
      </c>
      <c r="D189" s="248"/>
      <c r="E189" s="175">
        <f>+E188</f>
        <v>87.96</v>
      </c>
      <c r="F189" s="175">
        <f t="shared" ref="F189:H189" si="105">SUM(F188:F188)</f>
        <v>104982.0192</v>
      </c>
      <c r="G189" s="175">
        <f t="shared" si="105"/>
        <v>1749.7003199999999</v>
      </c>
      <c r="H189" s="175">
        <f t="shared" si="105"/>
        <v>1574.730288</v>
      </c>
      <c r="I189" s="175">
        <f>+I188</f>
        <v>0</v>
      </c>
      <c r="J189" s="175">
        <f>SUM(J188:J188)</f>
        <v>3324.4306079999997</v>
      </c>
      <c r="K189" s="175">
        <f>+K188</f>
        <v>277.03588399999995</v>
      </c>
      <c r="L189" s="175"/>
      <c r="M189" s="175">
        <f>SUM(M188:M188)</f>
        <v>3510.5987220479997</v>
      </c>
      <c r="N189" s="175">
        <f>+N188</f>
        <v>193.92511879999995</v>
      </c>
      <c r="O189" s="175">
        <f>+O188</f>
        <v>155.14009503999998</v>
      </c>
      <c r="P189" s="175">
        <f>+P188</f>
        <v>174.53260691999995</v>
      </c>
      <c r="Q189" s="175">
        <f>+Q188</f>
        <v>193.92511879999995</v>
      </c>
      <c r="R189" s="175"/>
      <c r="S189" s="175">
        <f>SUM(S188)</f>
        <v>0</v>
      </c>
      <c r="T189" s="175">
        <f t="shared" ref="T189:AG189" si="106">SUM(T188)</f>
        <v>0</v>
      </c>
      <c r="U189" s="175">
        <f t="shared" si="106"/>
        <v>0</v>
      </c>
      <c r="V189" s="175">
        <f t="shared" si="106"/>
        <v>0</v>
      </c>
      <c r="W189" s="175">
        <f t="shared" si="106"/>
        <v>193.92511879999995</v>
      </c>
      <c r="X189" s="175">
        <f t="shared" si="106"/>
        <v>2327.1614255999993</v>
      </c>
      <c r="Y189" s="175">
        <f t="shared" si="106"/>
        <v>0</v>
      </c>
      <c r="Z189" s="175">
        <f t="shared" si="106"/>
        <v>0</v>
      </c>
      <c r="AA189" s="175">
        <f t="shared" si="106"/>
        <v>2497.0442096687993</v>
      </c>
      <c r="AB189" s="175">
        <f t="shared" si="106"/>
        <v>208.08701747239994</v>
      </c>
      <c r="AC189" s="175">
        <f t="shared" si="106"/>
        <v>277.03588399999995</v>
      </c>
      <c r="AD189" s="175">
        <f t="shared" si="106"/>
        <v>208.08701747239994</v>
      </c>
      <c r="AE189" s="175">
        <f t="shared" si="106"/>
        <v>145.80835999999999</v>
      </c>
      <c r="AF189" s="175">
        <f t="shared" si="106"/>
        <v>52.631578947368432</v>
      </c>
      <c r="AG189" s="175">
        <f t="shared" si="106"/>
        <v>109.5194828802105</v>
      </c>
      <c r="AH189" s="4"/>
    </row>
    <row r="190" spans="1:34" ht="20.25" x14ac:dyDescent="0.25">
      <c r="B190" s="4"/>
      <c r="C190" s="224" t="s">
        <v>101</v>
      </c>
      <c r="D190" s="224"/>
      <c r="E190" s="42"/>
      <c r="F190" s="42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"/>
    </row>
    <row r="191" spans="1:34" x14ac:dyDescent="0.25">
      <c r="B191" s="4"/>
      <c r="C191" s="4"/>
      <c r="D191" s="4"/>
      <c r="E191" s="4"/>
      <c r="F191" s="4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"/>
    </row>
    <row r="192" spans="1:34" ht="121.5" customHeight="1" x14ac:dyDescent="0.25">
      <c r="B192" s="215" t="s">
        <v>1</v>
      </c>
      <c r="C192" s="217" t="s">
        <v>56</v>
      </c>
      <c r="D192" s="209" t="s">
        <v>3</v>
      </c>
      <c r="E192" s="209" t="s">
        <v>4</v>
      </c>
      <c r="F192" s="209" t="s">
        <v>5</v>
      </c>
      <c r="G192" s="209" t="s">
        <v>6</v>
      </c>
      <c r="H192" s="209" t="s">
        <v>7</v>
      </c>
      <c r="I192" s="209" t="s">
        <v>8</v>
      </c>
      <c r="J192" s="209" t="s">
        <v>9</v>
      </c>
      <c r="K192" s="209" t="s">
        <v>57</v>
      </c>
      <c r="L192" s="22" t="s">
        <v>10</v>
      </c>
      <c r="M192" s="22" t="s">
        <v>10</v>
      </c>
      <c r="N192" s="22" t="s">
        <v>12</v>
      </c>
      <c r="O192" s="211" t="s">
        <v>13</v>
      </c>
      <c r="P192" s="212"/>
      <c r="Q192" s="213"/>
      <c r="R192" s="209" t="s">
        <v>14</v>
      </c>
      <c r="S192" s="225" t="s">
        <v>58</v>
      </c>
      <c r="T192" s="226"/>
      <c r="U192" s="226"/>
      <c r="V192" s="227"/>
      <c r="W192" s="207" t="s">
        <v>21</v>
      </c>
      <c r="X192" s="209" t="s">
        <v>9</v>
      </c>
      <c r="Y192" s="22" t="s">
        <v>242</v>
      </c>
      <c r="Z192" s="22" t="s">
        <v>243</v>
      </c>
      <c r="AA192" s="22" t="s">
        <v>156</v>
      </c>
      <c r="AB192" s="207" t="s">
        <v>59</v>
      </c>
      <c r="AC192" s="228" t="s">
        <v>18</v>
      </c>
      <c r="AD192" s="229"/>
      <c r="AE192" s="229"/>
      <c r="AF192" s="229"/>
      <c r="AG192" s="205" t="s">
        <v>19</v>
      </c>
      <c r="AH192" s="4"/>
    </row>
    <row r="193" spans="1:34" ht="51" x14ac:dyDescent="0.25">
      <c r="B193" s="216"/>
      <c r="C193" s="218"/>
      <c r="D193" s="210"/>
      <c r="E193" s="210"/>
      <c r="F193" s="210"/>
      <c r="G193" s="210"/>
      <c r="H193" s="210"/>
      <c r="I193" s="210"/>
      <c r="J193" s="210"/>
      <c r="K193" s="210"/>
      <c r="L193" s="22">
        <v>5.6</v>
      </c>
      <c r="M193" s="22">
        <v>5.6</v>
      </c>
      <c r="N193" s="22">
        <v>0.7</v>
      </c>
      <c r="O193" s="23">
        <v>0.8</v>
      </c>
      <c r="P193" s="24">
        <v>0.9</v>
      </c>
      <c r="Q193" s="28">
        <v>1</v>
      </c>
      <c r="R193" s="210"/>
      <c r="S193" s="29">
        <v>0.1</v>
      </c>
      <c r="T193" s="30">
        <v>0.2</v>
      </c>
      <c r="U193" s="30">
        <v>0.3</v>
      </c>
      <c r="V193" s="30">
        <v>0.1</v>
      </c>
      <c r="W193" s="208"/>
      <c r="X193" s="210"/>
      <c r="Y193" s="22">
        <v>10.4</v>
      </c>
      <c r="Z193" s="22">
        <v>5.6</v>
      </c>
      <c r="AA193" s="22">
        <v>7.3</v>
      </c>
      <c r="AB193" s="208"/>
      <c r="AC193" s="33" t="s">
        <v>20</v>
      </c>
      <c r="AD193" s="33" t="s">
        <v>21</v>
      </c>
      <c r="AE193" s="33" t="s">
        <v>22</v>
      </c>
      <c r="AF193" s="33" t="s">
        <v>23</v>
      </c>
      <c r="AG193" s="206"/>
      <c r="AH193" s="4"/>
    </row>
    <row r="194" spans="1:34" x14ac:dyDescent="0.25">
      <c r="B194" s="7"/>
      <c r="C194" s="8"/>
      <c r="D194" s="9">
        <v>0</v>
      </c>
      <c r="E194" s="9">
        <v>1</v>
      </c>
      <c r="F194" s="9">
        <v>2</v>
      </c>
      <c r="G194" s="9" t="s">
        <v>24</v>
      </c>
      <c r="H194" s="9" t="s">
        <v>25</v>
      </c>
      <c r="I194" s="9" t="s">
        <v>26</v>
      </c>
      <c r="J194" s="9" t="s">
        <v>27</v>
      </c>
      <c r="K194" s="25" t="s">
        <v>60</v>
      </c>
      <c r="L194" s="9" t="s">
        <v>61</v>
      </c>
      <c r="M194" s="9" t="s">
        <v>61</v>
      </c>
      <c r="N194" s="9" t="s">
        <v>62</v>
      </c>
      <c r="O194" s="9" t="s">
        <v>63</v>
      </c>
      <c r="P194" s="9" t="s">
        <v>63</v>
      </c>
      <c r="Q194" s="9" t="s">
        <v>63</v>
      </c>
      <c r="R194" s="9">
        <v>9</v>
      </c>
      <c r="S194" s="31" t="s">
        <v>161</v>
      </c>
      <c r="T194" s="31" t="s">
        <v>162</v>
      </c>
      <c r="U194" s="31" t="s">
        <v>163</v>
      </c>
      <c r="V194" s="31" t="s">
        <v>164</v>
      </c>
      <c r="W194" s="31" t="s">
        <v>64</v>
      </c>
      <c r="X194" s="9" t="s">
        <v>65</v>
      </c>
      <c r="Y194" s="9" t="s">
        <v>66</v>
      </c>
      <c r="Z194" s="9" t="s">
        <v>67</v>
      </c>
      <c r="AA194" s="9" t="s">
        <v>246</v>
      </c>
      <c r="AB194" s="9" t="s">
        <v>240</v>
      </c>
      <c r="AC194" s="9">
        <v>16</v>
      </c>
      <c r="AD194" s="31" t="s">
        <v>158</v>
      </c>
      <c r="AE194" s="31" t="s">
        <v>159</v>
      </c>
      <c r="AF194" s="31" t="s">
        <v>160</v>
      </c>
      <c r="AG194" s="9">
        <v>17</v>
      </c>
      <c r="AH194" s="4"/>
    </row>
    <row r="195" spans="1:34" x14ac:dyDescent="0.25">
      <c r="A195" s="1" t="s">
        <v>227</v>
      </c>
      <c r="B195" s="35">
        <v>1</v>
      </c>
      <c r="C195" s="35" t="s">
        <v>133</v>
      </c>
      <c r="D195" s="36">
        <v>2</v>
      </c>
      <c r="E195" s="35">
        <v>87.95</v>
      </c>
      <c r="F195" s="37">
        <f>+E195*1193.52</f>
        <v>104970.084</v>
      </c>
      <c r="G195" s="37">
        <f>+F195/60</f>
        <v>1749.5014000000001</v>
      </c>
      <c r="H195" s="37">
        <f>+F195*1.5%</f>
        <v>1574.55126</v>
      </c>
      <c r="I195" s="37">
        <f>+F195*0.5%</f>
        <v>524.85041999999999</v>
      </c>
      <c r="J195" s="37">
        <f>+G195+H195+I195</f>
        <v>3848.90308</v>
      </c>
      <c r="K195" s="37">
        <f>+J195/12</f>
        <v>320.74192333333332</v>
      </c>
      <c r="L195" s="37"/>
      <c r="M195" s="37">
        <f>J195*(100%+5.6%)</f>
        <v>4064.4416524800004</v>
      </c>
      <c r="N195" s="37">
        <f>+K195*N193</f>
        <v>224.51934633333332</v>
      </c>
      <c r="O195" s="37">
        <f>+N195*O193</f>
        <v>179.61547706666667</v>
      </c>
      <c r="P195" s="37">
        <f>+N195*P193</f>
        <v>202.06741169999998</v>
      </c>
      <c r="Q195" s="37">
        <f>+N195*Q193</f>
        <v>224.51934633333332</v>
      </c>
      <c r="R195" s="37">
        <v>1585.02</v>
      </c>
      <c r="S195" s="37">
        <f>R195*S193</f>
        <v>158.50200000000001</v>
      </c>
      <c r="T195" s="37">
        <v>0</v>
      </c>
      <c r="U195" s="37">
        <v>0</v>
      </c>
      <c r="V195" s="37">
        <v>0</v>
      </c>
      <c r="W195" s="37">
        <f>O195</f>
        <v>179.61547706666667</v>
      </c>
      <c r="X195" s="37">
        <v>2155.44</v>
      </c>
      <c r="Y195" s="37">
        <v>2379.61</v>
      </c>
      <c r="Z195" s="37">
        <v>2512.87</v>
      </c>
      <c r="AA195" s="37">
        <f>Z195*(100+7.3)%</f>
        <v>2696.3095099999996</v>
      </c>
      <c r="AB195" s="37">
        <f>AA195/12</f>
        <v>224.69245916666662</v>
      </c>
      <c r="AC195" s="37">
        <f>K195</f>
        <v>320.74192333333332</v>
      </c>
      <c r="AD195" s="143">
        <f>S195</f>
        <v>158.50200000000001</v>
      </c>
      <c r="AE195" s="37">
        <f>G195/12</f>
        <v>145.79178333333334</v>
      </c>
      <c r="AF195" s="47">
        <f>AE195/AC195*100</f>
        <v>45.45454545454546</v>
      </c>
      <c r="AG195" s="185">
        <f>AD195*AF195%</f>
        <v>72.046363636363651</v>
      </c>
      <c r="AH195" s="4"/>
    </row>
    <row r="196" spans="1:34" x14ac:dyDescent="0.25">
      <c r="A196" s="1" t="s">
        <v>228</v>
      </c>
      <c r="B196" s="35">
        <v>2</v>
      </c>
      <c r="C196" s="35" t="s">
        <v>134</v>
      </c>
      <c r="D196" s="36">
        <v>2</v>
      </c>
      <c r="E196" s="35">
        <v>86.82</v>
      </c>
      <c r="F196" s="37">
        <f>+E196*1193.52</f>
        <v>103621.40639999999</v>
      </c>
      <c r="G196" s="37">
        <v>1727.03</v>
      </c>
      <c r="H196" s="37">
        <f>+F196*1.5%</f>
        <v>1554.3210959999999</v>
      </c>
      <c r="I196" s="37">
        <f>+F196*0.5%</f>
        <v>518.107032</v>
      </c>
      <c r="J196" s="37">
        <f>+G196+H196+I196</f>
        <v>3799.4581279999998</v>
      </c>
      <c r="K196" s="37">
        <f>+J196/12</f>
        <v>316.62151066666667</v>
      </c>
      <c r="L196" s="37"/>
      <c r="M196" s="37">
        <f>J196*(100%+5.6%)</f>
        <v>4012.2277831679999</v>
      </c>
      <c r="N196" s="37">
        <v>221.63</v>
      </c>
      <c r="O196" s="37">
        <f>+N196*O193</f>
        <v>177.304</v>
      </c>
      <c r="P196" s="37">
        <f>+N196*P193</f>
        <v>199.46700000000001</v>
      </c>
      <c r="Q196" s="37">
        <f>+N196*Q193</f>
        <v>221.63</v>
      </c>
      <c r="R196" s="143" t="s">
        <v>251</v>
      </c>
      <c r="S196" s="143">
        <v>0</v>
      </c>
      <c r="T196" s="143">
        <v>0</v>
      </c>
      <c r="U196" s="143">
        <v>0</v>
      </c>
      <c r="V196" s="143">
        <v>0</v>
      </c>
      <c r="W196" s="143">
        <f>N196</f>
        <v>221.63</v>
      </c>
      <c r="X196" s="143">
        <f>W196*12</f>
        <v>2659.56</v>
      </c>
      <c r="Y196" s="143">
        <f>X196*(100+10.4)%</f>
        <v>2936.1542400000003</v>
      </c>
      <c r="Z196" s="143">
        <f>Y196*(100+5.6)%-0.01</f>
        <v>3100.5688774400001</v>
      </c>
      <c r="AA196" s="143">
        <f>Z196*(100+7.3)%</f>
        <v>3326.9104054931199</v>
      </c>
      <c r="AB196" s="143">
        <f>AA196/12</f>
        <v>277.24253379109331</v>
      </c>
      <c r="AC196" s="143">
        <f t="shared" ref="AC196:AC199" si="107">K196</f>
        <v>316.62151066666667</v>
      </c>
      <c r="AD196" s="143">
        <f>AB196</f>
        <v>277.24253379109331</v>
      </c>
      <c r="AE196" s="37">
        <f t="shared" ref="AE196:AE199" si="108">G196/12</f>
        <v>143.91916666666665</v>
      </c>
      <c r="AF196" s="47">
        <f t="shared" ref="AF196:AF199" si="109">AE196/AC196*100</f>
        <v>45.454639630654192</v>
      </c>
      <c r="AG196" s="185">
        <f>AD196*AF196%-0.01</f>
        <v>126.00959463763614</v>
      </c>
      <c r="AH196" s="4"/>
    </row>
    <row r="197" spans="1:34" x14ac:dyDescent="0.25">
      <c r="A197" s="1" t="s">
        <v>249</v>
      </c>
      <c r="B197" s="35">
        <v>3</v>
      </c>
      <c r="C197" s="35" t="s">
        <v>135</v>
      </c>
      <c r="D197" s="36">
        <v>2</v>
      </c>
      <c r="E197" s="35">
        <v>87.51</v>
      </c>
      <c r="F197" s="37">
        <f>+E197*1193.52</f>
        <v>104444.93520000001</v>
      </c>
      <c r="G197" s="37">
        <f>+F197/60</f>
        <v>1740.7489200000002</v>
      </c>
      <c r="H197" s="37">
        <v>1566.68</v>
      </c>
      <c r="I197" s="37">
        <v>522.23</v>
      </c>
      <c r="J197" s="37">
        <f>+G197+H197+I197</f>
        <v>3829.6589200000003</v>
      </c>
      <c r="K197" s="37">
        <f>+J197/12</f>
        <v>319.13824333333338</v>
      </c>
      <c r="L197" s="37"/>
      <c r="M197" s="37">
        <f>J197*(100%+5.6%)</f>
        <v>4044.1198195200004</v>
      </c>
      <c r="N197" s="37">
        <f>+K197*N193</f>
        <v>223.39677033333336</v>
      </c>
      <c r="O197" s="37">
        <f>+N197*O193</f>
        <v>178.7174162666667</v>
      </c>
      <c r="P197" s="37">
        <f>+N197*P193</f>
        <v>201.05709330000002</v>
      </c>
      <c r="Q197" s="37">
        <f>+N197*Q193</f>
        <v>223.39677033333336</v>
      </c>
      <c r="R197" s="37">
        <v>1392.61</v>
      </c>
      <c r="S197" s="37">
        <f>R197*S193</f>
        <v>139.261</v>
      </c>
      <c r="T197" s="37">
        <v>0</v>
      </c>
      <c r="U197" s="37">
        <v>0</v>
      </c>
      <c r="V197" s="37">
        <v>0</v>
      </c>
      <c r="W197" s="37">
        <f>O197</f>
        <v>178.7174162666667</v>
      </c>
      <c r="X197" s="37">
        <f>W197*12+0.03</f>
        <v>2144.6389952000004</v>
      </c>
      <c r="Y197" s="37">
        <f>X197*(100+10.4)%</f>
        <v>2367.6814507008007</v>
      </c>
      <c r="Z197" s="37">
        <f>Y197*(100+5.6)%</f>
        <v>2500.2716119400457</v>
      </c>
      <c r="AA197" s="37">
        <f>Z197*(100+7.3)%</f>
        <v>2682.7914396116689</v>
      </c>
      <c r="AB197" s="37">
        <f>AA197/12</f>
        <v>223.56595330097241</v>
      </c>
      <c r="AC197" s="37">
        <f t="shared" si="107"/>
        <v>319.13824333333338</v>
      </c>
      <c r="AD197" s="143">
        <f>S197</f>
        <v>139.261</v>
      </c>
      <c r="AE197" s="37">
        <f t="shared" si="108"/>
        <v>145.06241000000003</v>
      </c>
      <c r="AF197" s="47">
        <f t="shared" si="109"/>
        <v>45.454411381366569</v>
      </c>
      <c r="AG197" s="185">
        <f>AD197*AF197%-0.01</f>
        <v>63.290267833804897</v>
      </c>
      <c r="AH197" s="4"/>
    </row>
    <row r="198" spans="1:34" x14ac:dyDescent="0.25">
      <c r="A198" s="1" t="s">
        <v>229</v>
      </c>
      <c r="B198" s="35">
        <v>4</v>
      </c>
      <c r="C198" s="35" t="s">
        <v>136</v>
      </c>
      <c r="D198" s="36">
        <v>2</v>
      </c>
      <c r="E198" s="35">
        <v>92.99</v>
      </c>
      <c r="F198" s="37">
        <f>+E198*1193.52</f>
        <v>110985.42479999999</v>
      </c>
      <c r="G198" s="37">
        <f>+F198/60</f>
        <v>1849.7570799999999</v>
      </c>
      <c r="H198" s="37">
        <f>+F198*1.5%</f>
        <v>1664.7813719999999</v>
      </c>
      <c r="I198" s="37">
        <f>+F198*0.5%</f>
        <v>554.92712399999994</v>
      </c>
      <c r="J198" s="37">
        <f>+G198+H198+I198</f>
        <v>4069.4655759999996</v>
      </c>
      <c r="K198" s="37">
        <f>+J198/12</f>
        <v>339.1221313333333</v>
      </c>
      <c r="L198" s="37"/>
      <c r="M198" s="37">
        <f>J198*(100%+5.6%)</f>
        <v>4297.3556482559998</v>
      </c>
      <c r="N198" s="37">
        <v>237.38</v>
      </c>
      <c r="O198" s="37">
        <f>+N198*O193</f>
        <v>189.904</v>
      </c>
      <c r="P198" s="37">
        <f>+N198*P193</f>
        <v>213.642</v>
      </c>
      <c r="Q198" s="37">
        <f>+N198*Q193</f>
        <v>237.38</v>
      </c>
      <c r="R198" s="143" t="s">
        <v>251</v>
      </c>
      <c r="S198" s="143">
        <v>0</v>
      </c>
      <c r="T198" s="143">
        <v>0</v>
      </c>
      <c r="U198" s="143">
        <v>0</v>
      </c>
      <c r="V198" s="143">
        <v>0</v>
      </c>
      <c r="W198" s="143">
        <f>N198</f>
        <v>237.38</v>
      </c>
      <c r="X198" s="143">
        <f>W198*12</f>
        <v>2848.56</v>
      </c>
      <c r="Y198" s="143">
        <f>X198*(100+10.4)%</f>
        <v>3144.8102400000002</v>
      </c>
      <c r="Z198" s="143">
        <f>Y198*(100+5.6)%</f>
        <v>3320.9196134400004</v>
      </c>
      <c r="AA198" s="143">
        <f>Z198*(100+7.3)%</f>
        <v>3563.3467452211203</v>
      </c>
      <c r="AB198" s="143">
        <f>AA198/12</f>
        <v>296.94556210176</v>
      </c>
      <c r="AC198" s="143">
        <f t="shared" si="107"/>
        <v>339.1221313333333</v>
      </c>
      <c r="AD198" s="143">
        <f>AB198</f>
        <v>296.94556210176</v>
      </c>
      <c r="AE198" s="37">
        <f t="shared" si="108"/>
        <v>154.14642333333333</v>
      </c>
      <c r="AF198" s="47">
        <f t="shared" si="109"/>
        <v>45.45454545454546</v>
      </c>
      <c r="AG198" s="185">
        <f>AD198*AF198%-0.02</f>
        <v>134.95525550080001</v>
      </c>
      <c r="AH198" s="4"/>
    </row>
    <row r="199" spans="1:34" x14ac:dyDescent="0.25">
      <c r="A199" s="1" t="s">
        <v>230</v>
      </c>
      <c r="B199" s="35">
        <v>5</v>
      </c>
      <c r="C199" s="35" t="s">
        <v>137</v>
      </c>
      <c r="D199" s="36">
        <v>2</v>
      </c>
      <c r="E199" s="35">
        <v>101.07</v>
      </c>
      <c r="F199" s="37">
        <f>+E199*1193.52</f>
        <v>120629.0664</v>
      </c>
      <c r="G199" s="37">
        <v>2010.49</v>
      </c>
      <c r="H199" s="37">
        <f>+F199*1.5%</f>
        <v>1809.4359959999999</v>
      </c>
      <c r="I199" s="37">
        <f>+F199*0.5%</f>
        <v>603.14533199999994</v>
      </c>
      <c r="J199" s="37">
        <v>4423.08</v>
      </c>
      <c r="K199" s="37">
        <f>+J199/12</f>
        <v>368.59</v>
      </c>
      <c r="L199" s="37"/>
      <c r="M199" s="37">
        <f>J199*(100%+5.6%)</f>
        <v>4670.7724800000005</v>
      </c>
      <c r="N199" s="37">
        <f>+K199*N193</f>
        <v>258.01299999999998</v>
      </c>
      <c r="O199" s="37">
        <f>+N199*O193</f>
        <v>206.41039999999998</v>
      </c>
      <c r="P199" s="37">
        <f>+N199*P193</f>
        <v>232.21169999999998</v>
      </c>
      <c r="Q199" s="37">
        <f>+N199*Q193</f>
        <v>258.01299999999998</v>
      </c>
      <c r="R199" s="143" t="s">
        <v>251</v>
      </c>
      <c r="S199" s="143">
        <v>0</v>
      </c>
      <c r="T199" s="143">
        <v>0</v>
      </c>
      <c r="U199" s="143">
        <v>0</v>
      </c>
      <c r="V199" s="143">
        <v>0</v>
      </c>
      <c r="W199" s="143">
        <f>N199</f>
        <v>258.01299999999998</v>
      </c>
      <c r="X199" s="143">
        <f>W199*12-0.04</f>
        <v>3096.116</v>
      </c>
      <c r="Y199" s="143">
        <f>X199*(100+10.4)%+0.01</f>
        <v>3418.1220640000006</v>
      </c>
      <c r="Z199" s="143">
        <f>Y199*(100+5.6)%-0.01</f>
        <v>3609.5268995840006</v>
      </c>
      <c r="AA199" s="143">
        <f>Z199*(100+7.3)%+0.01</f>
        <v>3873.0323632536329</v>
      </c>
      <c r="AB199" s="143">
        <f>AA199/12</f>
        <v>322.75269693780274</v>
      </c>
      <c r="AC199" s="143">
        <f t="shared" si="107"/>
        <v>368.59</v>
      </c>
      <c r="AD199" s="143">
        <f>AB199</f>
        <v>322.75269693780274</v>
      </c>
      <c r="AE199" s="37">
        <f t="shared" si="108"/>
        <v>167.54083333333332</v>
      </c>
      <c r="AF199" s="47">
        <f t="shared" si="109"/>
        <v>45.454524901200074</v>
      </c>
      <c r="AG199" s="185">
        <f>AD199*AF199%-0.02</f>
        <v>146.68570499888833</v>
      </c>
      <c r="AH199" s="4"/>
    </row>
    <row r="200" spans="1:34" x14ac:dyDescent="0.25">
      <c r="B200" s="176"/>
      <c r="C200" s="248" t="s">
        <v>77</v>
      </c>
      <c r="D200" s="248"/>
      <c r="E200" s="177">
        <f>SUM(E195:E199)</f>
        <v>456.34</v>
      </c>
      <c r="F200" s="177">
        <f>SUM(F195:F199)</f>
        <v>544650.91680000001</v>
      </c>
      <c r="G200" s="177">
        <f>SUM(G195:G199)</f>
        <v>9077.527399999999</v>
      </c>
      <c r="H200" s="177">
        <f>SUM(H195:H199)</f>
        <v>8169.7697239999998</v>
      </c>
      <c r="I200" s="177">
        <f>SUM(I195:I199)+0.01</f>
        <v>2723.2699080000002</v>
      </c>
      <c r="J200" s="177">
        <f>SUM(J195:J199)</f>
        <v>19970.565704000001</v>
      </c>
      <c r="K200" s="177">
        <f>SUM(K195:K199)</f>
        <v>1664.2138086666666</v>
      </c>
      <c r="L200" s="177"/>
      <c r="M200" s="177">
        <f>SUM(M195:M199)</f>
        <v>21088.917383423999</v>
      </c>
      <c r="N200" s="177">
        <f>SUM(N195:N199)</f>
        <v>1164.9391166666667</v>
      </c>
      <c r="O200" s="177">
        <f>SUM(O195:O199)</f>
        <v>931.9512933333333</v>
      </c>
      <c r="P200" s="177">
        <f>SUM(P195:P199)</f>
        <v>1048.445205</v>
      </c>
      <c r="Q200" s="177">
        <f>SUM(Q195:Q199)</f>
        <v>1164.9391166666667</v>
      </c>
      <c r="R200" s="177"/>
      <c r="S200" s="177">
        <f>SUM(S195:S199)</f>
        <v>297.76300000000003</v>
      </c>
      <c r="T200" s="177">
        <f t="shared" ref="T200:AG200" si="110">SUM(T195:T199)</f>
        <v>0</v>
      </c>
      <c r="U200" s="177">
        <f t="shared" si="110"/>
        <v>0</v>
      </c>
      <c r="V200" s="177">
        <f t="shared" si="110"/>
        <v>0</v>
      </c>
      <c r="W200" s="177">
        <f t="shared" si="110"/>
        <v>1075.3558933333334</v>
      </c>
      <c r="X200" s="177">
        <f t="shared" si="110"/>
        <v>12904.3149952</v>
      </c>
      <c r="Y200" s="177">
        <f t="shared" si="110"/>
        <v>14246.377994700802</v>
      </c>
      <c r="Z200" s="177">
        <f t="shared" si="110"/>
        <v>15044.157002404045</v>
      </c>
      <c r="AA200" s="177">
        <f t="shared" si="110"/>
        <v>16142.390463579542</v>
      </c>
      <c r="AB200" s="177">
        <f t="shared" si="110"/>
        <v>1345.1992052982951</v>
      </c>
      <c r="AC200" s="177">
        <f t="shared" si="110"/>
        <v>1664.2138086666666</v>
      </c>
      <c r="AD200" s="177">
        <f t="shared" si="110"/>
        <v>1194.7037928306561</v>
      </c>
      <c r="AE200" s="177">
        <f t="shared" si="110"/>
        <v>756.46061666666674</v>
      </c>
      <c r="AF200" s="177">
        <f>SUM(AF195:AF199)-0.02</f>
        <v>227.25266682231174</v>
      </c>
      <c r="AG200" s="177">
        <f t="shared" si="110"/>
        <v>542.98718660749307</v>
      </c>
      <c r="AH200" s="4"/>
    </row>
    <row r="201" spans="1:34" x14ac:dyDescent="0.25">
      <c r="B201" s="4"/>
      <c r="C201" s="52"/>
      <c r="D201" s="52"/>
      <c r="E201" s="41"/>
      <c r="F201" s="41"/>
      <c r="G201" s="41"/>
      <c r="H201" s="41"/>
      <c r="I201" s="56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"/>
    </row>
    <row r="202" spans="1:34" x14ac:dyDescent="0.25">
      <c r="B202" s="4"/>
      <c r="C202" s="52"/>
      <c r="D202" s="52"/>
      <c r="E202" s="41"/>
      <c r="F202" s="41"/>
      <c r="G202" s="41"/>
      <c r="H202" s="41"/>
      <c r="I202" s="56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"/>
    </row>
    <row r="203" spans="1:34" x14ac:dyDescent="0.25">
      <c r="B203" s="4"/>
      <c r="C203" s="52"/>
      <c r="D203" s="52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"/>
    </row>
    <row r="204" spans="1:34" ht="20.25" x14ac:dyDescent="0.25">
      <c r="C204" s="223" t="s">
        <v>138</v>
      </c>
      <c r="D204" s="223"/>
      <c r="E204" s="223"/>
      <c r="F204" s="223"/>
      <c r="G204" s="223"/>
      <c r="H204" s="223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"/>
    </row>
    <row r="205" spans="1:34" x14ac:dyDescent="0.25">
      <c r="B205" s="4"/>
      <c r="C205" s="52"/>
      <c r="D205" s="52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"/>
    </row>
    <row r="206" spans="1:34" ht="20.25" x14ac:dyDescent="0.25">
      <c r="B206" s="4"/>
      <c r="C206" s="224" t="s">
        <v>0</v>
      </c>
      <c r="D206" s="224"/>
      <c r="E206" s="42"/>
      <c r="F206" s="42"/>
      <c r="G206" s="4"/>
      <c r="H206" s="4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"/>
    </row>
    <row r="207" spans="1:34" x14ac:dyDescent="0.25">
      <c r="B207" s="4"/>
      <c r="C207" s="52"/>
      <c r="D207" s="52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"/>
    </row>
    <row r="208" spans="1:34" ht="113.1" customHeight="1" x14ac:dyDescent="0.25">
      <c r="B208" s="215" t="s">
        <v>1</v>
      </c>
      <c r="C208" s="217" t="s">
        <v>56</v>
      </c>
      <c r="D208" s="209" t="s">
        <v>3</v>
      </c>
      <c r="E208" s="209" t="s">
        <v>4</v>
      </c>
      <c r="F208" s="209" t="s">
        <v>5</v>
      </c>
      <c r="G208" s="209" t="s">
        <v>6</v>
      </c>
      <c r="H208" s="209" t="s">
        <v>7</v>
      </c>
      <c r="I208" s="209" t="s">
        <v>8</v>
      </c>
      <c r="J208" s="209" t="s">
        <v>9</v>
      </c>
      <c r="K208" s="209" t="s">
        <v>57</v>
      </c>
      <c r="L208" s="22" t="s">
        <v>10</v>
      </c>
      <c r="M208" s="22" t="s">
        <v>10</v>
      </c>
      <c r="N208" s="22" t="s">
        <v>12</v>
      </c>
      <c r="O208" s="211" t="s">
        <v>13</v>
      </c>
      <c r="P208" s="212"/>
      <c r="Q208" s="213"/>
      <c r="R208" s="209" t="s">
        <v>14</v>
      </c>
      <c r="S208" s="225" t="s">
        <v>58</v>
      </c>
      <c r="T208" s="226"/>
      <c r="U208" s="226"/>
      <c r="V208" s="227"/>
      <c r="W208" s="207" t="s">
        <v>21</v>
      </c>
      <c r="X208" s="209" t="s">
        <v>9</v>
      </c>
      <c r="Y208" s="22" t="s">
        <v>242</v>
      </c>
      <c r="Z208" s="22" t="s">
        <v>243</v>
      </c>
      <c r="AA208" s="22" t="s">
        <v>156</v>
      </c>
      <c r="AB208" s="207" t="s">
        <v>59</v>
      </c>
      <c r="AC208" s="228" t="s">
        <v>18</v>
      </c>
      <c r="AD208" s="229"/>
      <c r="AE208" s="229"/>
      <c r="AF208" s="229"/>
      <c r="AG208" s="205" t="s">
        <v>19</v>
      </c>
      <c r="AH208" s="4"/>
    </row>
    <row r="209" spans="1:34" ht="51" x14ac:dyDescent="0.25">
      <c r="B209" s="216"/>
      <c r="C209" s="218"/>
      <c r="D209" s="210"/>
      <c r="E209" s="210"/>
      <c r="F209" s="210"/>
      <c r="G209" s="210"/>
      <c r="H209" s="210"/>
      <c r="I209" s="210"/>
      <c r="J209" s="210"/>
      <c r="K209" s="210"/>
      <c r="L209" s="22">
        <v>5.6</v>
      </c>
      <c r="M209" s="22">
        <v>5.6</v>
      </c>
      <c r="N209" s="22">
        <v>0.7</v>
      </c>
      <c r="O209" s="23">
        <v>0.8</v>
      </c>
      <c r="P209" s="24">
        <v>0.9</v>
      </c>
      <c r="Q209" s="28">
        <v>1</v>
      </c>
      <c r="R209" s="210"/>
      <c r="S209" s="29">
        <v>0.1</v>
      </c>
      <c r="T209" s="30">
        <v>0.2</v>
      </c>
      <c r="U209" s="30">
        <v>0.3</v>
      </c>
      <c r="V209" s="30">
        <v>0.1</v>
      </c>
      <c r="W209" s="208"/>
      <c r="X209" s="210"/>
      <c r="Y209" s="22">
        <v>10.4</v>
      </c>
      <c r="Z209" s="22">
        <v>5.6</v>
      </c>
      <c r="AA209" s="22">
        <v>7.3</v>
      </c>
      <c r="AB209" s="208"/>
      <c r="AC209" s="33" t="s">
        <v>20</v>
      </c>
      <c r="AD209" s="33" t="s">
        <v>21</v>
      </c>
      <c r="AE209" s="33" t="s">
        <v>22</v>
      </c>
      <c r="AF209" s="33" t="s">
        <v>23</v>
      </c>
      <c r="AG209" s="206"/>
      <c r="AH209" s="4"/>
    </row>
    <row r="210" spans="1:34" x14ac:dyDescent="0.25">
      <c r="B210" s="7"/>
      <c r="C210" s="8"/>
      <c r="D210" s="9">
        <v>0</v>
      </c>
      <c r="E210" s="9">
        <v>1</v>
      </c>
      <c r="F210" s="9">
        <v>2</v>
      </c>
      <c r="G210" s="9" t="s">
        <v>24</v>
      </c>
      <c r="H210" s="9" t="s">
        <v>25</v>
      </c>
      <c r="I210" s="9" t="s">
        <v>26</v>
      </c>
      <c r="J210" s="9" t="s">
        <v>27</v>
      </c>
      <c r="K210" s="25" t="s">
        <v>60</v>
      </c>
      <c r="L210" s="9" t="s">
        <v>61</v>
      </c>
      <c r="M210" s="9" t="s">
        <v>61</v>
      </c>
      <c r="N210" s="9" t="s">
        <v>62</v>
      </c>
      <c r="O210" s="9" t="s">
        <v>63</v>
      </c>
      <c r="P210" s="9" t="s">
        <v>63</v>
      </c>
      <c r="Q210" s="9" t="s">
        <v>63</v>
      </c>
      <c r="R210" s="9">
        <v>9</v>
      </c>
      <c r="S210" s="31" t="s">
        <v>161</v>
      </c>
      <c r="T210" s="31" t="s">
        <v>162</v>
      </c>
      <c r="U210" s="31" t="s">
        <v>163</v>
      </c>
      <c r="V210" s="31" t="s">
        <v>164</v>
      </c>
      <c r="W210" s="31" t="s">
        <v>64</v>
      </c>
      <c r="X210" s="9" t="s">
        <v>65</v>
      </c>
      <c r="Y210" s="9" t="s">
        <v>66</v>
      </c>
      <c r="Z210" s="9" t="s">
        <v>67</v>
      </c>
      <c r="AA210" s="9" t="s">
        <v>246</v>
      </c>
      <c r="AB210" s="9" t="s">
        <v>240</v>
      </c>
      <c r="AC210" s="9">
        <v>16</v>
      </c>
      <c r="AD210" s="31" t="s">
        <v>158</v>
      </c>
      <c r="AE210" s="31" t="s">
        <v>159</v>
      </c>
      <c r="AF210" s="31" t="s">
        <v>160</v>
      </c>
      <c r="AG210" s="9">
        <v>17</v>
      </c>
      <c r="AH210" s="4"/>
    </row>
    <row r="211" spans="1:34" x14ac:dyDescent="0.25">
      <c r="A211" s="1" t="s">
        <v>239</v>
      </c>
      <c r="B211" s="35">
        <v>1</v>
      </c>
      <c r="C211" s="35" t="s">
        <v>139</v>
      </c>
      <c r="D211" s="36">
        <v>1</v>
      </c>
      <c r="E211" s="37">
        <v>64.61</v>
      </c>
      <c r="F211" s="128">
        <f t="shared" ref="F211:F219" si="111">E211*1192.91</f>
        <v>77073.915099999998</v>
      </c>
      <c r="G211" s="128">
        <f t="shared" ref="G211:G219" si="112">+F211/60</f>
        <v>1284.5652516666667</v>
      </c>
      <c r="H211" s="128">
        <f t="shared" ref="H211:H219" si="113">+F211*1.5%</f>
        <v>1156.1087264999999</v>
      </c>
      <c r="I211" s="128">
        <v>0</v>
      </c>
      <c r="J211" s="128">
        <f t="shared" ref="J211:J219" si="114">+G211+H211+I211</f>
        <v>2440.6739781666665</v>
      </c>
      <c r="K211" s="128">
        <f>J211/12</f>
        <v>203.38949818055553</v>
      </c>
      <c r="L211" s="128"/>
      <c r="M211" s="128">
        <f t="shared" ref="M211:M219" si="115">J211*(100%+5.6%)</f>
        <v>2577.3517209440001</v>
      </c>
      <c r="N211" s="128">
        <f>+K211*N209</f>
        <v>142.37264872638886</v>
      </c>
      <c r="O211" s="128">
        <f>N211*O209</f>
        <v>113.8981189811111</v>
      </c>
      <c r="P211" s="128">
        <f>+N211*P209</f>
        <v>128.13538385374997</v>
      </c>
      <c r="Q211" s="128">
        <f>+N211*Q209</f>
        <v>142.37264872638886</v>
      </c>
      <c r="R211" s="128">
        <v>1069.5</v>
      </c>
      <c r="S211" s="128">
        <f>R211*S209</f>
        <v>106.95</v>
      </c>
      <c r="T211" s="128">
        <v>0</v>
      </c>
      <c r="U211" s="128">
        <v>0</v>
      </c>
      <c r="V211" s="128">
        <v>0</v>
      </c>
      <c r="W211" s="128">
        <v>106.95</v>
      </c>
      <c r="X211" s="128">
        <f>W211*12</f>
        <v>1283.4000000000001</v>
      </c>
      <c r="Y211" s="128">
        <v>0</v>
      </c>
      <c r="Z211" s="128">
        <v>0</v>
      </c>
      <c r="AA211" s="128">
        <v>0</v>
      </c>
      <c r="AB211" s="128">
        <f>X211/12</f>
        <v>106.95</v>
      </c>
      <c r="AC211" s="128">
        <f>K211</f>
        <v>203.38949818055553</v>
      </c>
      <c r="AD211" s="139">
        <f>AB211</f>
        <v>106.95</v>
      </c>
      <c r="AE211" s="128">
        <f>G211/12</f>
        <v>107.04710430555555</v>
      </c>
      <c r="AF211" s="130">
        <f>AE211/AC211*100</f>
        <v>52.631578947368418</v>
      </c>
      <c r="AG211" s="131">
        <f>AD211*AF211%</f>
        <v>56.289473684210527</v>
      </c>
      <c r="AH211" s="51"/>
    </row>
    <row r="212" spans="1:34" x14ac:dyDescent="0.25">
      <c r="A212" s="1" t="s">
        <v>231</v>
      </c>
      <c r="B212" s="35">
        <v>2</v>
      </c>
      <c r="C212" s="35" t="s">
        <v>140</v>
      </c>
      <c r="D212" s="36">
        <v>1</v>
      </c>
      <c r="E212" s="32">
        <v>63.27</v>
      </c>
      <c r="F212" s="128">
        <f t="shared" si="111"/>
        <v>75475.415700000012</v>
      </c>
      <c r="G212" s="128">
        <f t="shared" si="112"/>
        <v>1257.9235950000002</v>
      </c>
      <c r="H212" s="128">
        <f t="shared" si="113"/>
        <v>1132.1312355000002</v>
      </c>
      <c r="I212" s="128">
        <v>0</v>
      </c>
      <c r="J212" s="128">
        <f t="shared" si="114"/>
        <v>2390.0548305000002</v>
      </c>
      <c r="K212" s="128">
        <f t="shared" ref="K212:K219" si="116">+J212/12</f>
        <v>199.17123587500001</v>
      </c>
      <c r="L212" s="128"/>
      <c r="M212" s="128">
        <f t="shared" si="115"/>
        <v>2523.8979010080002</v>
      </c>
      <c r="N212" s="128">
        <f>+K212*N209</f>
        <v>139.41986511249999</v>
      </c>
      <c r="O212" s="128">
        <f>N212*O209</f>
        <v>111.53589209</v>
      </c>
      <c r="P212" s="128">
        <f>+N212*P209</f>
        <v>125.47787860125</v>
      </c>
      <c r="Q212" s="128">
        <f>+N212*Q209</f>
        <v>139.41986511249999</v>
      </c>
      <c r="R212" s="128" t="s">
        <v>251</v>
      </c>
      <c r="S212" s="128">
        <v>0</v>
      </c>
      <c r="T212" s="128">
        <v>0</v>
      </c>
      <c r="U212" s="128">
        <v>0</v>
      </c>
      <c r="V212" s="128">
        <v>0</v>
      </c>
      <c r="W212" s="128">
        <f>N212</f>
        <v>139.41986511249999</v>
      </c>
      <c r="X212" s="128">
        <f>W212*12-0.02</f>
        <v>1673.0183813499998</v>
      </c>
      <c r="Y212" s="128">
        <v>0</v>
      </c>
      <c r="Z212" s="128">
        <f>X212*(100+5.6)%</f>
        <v>1766.7074107055998</v>
      </c>
      <c r="AA212" s="128">
        <f>Z212*(100+7.3)%-0.01</f>
        <v>1895.6670516871086</v>
      </c>
      <c r="AB212" s="128">
        <f t="shared" ref="AB212:AB218" si="117">AA212/12</f>
        <v>157.97225430725905</v>
      </c>
      <c r="AC212" s="128">
        <f t="shared" ref="AC212:AC219" si="118">K212</f>
        <v>199.17123587500001</v>
      </c>
      <c r="AD212" s="139">
        <f>AB212</f>
        <v>157.97225430725905</v>
      </c>
      <c r="AE212" s="128">
        <f>G212/12</f>
        <v>104.82696625000001</v>
      </c>
      <c r="AF212" s="130">
        <f>AE212/AC212*100</f>
        <v>52.631578947368432</v>
      </c>
      <c r="AG212" s="131">
        <f>AD212*AF212%+0.01</f>
        <v>83.153291740662681</v>
      </c>
      <c r="AH212" s="51"/>
    </row>
    <row r="213" spans="1:34" x14ac:dyDescent="0.25">
      <c r="A213" s="1" t="s">
        <v>232</v>
      </c>
      <c r="B213" s="35">
        <v>3</v>
      </c>
      <c r="C213" s="35" t="s">
        <v>141</v>
      </c>
      <c r="D213" s="36">
        <v>1</v>
      </c>
      <c r="E213" s="37">
        <v>69.61</v>
      </c>
      <c r="F213" s="128">
        <f t="shared" si="111"/>
        <v>83038.465100000001</v>
      </c>
      <c r="G213" s="128">
        <f t="shared" si="112"/>
        <v>1383.9744183333335</v>
      </c>
      <c r="H213" s="128">
        <f t="shared" si="113"/>
        <v>1245.5769765</v>
      </c>
      <c r="I213" s="128">
        <v>0</v>
      </c>
      <c r="J213" s="128">
        <f t="shared" si="114"/>
        <v>2629.5513948333337</v>
      </c>
      <c r="K213" s="128">
        <f t="shared" si="116"/>
        <v>219.12928290277782</v>
      </c>
      <c r="L213" s="128"/>
      <c r="M213" s="128">
        <f t="shared" si="115"/>
        <v>2776.8062729440003</v>
      </c>
      <c r="N213" s="128">
        <f>+K213*N209</f>
        <v>153.39049803194447</v>
      </c>
      <c r="O213" s="128">
        <f>+N213*O209</f>
        <v>122.71239842555559</v>
      </c>
      <c r="P213" s="128">
        <f>+N213*P209</f>
        <v>138.05144822875002</v>
      </c>
      <c r="Q213" s="128">
        <f>+N213*Q209</f>
        <v>153.39049803194447</v>
      </c>
      <c r="R213" s="128" t="s">
        <v>251</v>
      </c>
      <c r="S213" s="128">
        <v>0</v>
      </c>
      <c r="T213" s="128">
        <v>0</v>
      </c>
      <c r="U213" s="128">
        <v>0</v>
      </c>
      <c r="V213" s="128">
        <v>0</v>
      </c>
      <c r="W213" s="128">
        <f>N213</f>
        <v>153.39049803194447</v>
      </c>
      <c r="X213" s="128">
        <f>W213*12-0.01</f>
        <v>1840.6759763833336</v>
      </c>
      <c r="Y213" s="128">
        <v>0</v>
      </c>
      <c r="Z213" s="128">
        <f>X213*(100+5.6)%+0.01</f>
        <v>1943.7638310608004</v>
      </c>
      <c r="AA213" s="128">
        <f>Z213*(100+7.3)%-0.01</f>
        <v>2085.6485907282386</v>
      </c>
      <c r="AB213" s="128">
        <f t="shared" si="117"/>
        <v>173.8040492273532</v>
      </c>
      <c r="AC213" s="128">
        <f t="shared" si="118"/>
        <v>219.12928290277782</v>
      </c>
      <c r="AD213" s="139">
        <f>AB213</f>
        <v>173.8040492273532</v>
      </c>
      <c r="AE213" s="128">
        <f>G213/12</f>
        <v>115.33120152777779</v>
      </c>
      <c r="AF213" s="130">
        <f t="shared" ref="AF213:AF219" si="119">AE213/AC213*100</f>
        <v>52.631578947368418</v>
      </c>
      <c r="AG213" s="131">
        <f>AD213*AF213%-0.01</f>
        <v>91.465815382817468</v>
      </c>
      <c r="AH213" s="51"/>
    </row>
    <row r="214" spans="1:34" x14ac:dyDescent="0.25">
      <c r="A214" s="66" t="s">
        <v>233</v>
      </c>
      <c r="B214" s="35">
        <v>4</v>
      </c>
      <c r="C214" s="35" t="s">
        <v>142</v>
      </c>
      <c r="D214" s="36">
        <v>1</v>
      </c>
      <c r="E214" s="37">
        <v>70.33</v>
      </c>
      <c r="F214" s="128">
        <f t="shared" si="111"/>
        <v>83897.3603</v>
      </c>
      <c r="G214" s="128">
        <f t="shared" si="112"/>
        <v>1398.2893383333333</v>
      </c>
      <c r="H214" s="128">
        <f t="shared" si="113"/>
        <v>1258.4604044999999</v>
      </c>
      <c r="I214" s="128">
        <v>0</v>
      </c>
      <c r="J214" s="128">
        <f t="shared" si="114"/>
        <v>2656.7497428333331</v>
      </c>
      <c r="K214" s="128">
        <f t="shared" si="116"/>
        <v>221.39581190277775</v>
      </c>
      <c r="L214" s="128"/>
      <c r="M214" s="128">
        <f t="shared" si="115"/>
        <v>2805.527728432</v>
      </c>
      <c r="N214" s="128">
        <f>+K214*N209</f>
        <v>154.97706833194442</v>
      </c>
      <c r="O214" s="128">
        <f>N214*O209</f>
        <v>123.98165466555554</v>
      </c>
      <c r="P214" s="128">
        <f>+N214*P209</f>
        <v>139.47936149875</v>
      </c>
      <c r="Q214" s="128">
        <f>+N214*Q209</f>
        <v>154.97706833194442</v>
      </c>
      <c r="R214" s="128">
        <v>2576.54</v>
      </c>
      <c r="S214" s="128">
        <v>0</v>
      </c>
      <c r="T214" s="128">
        <f>R214*T209</f>
        <v>515.30799999999999</v>
      </c>
      <c r="U214" s="128">
        <v>0</v>
      </c>
      <c r="V214" s="128">
        <v>0</v>
      </c>
      <c r="W214" s="128">
        <f>P214</f>
        <v>139.47936149875</v>
      </c>
      <c r="X214" s="128">
        <f>W214*12+0.01</f>
        <v>1673.7623379849999</v>
      </c>
      <c r="Y214" s="128">
        <v>0</v>
      </c>
      <c r="Z214" s="128">
        <v>0</v>
      </c>
      <c r="AA214" s="128">
        <f>X214*(100+7.3)%</f>
        <v>1795.9469886579047</v>
      </c>
      <c r="AB214" s="128">
        <f t="shared" si="117"/>
        <v>149.66224905482539</v>
      </c>
      <c r="AC214" s="128">
        <f t="shared" si="118"/>
        <v>221.39581190277775</v>
      </c>
      <c r="AD214" s="139">
        <f>AB214</f>
        <v>149.66224905482539</v>
      </c>
      <c r="AE214" s="128">
        <f t="shared" ref="AE214:AE219" si="120">G214/12</f>
        <v>116.52411152777778</v>
      </c>
      <c r="AF214" s="130">
        <f t="shared" si="119"/>
        <v>52.631578947368432</v>
      </c>
      <c r="AG214" s="131">
        <f t="shared" ref="AG214:AG219" si="121">AD214*AF214%</f>
        <v>78.769604765697594</v>
      </c>
      <c r="AH214" s="51"/>
    </row>
    <row r="215" spans="1:34" x14ac:dyDescent="0.25">
      <c r="A215" s="1" t="s">
        <v>234</v>
      </c>
      <c r="B215" s="35">
        <v>5</v>
      </c>
      <c r="C215" s="35" t="s">
        <v>143</v>
      </c>
      <c r="D215" s="36">
        <v>1</v>
      </c>
      <c r="E215" s="37">
        <v>69.12</v>
      </c>
      <c r="F215" s="128">
        <f t="shared" si="111"/>
        <v>82453.939200000008</v>
      </c>
      <c r="G215" s="128">
        <f t="shared" si="112"/>
        <v>1374.2323200000001</v>
      </c>
      <c r="H215" s="128">
        <f t="shared" si="113"/>
        <v>1236.809088</v>
      </c>
      <c r="I215" s="128">
        <v>0</v>
      </c>
      <c r="J215" s="128">
        <f t="shared" si="114"/>
        <v>2611.041408</v>
      </c>
      <c r="K215" s="128">
        <f t="shared" si="116"/>
        <v>217.58678399999999</v>
      </c>
      <c r="L215" s="128"/>
      <c r="M215" s="128">
        <f t="shared" si="115"/>
        <v>2757.2597268480004</v>
      </c>
      <c r="N215" s="128">
        <f>+K215*N209</f>
        <v>152.3107488</v>
      </c>
      <c r="O215" s="128">
        <f>+N215*O209</f>
        <v>121.84859904000001</v>
      </c>
      <c r="P215" s="128">
        <f>+N215*P209</f>
        <v>137.07967392</v>
      </c>
      <c r="Q215" s="128">
        <f>+N215*Q209</f>
        <v>152.3107488</v>
      </c>
      <c r="R215" s="128" t="s">
        <v>251</v>
      </c>
      <c r="S215" s="128">
        <v>0</v>
      </c>
      <c r="T215" s="128">
        <v>0</v>
      </c>
      <c r="U215" s="128">
        <v>0</v>
      </c>
      <c r="V215" s="128">
        <v>0</v>
      </c>
      <c r="W215" s="128">
        <f>N215</f>
        <v>152.3107488</v>
      </c>
      <c r="X215" s="128">
        <f>W215*12-0.01</f>
        <v>1827.7189856</v>
      </c>
      <c r="Y215" s="128">
        <v>0</v>
      </c>
      <c r="Z215" s="128">
        <f>X215*(100+5.6)%</f>
        <v>1930.0712487936</v>
      </c>
      <c r="AA215" s="128">
        <f>Z215*(100+7.3)%</f>
        <v>2070.9664499555329</v>
      </c>
      <c r="AB215" s="128">
        <f t="shared" si="117"/>
        <v>172.5805374962944</v>
      </c>
      <c r="AC215" s="128">
        <f t="shared" si="118"/>
        <v>217.58678399999999</v>
      </c>
      <c r="AD215" s="139">
        <f>AB215</f>
        <v>172.5805374962944</v>
      </c>
      <c r="AE215" s="128">
        <f t="shared" si="120"/>
        <v>114.51936000000001</v>
      </c>
      <c r="AF215" s="130">
        <f t="shared" si="119"/>
        <v>52.631578947368432</v>
      </c>
      <c r="AG215" s="131">
        <f t="shared" si="121"/>
        <v>90.831861840154957</v>
      </c>
      <c r="AH215" s="51"/>
    </row>
    <row r="216" spans="1:34" x14ac:dyDescent="0.25">
      <c r="A216" s="1" t="s">
        <v>235</v>
      </c>
      <c r="B216" s="35">
        <v>6</v>
      </c>
      <c r="C216" s="35" t="s">
        <v>144</v>
      </c>
      <c r="D216" s="36">
        <v>1</v>
      </c>
      <c r="E216" s="37">
        <v>69.099999999999994</v>
      </c>
      <c r="F216" s="128">
        <f t="shared" si="111"/>
        <v>82430.081000000006</v>
      </c>
      <c r="G216" s="128">
        <f t="shared" si="112"/>
        <v>1373.8346833333335</v>
      </c>
      <c r="H216" s="128">
        <f t="shared" si="113"/>
        <v>1236.451215</v>
      </c>
      <c r="I216" s="128">
        <v>0</v>
      </c>
      <c r="J216" s="128">
        <f t="shared" si="114"/>
        <v>2610.2858983333335</v>
      </c>
      <c r="K216" s="128">
        <f t="shared" si="116"/>
        <v>217.52382486111114</v>
      </c>
      <c r="L216" s="128"/>
      <c r="M216" s="128">
        <f t="shared" si="115"/>
        <v>2756.4619086400003</v>
      </c>
      <c r="N216" s="128">
        <f>+K216*N209</f>
        <v>152.26667740277779</v>
      </c>
      <c r="O216" s="128">
        <f>+N216*O209</f>
        <v>121.81334192222224</v>
      </c>
      <c r="P216" s="128">
        <f>+N216*P209</f>
        <v>137.04000966250001</v>
      </c>
      <c r="Q216" s="128">
        <f>+N216*Q209</f>
        <v>152.26667740277779</v>
      </c>
      <c r="R216" s="128">
        <v>1236.92</v>
      </c>
      <c r="S216" s="128">
        <f>R216*S209</f>
        <v>123.69200000000001</v>
      </c>
      <c r="T216" s="128">
        <v>0</v>
      </c>
      <c r="U216" s="128">
        <v>0</v>
      </c>
      <c r="V216" s="128">
        <v>0</v>
      </c>
      <c r="W216" s="128">
        <f>O216</f>
        <v>121.81334192222224</v>
      </c>
      <c r="X216" s="128">
        <f>W216*12-0.04</f>
        <v>1461.720103066667</v>
      </c>
      <c r="Y216" s="128">
        <f>X216*(100+10.4)%</f>
        <v>1613.7389937856005</v>
      </c>
      <c r="Z216" s="128">
        <f>Y216*(100+5.6)%</f>
        <v>1704.1083774375943</v>
      </c>
      <c r="AA216" s="128">
        <f>Z216*(100+7.3)%</f>
        <v>1828.5082889905386</v>
      </c>
      <c r="AB216" s="128">
        <f t="shared" si="117"/>
        <v>152.37569074921154</v>
      </c>
      <c r="AC216" s="128">
        <f t="shared" si="118"/>
        <v>217.52382486111114</v>
      </c>
      <c r="AD216" s="139">
        <f>S216</f>
        <v>123.69200000000001</v>
      </c>
      <c r="AE216" s="128">
        <f t="shared" si="120"/>
        <v>114.48622361111113</v>
      </c>
      <c r="AF216" s="130">
        <f t="shared" si="119"/>
        <v>52.631578947368418</v>
      </c>
      <c r="AG216" s="131">
        <f t="shared" si="121"/>
        <v>65.101052631578952</v>
      </c>
      <c r="AH216" s="51"/>
    </row>
    <row r="217" spans="1:34" x14ac:dyDescent="0.25">
      <c r="A217" s="1" t="s">
        <v>236</v>
      </c>
      <c r="B217" s="35">
        <v>7</v>
      </c>
      <c r="C217" s="35" t="s">
        <v>145</v>
      </c>
      <c r="D217" s="36">
        <v>1</v>
      </c>
      <c r="E217" s="37">
        <v>66.11</v>
      </c>
      <c r="F217" s="128">
        <f t="shared" si="111"/>
        <v>78863.280100000004</v>
      </c>
      <c r="G217" s="128">
        <f t="shared" si="112"/>
        <v>1314.3880016666667</v>
      </c>
      <c r="H217" s="128">
        <f t="shared" si="113"/>
        <v>1182.9492015000001</v>
      </c>
      <c r="I217" s="128">
        <v>0</v>
      </c>
      <c r="J217" s="128">
        <f t="shared" si="114"/>
        <v>2497.3372031666668</v>
      </c>
      <c r="K217" s="128">
        <f t="shared" si="116"/>
        <v>208.11143359722223</v>
      </c>
      <c r="L217" s="128"/>
      <c r="M217" s="128">
        <f t="shared" si="115"/>
        <v>2637.1880865440003</v>
      </c>
      <c r="N217" s="128">
        <f>+K217*N209</f>
        <v>145.67800351805556</v>
      </c>
      <c r="O217" s="128">
        <f>+N217*O209</f>
        <v>116.54240281444446</v>
      </c>
      <c r="P217" s="128">
        <f>N217*P209</f>
        <v>131.11020316625002</v>
      </c>
      <c r="Q217" s="128">
        <f>+N217*Q209</f>
        <v>145.67800351805556</v>
      </c>
      <c r="R217" s="128">
        <f>12944.83/3</f>
        <v>4314.9433333333336</v>
      </c>
      <c r="S217" s="128">
        <v>0</v>
      </c>
      <c r="T217" s="128">
        <v>0</v>
      </c>
      <c r="U217" s="128">
        <f>R217*U209</f>
        <v>1294.4829999999999</v>
      </c>
      <c r="V217" s="128">
        <v>0</v>
      </c>
      <c r="W217" s="128">
        <f>P217</f>
        <v>131.11020316625002</v>
      </c>
      <c r="X217" s="128">
        <f>W217*12</f>
        <v>1573.3224379950002</v>
      </c>
      <c r="Y217" s="128">
        <v>0</v>
      </c>
      <c r="Z217" s="128">
        <f>X217*(100+5.6)%</f>
        <v>1661.4284945227203</v>
      </c>
      <c r="AA217" s="128">
        <f>Z217*(100+7.3)%+0.01</f>
        <v>1782.7227746228787</v>
      </c>
      <c r="AB217" s="128">
        <f t="shared" si="117"/>
        <v>148.56023121857322</v>
      </c>
      <c r="AC217" s="128">
        <f t="shared" si="118"/>
        <v>208.11143359722223</v>
      </c>
      <c r="AD217" s="139">
        <f>AB217</f>
        <v>148.56023121857322</v>
      </c>
      <c r="AE217" s="128">
        <f t="shared" si="120"/>
        <v>109.53233347222222</v>
      </c>
      <c r="AF217" s="130">
        <f t="shared" si="119"/>
        <v>52.631578947368418</v>
      </c>
      <c r="AG217" s="131">
        <f>AD217*AF217%-0.02</f>
        <v>78.169595378196433</v>
      </c>
      <c r="AH217" s="51"/>
    </row>
    <row r="218" spans="1:34" x14ac:dyDescent="0.25">
      <c r="A218" s="1" t="s">
        <v>237</v>
      </c>
      <c r="B218" s="35">
        <v>8</v>
      </c>
      <c r="C218" s="35" t="s">
        <v>146</v>
      </c>
      <c r="D218" s="36">
        <v>1</v>
      </c>
      <c r="E218" s="37">
        <v>67.63</v>
      </c>
      <c r="F218" s="128">
        <f t="shared" si="111"/>
        <v>80676.503299999997</v>
      </c>
      <c r="G218" s="128">
        <f t="shared" si="112"/>
        <v>1344.6083883333333</v>
      </c>
      <c r="H218" s="128">
        <f t="shared" si="113"/>
        <v>1210.1475495</v>
      </c>
      <c r="I218" s="128">
        <v>0</v>
      </c>
      <c r="J218" s="128">
        <f t="shared" si="114"/>
        <v>2554.7559378333335</v>
      </c>
      <c r="K218" s="128">
        <f t="shared" si="116"/>
        <v>212.89632815277778</v>
      </c>
      <c r="L218" s="128"/>
      <c r="M218" s="128">
        <f t="shared" si="115"/>
        <v>2697.8222703520005</v>
      </c>
      <c r="N218" s="128">
        <f>+K218*N209</f>
        <v>149.02742970694445</v>
      </c>
      <c r="O218" s="128">
        <f>+N218*O209</f>
        <v>119.22194376555557</v>
      </c>
      <c r="P218" s="128">
        <f>+N218*P209</f>
        <v>134.12468673625</v>
      </c>
      <c r="Q218" s="128">
        <f>+N218*Q209</f>
        <v>149.02742970694445</v>
      </c>
      <c r="R218" s="128">
        <v>2854.92</v>
      </c>
      <c r="S218" s="128">
        <v>0</v>
      </c>
      <c r="T218" s="128">
        <f>R218*T209</f>
        <v>570.98400000000004</v>
      </c>
      <c r="U218" s="128">
        <v>0</v>
      </c>
      <c r="V218" s="128">
        <v>0</v>
      </c>
      <c r="W218" s="128">
        <f>P218</f>
        <v>134.12468673625</v>
      </c>
      <c r="X218" s="128">
        <f>W218*12-0.06</f>
        <v>1609.436240835</v>
      </c>
      <c r="Y218" s="128">
        <f>X218*(100+10.4)%</f>
        <v>1776.8176098818401</v>
      </c>
      <c r="Z218" s="128">
        <f>Y218*(100+5.6)%</f>
        <v>1876.3193960352232</v>
      </c>
      <c r="AA218" s="128">
        <f>Z218*(100+7.3)%</f>
        <v>2013.2907119457946</v>
      </c>
      <c r="AB218" s="128">
        <f t="shared" si="117"/>
        <v>167.77422599548288</v>
      </c>
      <c r="AC218" s="128">
        <f t="shared" si="118"/>
        <v>212.89632815277778</v>
      </c>
      <c r="AD218" s="139">
        <f>AB218</f>
        <v>167.77422599548288</v>
      </c>
      <c r="AE218" s="128">
        <f t="shared" si="120"/>
        <v>112.05069902777778</v>
      </c>
      <c r="AF218" s="130">
        <f t="shared" si="119"/>
        <v>52.631578947368418</v>
      </c>
      <c r="AG218" s="131">
        <f t="shared" si="121"/>
        <v>88.302224208148886</v>
      </c>
      <c r="AH218" s="51"/>
    </row>
    <row r="219" spans="1:34" x14ac:dyDescent="0.25">
      <c r="A219" s="66" t="s">
        <v>241</v>
      </c>
      <c r="B219" s="35">
        <v>9</v>
      </c>
      <c r="C219" s="35" t="s">
        <v>147</v>
      </c>
      <c r="D219" s="36">
        <v>1</v>
      </c>
      <c r="E219" s="37">
        <v>72.63</v>
      </c>
      <c r="F219" s="128">
        <f t="shared" si="111"/>
        <v>86641.0533</v>
      </c>
      <c r="G219" s="128">
        <f t="shared" si="112"/>
        <v>1444.0175549999999</v>
      </c>
      <c r="H219" s="128">
        <f t="shared" si="113"/>
        <v>1299.6157994999999</v>
      </c>
      <c r="I219" s="128">
        <v>0</v>
      </c>
      <c r="J219" s="128">
        <f t="shared" si="114"/>
        <v>2743.6333544999998</v>
      </c>
      <c r="K219" s="128">
        <f t="shared" si="116"/>
        <v>228.63611287499998</v>
      </c>
      <c r="L219" s="128"/>
      <c r="M219" s="128">
        <f t="shared" si="115"/>
        <v>2897.2768223519997</v>
      </c>
      <c r="N219" s="128">
        <f>+K219*N209</f>
        <v>160.04527901249998</v>
      </c>
      <c r="O219" s="128">
        <f>+N219*O209</f>
        <v>128.03622320999997</v>
      </c>
      <c r="P219" s="128">
        <f>+N219*P209</f>
        <v>144.04075111124999</v>
      </c>
      <c r="Q219" s="128">
        <f>+N219*Q209</f>
        <v>160.04527901249998</v>
      </c>
      <c r="R219" s="128">
        <v>1583.11</v>
      </c>
      <c r="S219" s="128">
        <f>R219*S209</f>
        <v>158.31100000000001</v>
      </c>
      <c r="T219" s="128">
        <v>0</v>
      </c>
      <c r="U219" s="128">
        <v>0</v>
      </c>
      <c r="V219" s="128">
        <v>0</v>
      </c>
      <c r="W219" s="128">
        <f>O219</f>
        <v>128.03622320999997</v>
      </c>
      <c r="X219" s="128">
        <f>W219*12</f>
        <v>1536.4346785199996</v>
      </c>
      <c r="Y219" s="128">
        <v>0</v>
      </c>
      <c r="Z219" s="128">
        <v>0</v>
      </c>
      <c r="AA219" s="128">
        <v>0</v>
      </c>
      <c r="AB219" s="128">
        <f>W219</f>
        <v>128.03622320999997</v>
      </c>
      <c r="AC219" s="128">
        <f t="shared" si="118"/>
        <v>228.63611287499998</v>
      </c>
      <c r="AD219" s="139">
        <f>W219</f>
        <v>128.03622320999997</v>
      </c>
      <c r="AE219" s="128">
        <f t="shared" si="120"/>
        <v>120.33479625</v>
      </c>
      <c r="AF219" s="130">
        <f t="shared" si="119"/>
        <v>52.631578947368432</v>
      </c>
      <c r="AG219" s="131">
        <f t="shared" si="121"/>
        <v>67.387485900000001</v>
      </c>
      <c r="AH219" s="51"/>
    </row>
    <row r="220" spans="1:34" x14ac:dyDescent="0.25">
      <c r="B220" s="176"/>
      <c r="C220" s="248" t="s">
        <v>77</v>
      </c>
      <c r="D220" s="248"/>
      <c r="E220" s="177">
        <f t="shared" ref="E220:J220" si="122">SUM(E211:E219)</f>
        <v>612.41</v>
      </c>
      <c r="F220" s="175">
        <f>SUM(F211:F219)+0.01</f>
        <v>730550.02309999999</v>
      </c>
      <c r="G220" s="175">
        <f t="shared" si="122"/>
        <v>12175.833551666668</v>
      </c>
      <c r="H220" s="175">
        <f>SUM(H211:H219)+0.01</f>
        <v>10958.260196499999</v>
      </c>
      <c r="I220" s="175">
        <f t="shared" si="122"/>
        <v>0</v>
      </c>
      <c r="J220" s="175">
        <f t="shared" si="122"/>
        <v>23134.083748166668</v>
      </c>
      <c r="K220" s="175">
        <f>SUM(K211:K219)+0.01</f>
        <v>1927.8503123472221</v>
      </c>
      <c r="L220" s="175"/>
      <c r="M220" s="175">
        <f>SUM(M211:M219)</f>
        <v>24429.592438064003</v>
      </c>
      <c r="N220" s="175">
        <f>SUM(N211:N219)+0.01</f>
        <v>1349.4982186430555</v>
      </c>
      <c r="O220" s="175">
        <f>SUM(O211:O219)</f>
        <v>1079.5905749144445</v>
      </c>
      <c r="P220" s="175">
        <f>SUM(P211:P219)</f>
        <v>1214.53939677875</v>
      </c>
      <c r="Q220" s="175">
        <f>SUM(Q211:Q219)+0.01</f>
        <v>1349.4982186430555</v>
      </c>
      <c r="R220" s="175"/>
      <c r="S220" s="175">
        <f>SUM(S211:S219)</f>
        <v>388.95299999999997</v>
      </c>
      <c r="T220" s="175">
        <f t="shared" ref="T220:AG220" si="123">SUM(T211:T219)</f>
        <v>1086.2919999999999</v>
      </c>
      <c r="U220" s="175">
        <f t="shared" si="123"/>
        <v>1294.4829999999999</v>
      </c>
      <c r="V220" s="175">
        <f t="shared" si="123"/>
        <v>0</v>
      </c>
      <c r="W220" s="175">
        <f t="shared" si="123"/>
        <v>1206.6349284779167</v>
      </c>
      <c r="X220" s="175">
        <f t="shared" si="123"/>
        <v>14479.489141735003</v>
      </c>
      <c r="Y220" s="175">
        <f t="shared" si="123"/>
        <v>3390.5566036674409</v>
      </c>
      <c r="Z220" s="175">
        <f t="shared" si="123"/>
        <v>10882.398758555539</v>
      </c>
      <c r="AA220" s="175">
        <f>SUM(AA211:AA219)+0.01</f>
        <v>13472.760856587996</v>
      </c>
      <c r="AB220" s="175">
        <f>SUM(AB211:AB219)-0.01</f>
        <v>1357.7054612589995</v>
      </c>
      <c r="AC220" s="175">
        <f>SUM(AC211:AC219)+0.01</f>
        <v>1927.8503123472221</v>
      </c>
      <c r="AD220" s="175">
        <f>SUM(AD211:AD219)-0.01</f>
        <v>1329.021770509788</v>
      </c>
      <c r="AE220" s="175">
        <f t="shared" si="123"/>
        <v>1014.6527959722223</v>
      </c>
      <c r="AF220" s="175">
        <f>SUM(AF211:AF219)-0.01</f>
        <v>473.6742105263159</v>
      </c>
      <c r="AG220" s="175">
        <f t="shared" si="123"/>
        <v>699.47040553146746</v>
      </c>
      <c r="AH220" s="4"/>
    </row>
    <row r="221" spans="1:34" ht="18" customHeight="1" x14ac:dyDescent="0.25">
      <c r="B221" s="4"/>
      <c r="C221" s="224" t="s">
        <v>101</v>
      </c>
      <c r="D221" s="224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2"/>
      <c r="Y221" s="2"/>
      <c r="Z221" s="2"/>
      <c r="AA221" s="2"/>
      <c r="AB221" s="2"/>
      <c r="AC221" s="2"/>
      <c r="AD221" s="48"/>
      <c r="AE221" s="48"/>
      <c r="AF221" s="48"/>
      <c r="AG221" s="49"/>
      <c r="AH221" s="4"/>
    </row>
    <row r="222" spans="1:34" ht="20.100000000000001" customHeight="1" x14ac:dyDescent="0.25">
      <c r="A222" s="2"/>
      <c r="B222" s="2"/>
      <c r="C222" s="2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2"/>
      <c r="Y222" s="2"/>
      <c r="Z222" s="2"/>
      <c r="AA222" s="2"/>
      <c r="AB222" s="2"/>
      <c r="AC222" s="2"/>
      <c r="AD222" s="48"/>
      <c r="AE222" s="48"/>
      <c r="AF222" s="48"/>
      <c r="AG222" s="49"/>
      <c r="AH222" s="4"/>
    </row>
    <row r="223" spans="1:34" ht="105" customHeight="1" x14ac:dyDescent="0.25">
      <c r="B223" s="215" t="s">
        <v>1</v>
      </c>
      <c r="C223" s="217" t="s">
        <v>56</v>
      </c>
      <c r="D223" s="209" t="s">
        <v>3</v>
      </c>
      <c r="E223" s="209" t="s">
        <v>4</v>
      </c>
      <c r="F223" s="209" t="s">
        <v>5</v>
      </c>
      <c r="G223" s="209" t="s">
        <v>6</v>
      </c>
      <c r="H223" s="209" t="s">
        <v>7</v>
      </c>
      <c r="I223" s="209" t="s">
        <v>8</v>
      </c>
      <c r="J223" s="209" t="s">
        <v>9</v>
      </c>
      <c r="K223" s="209" t="s">
        <v>57</v>
      </c>
      <c r="L223" s="22" t="s">
        <v>10</v>
      </c>
      <c r="M223" s="22" t="s">
        <v>10</v>
      </c>
      <c r="N223" s="22" t="s">
        <v>12</v>
      </c>
      <c r="O223" s="211" t="s">
        <v>13</v>
      </c>
      <c r="P223" s="212"/>
      <c r="Q223" s="213"/>
      <c r="R223" s="209" t="s">
        <v>14</v>
      </c>
      <c r="S223" s="225" t="s">
        <v>58</v>
      </c>
      <c r="T223" s="226"/>
      <c r="U223" s="226"/>
      <c r="V223" s="227"/>
      <c r="W223" s="207" t="s">
        <v>21</v>
      </c>
      <c r="X223" s="209" t="s">
        <v>9</v>
      </c>
      <c r="Y223" s="22" t="s">
        <v>242</v>
      </c>
      <c r="Z223" s="22" t="s">
        <v>243</v>
      </c>
      <c r="AA223" s="22" t="s">
        <v>156</v>
      </c>
      <c r="AB223" s="207" t="s">
        <v>59</v>
      </c>
      <c r="AC223" s="228" t="s">
        <v>18</v>
      </c>
      <c r="AD223" s="229"/>
      <c r="AE223" s="229"/>
      <c r="AF223" s="229"/>
      <c r="AG223" s="205" t="s">
        <v>19</v>
      </c>
      <c r="AH223" s="4"/>
    </row>
    <row r="224" spans="1:34" ht="51" x14ac:dyDescent="0.25">
      <c r="B224" s="216"/>
      <c r="C224" s="218"/>
      <c r="D224" s="210"/>
      <c r="E224" s="210"/>
      <c r="F224" s="210"/>
      <c r="G224" s="210"/>
      <c r="H224" s="210"/>
      <c r="I224" s="210"/>
      <c r="J224" s="210"/>
      <c r="K224" s="210"/>
      <c r="L224" s="22">
        <v>5.6</v>
      </c>
      <c r="M224" s="22">
        <v>5.6</v>
      </c>
      <c r="N224" s="22">
        <v>0.7</v>
      </c>
      <c r="O224" s="23">
        <v>0.8</v>
      </c>
      <c r="P224" s="24">
        <v>0.9</v>
      </c>
      <c r="Q224" s="28">
        <v>1</v>
      </c>
      <c r="R224" s="210"/>
      <c r="S224" s="29">
        <v>0.1</v>
      </c>
      <c r="T224" s="30">
        <v>0.2</v>
      </c>
      <c r="U224" s="30">
        <v>0.3</v>
      </c>
      <c r="V224" s="30">
        <v>0.1</v>
      </c>
      <c r="W224" s="208"/>
      <c r="X224" s="210"/>
      <c r="Y224" s="22">
        <v>10.4</v>
      </c>
      <c r="Z224" s="22">
        <v>5.6</v>
      </c>
      <c r="AA224" s="22">
        <v>7.3</v>
      </c>
      <c r="AB224" s="208"/>
      <c r="AC224" s="33" t="s">
        <v>20</v>
      </c>
      <c r="AD224" s="33" t="s">
        <v>21</v>
      </c>
      <c r="AE224" s="33" t="s">
        <v>22</v>
      </c>
      <c r="AF224" s="33" t="s">
        <v>23</v>
      </c>
      <c r="AG224" s="206"/>
      <c r="AH224" s="4"/>
    </row>
    <row r="225" spans="1:34" x14ac:dyDescent="0.25">
      <c r="B225" s="7"/>
      <c r="C225" s="8"/>
      <c r="D225" s="9">
        <v>0</v>
      </c>
      <c r="E225" s="9">
        <v>1</v>
      </c>
      <c r="F225" s="9">
        <v>2</v>
      </c>
      <c r="G225" s="9" t="s">
        <v>24</v>
      </c>
      <c r="H225" s="9" t="s">
        <v>25</v>
      </c>
      <c r="I225" s="9" t="s">
        <v>26</v>
      </c>
      <c r="J225" s="9" t="s">
        <v>27</v>
      </c>
      <c r="K225" s="25" t="s">
        <v>60</v>
      </c>
      <c r="L225" s="9" t="s">
        <v>61</v>
      </c>
      <c r="M225" s="9" t="s">
        <v>61</v>
      </c>
      <c r="N225" s="9" t="s">
        <v>62</v>
      </c>
      <c r="O225" s="9" t="s">
        <v>63</v>
      </c>
      <c r="P225" s="9" t="s">
        <v>63</v>
      </c>
      <c r="Q225" s="9" t="s">
        <v>63</v>
      </c>
      <c r="R225" s="9">
        <v>9</v>
      </c>
      <c r="S225" s="31" t="s">
        <v>161</v>
      </c>
      <c r="T225" s="31" t="s">
        <v>162</v>
      </c>
      <c r="U225" s="31" t="s">
        <v>163</v>
      </c>
      <c r="V225" s="31" t="s">
        <v>164</v>
      </c>
      <c r="W225" s="31" t="s">
        <v>64</v>
      </c>
      <c r="X225" s="9" t="s">
        <v>65</v>
      </c>
      <c r="Y225" s="9" t="s">
        <v>66</v>
      </c>
      <c r="Z225" s="9" t="s">
        <v>67</v>
      </c>
      <c r="AA225" s="9" t="s">
        <v>246</v>
      </c>
      <c r="AB225" s="9" t="s">
        <v>240</v>
      </c>
      <c r="AC225" s="9">
        <v>16</v>
      </c>
      <c r="AD225" s="31" t="s">
        <v>158</v>
      </c>
      <c r="AE225" s="31" t="s">
        <v>159</v>
      </c>
      <c r="AF225" s="31" t="s">
        <v>160</v>
      </c>
      <c r="AG225" s="9">
        <v>17</v>
      </c>
      <c r="AH225" s="4"/>
    </row>
    <row r="226" spans="1:34" x14ac:dyDescent="0.25">
      <c r="A226" s="1" t="s">
        <v>238</v>
      </c>
      <c r="B226" s="7">
        <v>1</v>
      </c>
      <c r="C226" s="35" t="s">
        <v>148</v>
      </c>
      <c r="D226" s="36">
        <v>1</v>
      </c>
      <c r="E226" s="128">
        <v>71.23</v>
      </c>
      <c r="F226" s="128">
        <f>E226*1192.91</f>
        <v>84970.979300000006</v>
      </c>
      <c r="G226" s="128">
        <f>F226/60</f>
        <v>1416.1829883333335</v>
      </c>
      <c r="H226" s="128">
        <v>1274.22</v>
      </c>
      <c r="I226" s="128">
        <f>+F226*0.5%</f>
        <v>424.85489650000005</v>
      </c>
      <c r="J226" s="128">
        <f>+G226+H226+I226</f>
        <v>3115.2578848333333</v>
      </c>
      <c r="K226" s="128">
        <f>+J226/12</f>
        <v>259.60482373611109</v>
      </c>
      <c r="L226" s="128"/>
      <c r="M226" s="128">
        <f>+J226*(100%+5.6%)</f>
        <v>3289.7123263839999</v>
      </c>
      <c r="N226" s="128">
        <f>+K226*N224</f>
        <v>181.72337661527774</v>
      </c>
      <c r="O226" s="128">
        <v>145.35</v>
      </c>
      <c r="P226" s="128">
        <f>+N226*P224</f>
        <v>163.55103895374998</v>
      </c>
      <c r="Q226" s="128">
        <f>+N226*Q224</f>
        <v>181.72337661527774</v>
      </c>
      <c r="R226" s="139" t="s">
        <v>251</v>
      </c>
      <c r="S226" s="139">
        <v>0</v>
      </c>
      <c r="T226" s="139">
        <v>0</v>
      </c>
      <c r="U226" s="139">
        <v>0</v>
      </c>
      <c r="V226" s="139">
        <v>0</v>
      </c>
      <c r="W226" s="139">
        <f>N226</f>
        <v>181.72337661527774</v>
      </c>
      <c r="X226" s="139">
        <f>W226*12-0.04</f>
        <v>2180.640519383333</v>
      </c>
      <c r="Y226" s="139">
        <f>X226*(100+10.4)%</f>
        <v>2407.4271333991996</v>
      </c>
      <c r="Z226" s="139">
        <f>Y226*(100+5.6)%+0.01</f>
        <v>2542.2530528695552</v>
      </c>
      <c r="AA226" s="139">
        <f>Z226*(100+7.3)%-0.01</f>
        <v>2727.8275257290325</v>
      </c>
      <c r="AB226" s="139">
        <f>AA226/12</f>
        <v>227.31896047741938</v>
      </c>
      <c r="AC226" s="139">
        <f>K226</f>
        <v>259.60482373611109</v>
      </c>
      <c r="AD226" s="139">
        <f>AB226</f>
        <v>227.31896047741938</v>
      </c>
      <c r="AE226" s="139">
        <f>G226/12</f>
        <v>118.01524902777778</v>
      </c>
      <c r="AF226" s="141">
        <f>AE226/AC226*100</f>
        <v>45.459574798864509</v>
      </c>
      <c r="AG226" s="131">
        <f>AD226*AF226%</f>
        <v>103.33823287023372</v>
      </c>
      <c r="AH226" s="4"/>
    </row>
    <row r="227" spans="1:34" x14ac:dyDescent="0.25">
      <c r="B227" s="176"/>
      <c r="C227" s="248" t="s">
        <v>77</v>
      </c>
      <c r="D227" s="248"/>
      <c r="E227" s="175">
        <f>+E226</f>
        <v>71.23</v>
      </c>
      <c r="F227" s="175">
        <f t="shared" ref="F227:H227" si="124">SUM(F226:F226)</f>
        <v>84970.979300000006</v>
      </c>
      <c r="G227" s="175">
        <f t="shared" si="124"/>
        <v>1416.1829883333335</v>
      </c>
      <c r="H227" s="175">
        <f t="shared" si="124"/>
        <v>1274.22</v>
      </c>
      <c r="I227" s="175">
        <f>+I226</f>
        <v>424.85489650000005</v>
      </c>
      <c r="J227" s="175">
        <f>SUM(J226:J226)</f>
        <v>3115.2578848333333</v>
      </c>
      <c r="K227" s="175">
        <f>+K226</f>
        <v>259.60482373611109</v>
      </c>
      <c r="L227" s="175"/>
      <c r="M227" s="175">
        <f>SUM(M226:M226)</f>
        <v>3289.7123263839999</v>
      </c>
      <c r="N227" s="175">
        <f>+N226</f>
        <v>181.72337661527774</v>
      </c>
      <c r="O227" s="175">
        <f>+O226</f>
        <v>145.35</v>
      </c>
      <c r="P227" s="175">
        <f>+P226</f>
        <v>163.55103895374998</v>
      </c>
      <c r="Q227" s="175">
        <f>+Q226</f>
        <v>181.72337661527774</v>
      </c>
      <c r="R227" s="175"/>
      <c r="S227" s="175">
        <f>SUM(S226)</f>
        <v>0</v>
      </c>
      <c r="T227" s="175">
        <f t="shared" ref="T227:AG227" si="125">SUM(T226)</f>
        <v>0</v>
      </c>
      <c r="U227" s="175">
        <f t="shared" si="125"/>
        <v>0</v>
      </c>
      <c r="V227" s="175">
        <f t="shared" si="125"/>
        <v>0</v>
      </c>
      <c r="W227" s="175">
        <f t="shared" si="125"/>
        <v>181.72337661527774</v>
      </c>
      <c r="X227" s="175">
        <f t="shared" si="125"/>
        <v>2180.640519383333</v>
      </c>
      <c r="Y227" s="175">
        <f t="shared" si="125"/>
        <v>2407.4271333991996</v>
      </c>
      <c r="Z227" s="175">
        <f t="shared" si="125"/>
        <v>2542.2530528695552</v>
      </c>
      <c r="AA227" s="175">
        <f t="shared" si="125"/>
        <v>2727.8275257290325</v>
      </c>
      <c r="AB227" s="175">
        <f t="shared" si="125"/>
        <v>227.31896047741938</v>
      </c>
      <c r="AC227" s="175">
        <f t="shared" si="125"/>
        <v>259.60482373611109</v>
      </c>
      <c r="AD227" s="175">
        <f t="shared" si="125"/>
        <v>227.31896047741938</v>
      </c>
      <c r="AE227" s="175">
        <f t="shared" si="125"/>
        <v>118.01524902777778</v>
      </c>
      <c r="AF227" s="175">
        <f t="shared" si="125"/>
        <v>45.459574798864509</v>
      </c>
      <c r="AG227" s="175">
        <f t="shared" si="125"/>
        <v>103.33823287023372</v>
      </c>
      <c r="AH227" s="4"/>
    </row>
    <row r="228" spans="1:34" x14ac:dyDescent="0.25">
      <c r="B228" s="4"/>
      <c r="C228" s="52"/>
      <c r="D228" s="52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"/>
    </row>
    <row r="229" spans="1:34" x14ac:dyDescent="0.25">
      <c r="B229" s="4"/>
      <c r="C229" s="52"/>
      <c r="D229" s="52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"/>
    </row>
    <row r="230" spans="1:34" ht="15" x14ac:dyDescent="0.25">
      <c r="B230" s="4"/>
      <c r="C230" s="67"/>
      <c r="D230" s="68"/>
      <c r="E230" s="69" t="s">
        <v>149</v>
      </c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71"/>
      <c r="W230" s="71"/>
      <c r="X230" s="171"/>
      <c r="Y230" s="171"/>
      <c r="Z230" s="171"/>
      <c r="AA230" s="171"/>
      <c r="AB230" s="171"/>
      <c r="AC230" s="171"/>
      <c r="AD230" s="69"/>
      <c r="AE230" s="69"/>
      <c r="AF230" s="69"/>
      <c r="AG230" s="41"/>
      <c r="AH230" s="4"/>
    </row>
    <row r="231" spans="1:34" ht="15" x14ac:dyDescent="0.25">
      <c r="B231" s="4"/>
      <c r="C231" s="4"/>
      <c r="D231" s="220" t="s">
        <v>150</v>
      </c>
      <c r="E231" s="220"/>
      <c r="F231" s="220"/>
      <c r="G231" s="69"/>
      <c r="H231" s="69"/>
      <c r="I231" s="69"/>
      <c r="J231" s="69"/>
      <c r="K231" s="71"/>
      <c r="L231" s="71"/>
      <c r="M231" s="71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171"/>
      <c r="Y231" s="171"/>
      <c r="Z231" s="171"/>
      <c r="AA231" s="171"/>
      <c r="AB231" s="171"/>
      <c r="AC231" s="171"/>
      <c r="AD231" s="69"/>
      <c r="AE231" s="69"/>
      <c r="AF231" s="69"/>
      <c r="AG231" s="41"/>
      <c r="AH231" s="4"/>
    </row>
    <row r="232" spans="1:34" ht="15" x14ac:dyDescent="0.25">
      <c r="B232" s="4"/>
      <c r="C232" s="4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71"/>
      <c r="X232" s="171"/>
      <c r="Y232" s="171"/>
      <c r="Z232" s="171"/>
      <c r="AA232" s="171"/>
      <c r="AB232" s="171"/>
      <c r="AC232" s="171"/>
      <c r="AD232" s="69"/>
      <c r="AE232" s="69"/>
      <c r="AF232" s="69"/>
      <c r="AG232" s="41"/>
      <c r="AH232" s="4"/>
    </row>
    <row r="233" spans="1:34" ht="15" x14ac:dyDescent="0.25">
      <c r="B233" s="4"/>
      <c r="C233" s="4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220" t="s">
        <v>151</v>
      </c>
      <c r="U233" s="220"/>
      <c r="V233" s="220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41"/>
      <c r="AH233" s="4"/>
    </row>
    <row r="234" spans="1:34" ht="15" x14ac:dyDescent="0.25">
      <c r="B234" s="4"/>
      <c r="C234" s="4"/>
      <c r="D234" s="69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69"/>
      <c r="S234" s="71"/>
      <c r="T234" s="220" t="s">
        <v>152</v>
      </c>
      <c r="U234" s="220"/>
      <c r="V234" s="220"/>
      <c r="W234" s="69"/>
      <c r="X234" s="69"/>
      <c r="Y234" s="69"/>
      <c r="Z234" s="69"/>
      <c r="AA234" s="69"/>
      <c r="AB234" s="69"/>
      <c r="AC234" s="69"/>
      <c r="AD234" s="69"/>
      <c r="AE234" s="220" t="s">
        <v>153</v>
      </c>
      <c r="AF234" s="220"/>
      <c r="AG234" s="41"/>
      <c r="AH234" s="4"/>
    </row>
    <row r="235" spans="1:34" ht="15" x14ac:dyDescent="0.25">
      <c r="B235" s="4"/>
      <c r="C235" s="4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214" t="s">
        <v>154</v>
      </c>
      <c r="AF235" s="214"/>
      <c r="AG235" s="41"/>
      <c r="AH235" s="4"/>
    </row>
    <row r="236" spans="1:34" ht="14.25" x14ac:dyDescent="0.25">
      <c r="B236" s="4"/>
      <c r="D236" s="72"/>
      <c r="E236" s="72"/>
      <c r="F236" s="77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4"/>
      <c r="AF236" s="74"/>
      <c r="AG236" s="41"/>
      <c r="AH236" s="4"/>
    </row>
    <row r="237" spans="1:34" x14ac:dyDescent="0.25">
      <c r="B237" s="4"/>
      <c r="C237" s="52"/>
      <c r="D237" s="52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"/>
    </row>
    <row r="238" spans="1:34" x14ac:dyDescent="0.25">
      <c r="B238" s="4"/>
      <c r="C238" s="52"/>
      <c r="D238" s="52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"/>
    </row>
    <row r="239" spans="1:34" x14ac:dyDescent="0.25">
      <c r="B239" s="4"/>
      <c r="C239" s="52"/>
      <c r="D239" s="52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"/>
    </row>
    <row r="240" spans="1:34" x14ac:dyDescent="0.25">
      <c r="B240" s="4"/>
      <c r="C240" s="52"/>
      <c r="D240" s="52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"/>
    </row>
    <row r="241" spans="2:34" x14ac:dyDescent="0.25">
      <c r="B241" s="4"/>
      <c r="C241" s="52"/>
      <c r="D241" s="52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"/>
    </row>
    <row r="242" spans="2:34" x14ac:dyDescent="0.25">
      <c r="B242" s="4"/>
      <c r="C242" s="52"/>
      <c r="D242" s="52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"/>
    </row>
    <row r="243" spans="2:34" x14ac:dyDescent="0.25">
      <c r="B243" s="4"/>
      <c r="C243" s="52"/>
      <c r="D243" s="52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"/>
    </row>
    <row r="244" spans="2:34" x14ac:dyDescent="0.25">
      <c r="B244" s="4"/>
      <c r="C244" s="52"/>
      <c r="D244" s="52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"/>
    </row>
    <row r="245" spans="2:34" x14ac:dyDescent="0.25">
      <c r="B245" s="4"/>
      <c r="C245" s="52"/>
      <c r="D245" s="52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"/>
    </row>
    <row r="246" spans="2:34" x14ac:dyDescent="0.25">
      <c r="B246" s="4"/>
      <c r="C246" s="52"/>
      <c r="D246" s="52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"/>
    </row>
    <row r="247" spans="2:34" x14ac:dyDescent="0.25">
      <c r="B247" s="4"/>
      <c r="C247" s="52"/>
      <c r="D247" s="52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"/>
    </row>
    <row r="248" spans="2:34" x14ac:dyDescent="0.25">
      <c r="B248" s="4"/>
      <c r="C248" s="52"/>
      <c r="D248" s="52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"/>
    </row>
    <row r="249" spans="2:34" x14ac:dyDescent="0.25">
      <c r="B249" s="4"/>
      <c r="C249" s="52"/>
      <c r="D249" s="52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"/>
    </row>
    <row r="250" spans="2:34" x14ac:dyDescent="0.25">
      <c r="B250" s="4"/>
      <c r="C250" s="52"/>
      <c r="D250" s="52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"/>
    </row>
    <row r="251" spans="2:34" x14ac:dyDescent="0.25">
      <c r="B251" s="4"/>
      <c r="C251" s="52"/>
      <c r="D251" s="52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"/>
    </row>
    <row r="252" spans="2:34" x14ac:dyDescent="0.25">
      <c r="B252" s="4"/>
      <c r="C252" s="52"/>
      <c r="D252" s="52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"/>
    </row>
    <row r="253" spans="2:34" x14ac:dyDescent="0.25">
      <c r="B253" s="4"/>
      <c r="C253" s="52"/>
      <c r="D253" s="52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"/>
    </row>
    <row r="254" spans="2:34" x14ac:dyDescent="0.25">
      <c r="B254" s="4"/>
      <c r="C254" s="52"/>
      <c r="D254" s="52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"/>
    </row>
    <row r="255" spans="2:34" x14ac:dyDescent="0.25">
      <c r="B255" s="4"/>
      <c r="C255" s="52"/>
      <c r="D255" s="52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"/>
    </row>
    <row r="256" spans="2:34" x14ac:dyDescent="0.25">
      <c r="B256" s="4"/>
      <c r="C256" s="52"/>
      <c r="D256" s="52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"/>
    </row>
    <row r="257" spans="2:34" x14ac:dyDescent="0.25">
      <c r="B257" s="4"/>
      <c r="C257" s="52"/>
      <c r="D257" s="52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"/>
    </row>
    <row r="258" spans="2:34" x14ac:dyDescent="0.25">
      <c r="B258" s="4"/>
      <c r="C258" s="52"/>
      <c r="D258" s="52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"/>
    </row>
    <row r="259" spans="2:34" x14ac:dyDescent="0.25">
      <c r="B259" s="4"/>
      <c r="C259" s="52"/>
      <c r="D259" s="52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"/>
    </row>
    <row r="260" spans="2:34" x14ac:dyDescent="0.25">
      <c r="B260" s="4"/>
      <c r="C260" s="52"/>
      <c r="D260" s="52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"/>
    </row>
    <row r="261" spans="2:34" x14ac:dyDescent="0.25">
      <c r="B261" s="4"/>
      <c r="C261" s="52"/>
      <c r="D261" s="52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"/>
    </row>
    <row r="262" spans="2:34" x14ac:dyDescent="0.25">
      <c r="B262" s="4"/>
      <c r="C262" s="52"/>
      <c r="D262" s="52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"/>
    </row>
    <row r="263" spans="2:34" x14ac:dyDescent="0.25">
      <c r="B263" s="4"/>
      <c r="C263" s="52"/>
      <c r="D263" s="52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"/>
    </row>
    <row r="264" spans="2:34" x14ac:dyDescent="0.25">
      <c r="B264" s="4"/>
      <c r="C264" s="52"/>
      <c r="D264" s="52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"/>
    </row>
    <row r="265" spans="2:34" x14ac:dyDescent="0.25">
      <c r="B265" s="4"/>
      <c r="C265" s="52"/>
      <c r="D265" s="52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"/>
    </row>
    <row r="266" spans="2:34" x14ac:dyDescent="0.25">
      <c r="B266" s="4"/>
      <c r="C266" s="52"/>
      <c r="D266" s="5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"/>
    </row>
    <row r="267" spans="2:34" x14ac:dyDescent="0.25">
      <c r="B267" s="4"/>
      <c r="C267" s="52"/>
      <c r="D267" s="5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"/>
    </row>
    <row r="268" spans="2:34" x14ac:dyDescent="0.25">
      <c r="B268" s="4"/>
      <c r="C268" s="52"/>
      <c r="D268" s="52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"/>
    </row>
    <row r="269" spans="2:34" x14ac:dyDescent="0.25">
      <c r="B269" s="4"/>
      <c r="C269" s="52"/>
      <c r="D269" s="52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"/>
    </row>
    <row r="270" spans="2:34" x14ac:dyDescent="0.25">
      <c r="B270" s="4"/>
      <c r="C270" s="52"/>
      <c r="D270" s="52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"/>
    </row>
    <row r="271" spans="2:34" x14ac:dyDescent="0.25">
      <c r="B271" s="4"/>
      <c r="C271" s="52"/>
      <c r="D271" s="52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"/>
    </row>
    <row r="272" spans="2:34" x14ac:dyDescent="0.25">
      <c r="B272" s="4"/>
      <c r="C272" s="52"/>
      <c r="D272" s="52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"/>
    </row>
    <row r="273" spans="2:34" x14ac:dyDescent="0.25">
      <c r="B273" s="4"/>
      <c r="C273" s="52"/>
      <c r="D273" s="52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"/>
    </row>
    <row r="274" spans="2:34" x14ac:dyDescent="0.25">
      <c r="B274" s="4"/>
      <c r="C274" s="52"/>
      <c r="D274" s="52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"/>
    </row>
    <row r="275" spans="2:34" x14ac:dyDescent="0.25">
      <c r="B275" s="4"/>
      <c r="C275" s="52"/>
      <c r="D275" s="52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"/>
    </row>
    <row r="276" spans="2:34" x14ac:dyDescent="0.25">
      <c r="B276" s="4"/>
      <c r="C276" s="52"/>
      <c r="D276" s="52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"/>
    </row>
    <row r="277" spans="2:34" x14ac:dyDescent="0.25">
      <c r="B277" s="4"/>
      <c r="C277" s="52"/>
      <c r="D277" s="52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"/>
    </row>
    <row r="278" spans="2:34" x14ac:dyDescent="0.25">
      <c r="B278" s="4"/>
      <c r="C278" s="52"/>
      <c r="D278" s="52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"/>
    </row>
    <row r="279" spans="2:34" x14ac:dyDescent="0.25">
      <c r="B279" s="4"/>
      <c r="C279" s="52"/>
      <c r="D279" s="5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"/>
    </row>
    <row r="280" spans="2:34" x14ac:dyDescent="0.25">
      <c r="B280" s="4"/>
      <c r="C280" s="52"/>
      <c r="D280" s="5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"/>
    </row>
    <row r="281" spans="2:34" x14ac:dyDescent="0.25">
      <c r="B281" s="4"/>
      <c r="C281" s="52"/>
      <c r="D281" s="52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"/>
    </row>
    <row r="282" spans="2:34" x14ac:dyDescent="0.25">
      <c r="B282" s="4"/>
      <c r="C282" s="52"/>
      <c r="D282" s="52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"/>
    </row>
    <row r="283" spans="2:34" x14ac:dyDescent="0.25">
      <c r="B283" s="4"/>
      <c r="C283" s="52"/>
      <c r="D283" s="52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"/>
    </row>
    <row r="284" spans="2:34" x14ac:dyDescent="0.25">
      <c r="B284" s="4"/>
      <c r="C284" s="52"/>
      <c r="D284" s="52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"/>
    </row>
    <row r="285" spans="2:34" x14ac:dyDescent="0.25">
      <c r="B285" s="4"/>
      <c r="C285" s="52"/>
      <c r="D285" s="52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"/>
    </row>
    <row r="286" spans="2:34" x14ac:dyDescent="0.25">
      <c r="B286" s="4"/>
      <c r="C286" s="52"/>
      <c r="D286" s="52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"/>
    </row>
    <row r="287" spans="2:34" x14ac:dyDescent="0.25">
      <c r="B287" s="4"/>
      <c r="C287" s="52"/>
      <c r="D287" s="52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"/>
    </row>
    <row r="288" spans="2:34" x14ac:dyDescent="0.25">
      <c r="B288" s="4"/>
      <c r="C288" s="52"/>
      <c r="D288" s="52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"/>
    </row>
    <row r="289" spans="2:34" x14ac:dyDescent="0.25">
      <c r="B289" s="4"/>
      <c r="C289" s="52"/>
      <c r="D289" s="5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"/>
    </row>
    <row r="290" spans="2:34" x14ac:dyDescent="0.25">
      <c r="B290" s="4"/>
      <c r="C290" s="52"/>
      <c r="D290" s="5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"/>
    </row>
    <row r="291" spans="2:34" x14ac:dyDescent="0.25">
      <c r="B291" s="4"/>
      <c r="C291" s="52"/>
      <c r="D291" s="52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"/>
    </row>
    <row r="292" spans="2:34" x14ac:dyDescent="0.25">
      <c r="B292" s="4"/>
      <c r="C292" s="52"/>
      <c r="D292" s="52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"/>
    </row>
    <row r="293" spans="2:34" x14ac:dyDescent="0.25">
      <c r="B293" s="4"/>
      <c r="C293" s="52"/>
      <c r="D293" s="52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"/>
    </row>
    <row r="294" spans="2:34" x14ac:dyDescent="0.25">
      <c r="B294" s="4"/>
      <c r="C294" s="52"/>
      <c r="D294" s="52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"/>
    </row>
    <row r="295" spans="2:34" x14ac:dyDescent="0.25">
      <c r="B295" s="4"/>
      <c r="C295" s="52"/>
      <c r="D295" s="52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"/>
    </row>
    <row r="296" spans="2:34" x14ac:dyDescent="0.25">
      <c r="B296" s="4"/>
      <c r="C296" s="52"/>
      <c r="D296" s="52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"/>
    </row>
    <row r="297" spans="2:34" x14ac:dyDescent="0.25">
      <c r="B297" s="4"/>
      <c r="C297" s="52"/>
      <c r="D297" s="52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"/>
    </row>
    <row r="298" spans="2:34" x14ac:dyDescent="0.25">
      <c r="B298" s="4"/>
      <c r="C298" s="52"/>
      <c r="D298" s="52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"/>
    </row>
    <row r="299" spans="2:34" x14ac:dyDescent="0.25">
      <c r="B299" s="4"/>
      <c r="C299" s="52"/>
      <c r="D299" s="52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"/>
    </row>
    <row r="300" spans="2:34" x14ac:dyDescent="0.25">
      <c r="B300" s="4"/>
      <c r="C300" s="52"/>
      <c r="D300" s="52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"/>
    </row>
    <row r="301" spans="2:34" x14ac:dyDescent="0.25">
      <c r="B301" s="4"/>
      <c r="C301" s="52"/>
      <c r="D301" s="52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"/>
    </row>
    <row r="302" spans="2:34" x14ac:dyDescent="0.25">
      <c r="B302" s="4"/>
      <c r="C302" s="52"/>
      <c r="D302" s="52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"/>
    </row>
    <row r="303" spans="2:34" x14ac:dyDescent="0.25">
      <c r="B303" s="4"/>
      <c r="C303" s="52"/>
      <c r="D303" s="52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"/>
    </row>
    <row r="304" spans="2:34" x14ac:dyDescent="0.25">
      <c r="B304" s="4"/>
      <c r="C304" s="52"/>
      <c r="D304" s="52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"/>
    </row>
    <row r="305" spans="2:34" x14ac:dyDescent="0.25">
      <c r="B305" s="4"/>
      <c r="C305" s="52"/>
      <c r="D305" s="52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"/>
    </row>
    <row r="306" spans="2:34" x14ac:dyDescent="0.25">
      <c r="B306" s="4"/>
      <c r="C306" s="52"/>
      <c r="D306" s="52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"/>
    </row>
    <row r="307" spans="2:34" x14ac:dyDescent="0.25">
      <c r="B307" s="4"/>
      <c r="C307" s="52"/>
      <c r="D307" s="52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"/>
    </row>
    <row r="308" spans="2:34" x14ac:dyDescent="0.25">
      <c r="B308" s="4"/>
      <c r="C308" s="52"/>
      <c r="D308" s="52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"/>
    </row>
    <row r="309" spans="2:34" x14ac:dyDescent="0.25">
      <c r="B309" s="4"/>
      <c r="C309" s="52"/>
      <c r="D309" s="52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"/>
    </row>
    <row r="310" spans="2:34" x14ac:dyDescent="0.25">
      <c r="B310" s="4"/>
      <c r="C310" s="52"/>
      <c r="D310" s="52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"/>
    </row>
    <row r="311" spans="2:34" x14ac:dyDescent="0.25">
      <c r="B311" s="4"/>
      <c r="C311" s="52"/>
      <c r="D311" s="52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"/>
    </row>
    <row r="312" spans="2:34" x14ac:dyDescent="0.25">
      <c r="B312" s="4"/>
      <c r="C312" s="52"/>
      <c r="D312" s="52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"/>
    </row>
    <row r="313" spans="2:34" x14ac:dyDescent="0.25">
      <c r="B313" s="4"/>
      <c r="C313" s="52"/>
      <c r="D313" s="52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"/>
    </row>
    <row r="314" spans="2:34" x14ac:dyDescent="0.25">
      <c r="B314" s="4"/>
      <c r="C314" s="52"/>
      <c r="D314" s="52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"/>
    </row>
    <row r="315" spans="2:34" x14ac:dyDescent="0.25">
      <c r="B315" s="4"/>
      <c r="C315" s="52"/>
      <c r="D315" s="52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"/>
    </row>
    <row r="316" spans="2:34" x14ac:dyDescent="0.25">
      <c r="B316" s="4"/>
      <c r="C316" s="52"/>
      <c r="D316" s="52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"/>
    </row>
    <row r="317" spans="2:34" x14ac:dyDescent="0.25">
      <c r="B317" s="4"/>
      <c r="C317" s="52"/>
      <c r="D317" s="52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"/>
    </row>
    <row r="318" spans="2:34" x14ac:dyDescent="0.25">
      <c r="B318" s="4"/>
      <c r="C318" s="52"/>
      <c r="D318" s="52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"/>
    </row>
    <row r="319" spans="2:34" x14ac:dyDescent="0.25">
      <c r="B319" s="4"/>
      <c r="C319" s="52"/>
      <c r="D319" s="52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"/>
    </row>
    <row r="320" spans="2:34" x14ac:dyDescent="0.25">
      <c r="B320" s="4"/>
      <c r="C320" s="52"/>
      <c r="D320" s="52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"/>
    </row>
    <row r="321" spans="1:34" x14ac:dyDescent="0.25">
      <c r="B321" s="4"/>
      <c r="C321" s="52"/>
      <c r="D321" s="52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"/>
    </row>
    <row r="322" spans="1:34" x14ac:dyDescent="0.25">
      <c r="B322" s="4"/>
      <c r="C322" s="52"/>
      <c r="D322" s="52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"/>
    </row>
    <row r="323" spans="1:34" x14ac:dyDescent="0.25">
      <c r="B323" s="4"/>
      <c r="C323" s="52"/>
      <c r="D323" s="52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"/>
    </row>
    <row r="324" spans="1:34" x14ac:dyDescent="0.25">
      <c r="B324" s="4"/>
      <c r="C324" s="52"/>
      <c r="D324" s="52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"/>
    </row>
    <row r="325" spans="1:34" x14ac:dyDescent="0.25">
      <c r="B325" s="4"/>
      <c r="C325" s="52"/>
      <c r="D325" s="52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"/>
    </row>
    <row r="326" spans="1:34" x14ac:dyDescent="0.25">
      <c r="B326" s="4"/>
      <c r="C326" s="52"/>
      <c r="D326" s="52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"/>
    </row>
    <row r="327" spans="1:34" x14ac:dyDescent="0.25">
      <c r="B327" s="4"/>
      <c r="C327" s="52"/>
      <c r="D327" s="52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"/>
    </row>
    <row r="328" spans="1:34" ht="15" x14ac:dyDescent="0.25">
      <c r="B328" s="27"/>
      <c r="C328" s="52"/>
      <c r="D328" s="52"/>
      <c r="E328" s="52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"/>
    </row>
    <row r="329" spans="1:34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 s="4"/>
    </row>
    <row r="330" spans="1:34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 s="4"/>
    </row>
    <row r="331" spans="1:34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 s="4"/>
    </row>
    <row r="332" spans="1:34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 s="4"/>
    </row>
    <row r="333" spans="1:34" ht="139.9" customHeigh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 s="4"/>
    </row>
    <row r="334" spans="1:34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 s="4"/>
    </row>
    <row r="335" spans="1:34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 s="4"/>
    </row>
    <row r="336" spans="1:34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 s="4"/>
    </row>
    <row r="337" spans="1:34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 s="4"/>
    </row>
    <row r="338" spans="1:34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 s="4"/>
    </row>
    <row r="339" spans="1:34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 s="4"/>
    </row>
    <row r="340" spans="1:34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 s="4"/>
    </row>
    <row r="341" spans="1:34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 s="4"/>
    </row>
    <row r="342" spans="1:34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 s="4"/>
    </row>
    <row r="343" spans="1:34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 s="4"/>
    </row>
    <row r="344" spans="1:34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 s="4"/>
    </row>
    <row r="345" spans="1:34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x14ac:dyDescent="0.25">
      <c r="B348" s="4"/>
      <c r="C348" s="221"/>
      <c r="D348" s="22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3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x14ac:dyDescent="0.25">
      <c r="B349" s="4"/>
      <c r="AG349" s="4"/>
      <c r="AH349" s="4"/>
    </row>
    <row r="350" spans="1:34" x14ac:dyDescent="0.25">
      <c r="B350" s="4"/>
      <c r="AG350" s="4"/>
      <c r="AH350" s="4"/>
    </row>
    <row r="351" spans="1:34" x14ac:dyDescent="0.25">
      <c r="B351" s="4"/>
      <c r="AG351" s="4"/>
      <c r="AH351" s="4"/>
    </row>
    <row r="352" spans="1:34" x14ac:dyDescent="0.25">
      <c r="B352" s="4"/>
      <c r="AG352" s="4"/>
      <c r="AH352" s="4"/>
    </row>
    <row r="353" spans="2:34" x14ac:dyDescent="0.25">
      <c r="B353" s="4"/>
      <c r="AG353" s="4"/>
      <c r="AH353" s="4"/>
    </row>
    <row r="354" spans="2:34" x14ac:dyDescent="0.25">
      <c r="B354" s="4"/>
      <c r="AG354" s="4"/>
      <c r="AH354" s="4"/>
    </row>
    <row r="356" spans="2:34" ht="14.25" x14ac:dyDescent="0.25"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</row>
    <row r="372" spans="2:33" ht="15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2:33" ht="15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2:33" ht="15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2:33" ht="15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2:33" ht="95.1" customHeigh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2:33" ht="15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2:33" ht="15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2:33" ht="15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2:33" ht="15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2:33" ht="15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2:33" ht="15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2:33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6" spans="3:33" x14ac:dyDescent="0.25">
      <c r="C386" s="222"/>
      <c r="D386" s="222"/>
      <c r="V386" s="74"/>
    </row>
    <row r="387" spans="3:33" ht="15" x14ac:dyDescent="0.25">
      <c r="C387" s="75"/>
      <c r="D387" s="76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7"/>
      <c r="W387" s="72"/>
      <c r="X387" s="170"/>
      <c r="Y387" s="170"/>
      <c r="Z387" s="170"/>
      <c r="AA387" s="170"/>
      <c r="AB387" s="170"/>
      <c r="AC387" s="170"/>
      <c r="AD387" s="72"/>
      <c r="AE387" s="72"/>
      <c r="AF387" s="72"/>
      <c r="AG387" s="72"/>
    </row>
    <row r="388" spans="3:33" ht="14.25" x14ac:dyDescent="0.25">
      <c r="D388" s="214"/>
      <c r="E388" s="214"/>
      <c r="F388" s="214"/>
      <c r="G388" s="72"/>
      <c r="H388" s="72"/>
      <c r="I388" s="72"/>
      <c r="J388" s="72"/>
      <c r="K388" s="77"/>
      <c r="L388" s="77"/>
      <c r="M388" s="77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170"/>
      <c r="Y388" s="170"/>
      <c r="Z388" s="170"/>
      <c r="AA388" s="170"/>
      <c r="AB388" s="170"/>
      <c r="AC388" s="170"/>
      <c r="AD388" s="72"/>
      <c r="AE388" s="72"/>
      <c r="AF388" s="72"/>
      <c r="AG388" s="72"/>
    </row>
    <row r="389" spans="3:33" ht="14.25" x14ac:dyDescent="0.25"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170"/>
      <c r="Y389" s="170"/>
      <c r="Z389" s="170"/>
      <c r="AA389" s="170"/>
      <c r="AB389" s="170"/>
      <c r="AC389" s="170"/>
      <c r="AD389" s="72"/>
      <c r="AE389" s="72"/>
      <c r="AF389" s="72"/>
      <c r="AG389" s="72"/>
    </row>
    <row r="390" spans="3:33" ht="14.25" x14ac:dyDescent="0.25"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214"/>
      <c r="U390" s="214"/>
      <c r="V390" s="214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</row>
    <row r="391" spans="3:33" ht="14.25" x14ac:dyDescent="0.25"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214"/>
      <c r="U391" s="214"/>
      <c r="V391" s="214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</row>
    <row r="392" spans="3:33" ht="14.25" x14ac:dyDescent="0.25"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214"/>
      <c r="AF392" s="214"/>
      <c r="AG392" s="72"/>
    </row>
    <row r="393" spans="3:33" ht="14.25" x14ac:dyDescent="0.25"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214"/>
      <c r="AF393" s="214"/>
      <c r="AG393" s="72"/>
    </row>
    <row r="394" spans="3:33" ht="14.25" x14ac:dyDescent="0.25"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</row>
    <row r="395" spans="3:33" ht="14.25" x14ac:dyDescent="0.25"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</row>
    <row r="402" spans="13:13" x14ac:dyDescent="0.25">
      <c r="M402" s="1" t="s">
        <v>155</v>
      </c>
    </row>
  </sheetData>
  <mergeCells count="338">
    <mergeCell ref="C6:G6"/>
    <mergeCell ref="B10:B11"/>
    <mergeCell ref="C10:C11"/>
    <mergeCell ref="D10:D11"/>
    <mergeCell ref="E10:E11"/>
    <mergeCell ref="F10:F11"/>
    <mergeCell ref="G10:G11"/>
    <mergeCell ref="AB10:AB11"/>
    <mergeCell ref="AC10:AF10"/>
    <mergeCell ref="AG10:AG11"/>
    <mergeCell ref="H10:H11"/>
    <mergeCell ref="I10:I11"/>
    <mergeCell ref="J10:J11"/>
    <mergeCell ref="K10:K11"/>
    <mergeCell ref="O10:Q10"/>
    <mergeCell ref="R10:R11"/>
    <mergeCell ref="C20:D20"/>
    <mergeCell ref="C26:D26"/>
    <mergeCell ref="B29:B30"/>
    <mergeCell ref="C29:C30"/>
    <mergeCell ref="D29:D30"/>
    <mergeCell ref="E29:E30"/>
    <mergeCell ref="S10:V10"/>
    <mergeCell ref="W10:W11"/>
    <mergeCell ref="X10:X11"/>
    <mergeCell ref="AC29:AF29"/>
    <mergeCell ref="AG29:AG30"/>
    <mergeCell ref="C41:D41"/>
    <mergeCell ref="C48:G48"/>
    <mergeCell ref="B52:B53"/>
    <mergeCell ref="C52:C53"/>
    <mergeCell ref="D52:D53"/>
    <mergeCell ref="E52:E53"/>
    <mergeCell ref="F52:F53"/>
    <mergeCell ref="G52:G53"/>
    <mergeCell ref="O29:Q29"/>
    <mergeCell ref="R29:R30"/>
    <mergeCell ref="S29:V29"/>
    <mergeCell ref="W29:W30"/>
    <mergeCell ref="X29:X30"/>
    <mergeCell ref="AB29:AB30"/>
    <mergeCell ref="F29:F30"/>
    <mergeCell ref="G29:G30"/>
    <mergeCell ref="H29:H30"/>
    <mergeCell ref="I29:I30"/>
    <mergeCell ref="J29:J30"/>
    <mergeCell ref="K29:K30"/>
    <mergeCell ref="W52:W53"/>
    <mergeCell ref="X52:X53"/>
    <mergeCell ref="AB52:AB53"/>
    <mergeCell ref="AC52:AF52"/>
    <mergeCell ref="AG52:AG53"/>
    <mergeCell ref="H52:H53"/>
    <mergeCell ref="I52:I53"/>
    <mergeCell ref="J52:J53"/>
    <mergeCell ref="K52:K53"/>
    <mergeCell ref="O52:Q52"/>
    <mergeCell ref="R52:R53"/>
    <mergeCell ref="C64:D64"/>
    <mergeCell ref="C65:G65"/>
    <mergeCell ref="B69:B70"/>
    <mergeCell ref="C69:C70"/>
    <mergeCell ref="D69:D70"/>
    <mergeCell ref="E69:E70"/>
    <mergeCell ref="F69:F70"/>
    <mergeCell ref="G69:G70"/>
    <mergeCell ref="S52:V52"/>
    <mergeCell ref="AB69:AB70"/>
    <mergeCell ref="AC69:AF69"/>
    <mergeCell ref="AG69:AG70"/>
    <mergeCell ref="H69:H70"/>
    <mergeCell ref="I69:I70"/>
    <mergeCell ref="J69:J70"/>
    <mergeCell ref="K69:K70"/>
    <mergeCell ref="O69:Q69"/>
    <mergeCell ref="R69:R70"/>
    <mergeCell ref="C76:D76"/>
    <mergeCell ref="B80:B81"/>
    <mergeCell ref="C80:C81"/>
    <mergeCell ref="D80:D81"/>
    <mergeCell ref="E80:E81"/>
    <mergeCell ref="F80:F81"/>
    <mergeCell ref="S69:V69"/>
    <mergeCell ref="W69:W70"/>
    <mergeCell ref="X69:X70"/>
    <mergeCell ref="AG80:AG81"/>
    <mergeCell ref="C88:D88"/>
    <mergeCell ref="C90:F90"/>
    <mergeCell ref="B92:E92"/>
    <mergeCell ref="B94:B95"/>
    <mergeCell ref="C94:C95"/>
    <mergeCell ref="D94:D95"/>
    <mergeCell ref="E94:E95"/>
    <mergeCell ref="F94:F95"/>
    <mergeCell ref="G94:G95"/>
    <mergeCell ref="R80:R81"/>
    <mergeCell ref="S80:V80"/>
    <mergeCell ref="W80:W81"/>
    <mergeCell ref="X80:X81"/>
    <mergeCell ref="AB80:AB81"/>
    <mergeCell ref="AC80:AF80"/>
    <mergeCell ref="G80:G81"/>
    <mergeCell ref="H80:H81"/>
    <mergeCell ref="I80:I81"/>
    <mergeCell ref="J80:J81"/>
    <mergeCell ref="K80:K81"/>
    <mergeCell ref="O80:Q80"/>
    <mergeCell ref="AB94:AB95"/>
    <mergeCell ref="AC94:AF94"/>
    <mergeCell ref="AG94:AG95"/>
    <mergeCell ref="H94:H95"/>
    <mergeCell ref="I94:I95"/>
    <mergeCell ref="J94:J95"/>
    <mergeCell ref="K94:K95"/>
    <mergeCell ref="O94:Q94"/>
    <mergeCell ref="R94:R95"/>
    <mergeCell ref="C99:D99"/>
    <mergeCell ref="B105:B106"/>
    <mergeCell ref="C105:C106"/>
    <mergeCell ref="D105:D106"/>
    <mergeCell ref="E105:E106"/>
    <mergeCell ref="F105:F106"/>
    <mergeCell ref="S94:V94"/>
    <mergeCell ref="W94:W95"/>
    <mergeCell ref="X94:X95"/>
    <mergeCell ref="AG105:AG106"/>
    <mergeCell ref="C114:D114"/>
    <mergeCell ref="C116:F116"/>
    <mergeCell ref="C118:D118"/>
    <mergeCell ref="B119:B120"/>
    <mergeCell ref="C119:C120"/>
    <mergeCell ref="D119:D120"/>
    <mergeCell ref="E119:E120"/>
    <mergeCell ref="F119:F120"/>
    <mergeCell ref="G119:G120"/>
    <mergeCell ref="R105:R106"/>
    <mergeCell ref="S105:V105"/>
    <mergeCell ref="W105:W106"/>
    <mergeCell ref="X105:X106"/>
    <mergeCell ref="AB105:AB106"/>
    <mergeCell ref="AC105:AF105"/>
    <mergeCell ref="G105:G106"/>
    <mergeCell ref="H105:H106"/>
    <mergeCell ref="I105:I106"/>
    <mergeCell ref="J105:J106"/>
    <mergeCell ref="K105:K106"/>
    <mergeCell ref="O105:Q105"/>
    <mergeCell ref="W119:W120"/>
    <mergeCell ref="X119:X120"/>
    <mergeCell ref="AB119:AB120"/>
    <mergeCell ref="AC119:AF119"/>
    <mergeCell ref="AG119:AG120"/>
    <mergeCell ref="H119:H120"/>
    <mergeCell ref="I119:I120"/>
    <mergeCell ref="J119:J120"/>
    <mergeCell ref="K119:K120"/>
    <mergeCell ref="O119:Q119"/>
    <mergeCell ref="R119:R120"/>
    <mergeCell ref="C123:D123"/>
    <mergeCell ref="C125:F125"/>
    <mergeCell ref="C126:D126"/>
    <mergeCell ref="B128:B129"/>
    <mergeCell ref="C128:C129"/>
    <mergeCell ref="D128:D129"/>
    <mergeCell ref="E128:E129"/>
    <mergeCell ref="F128:F129"/>
    <mergeCell ref="S119:V119"/>
    <mergeCell ref="AG128:AG129"/>
    <mergeCell ref="C134:D134"/>
    <mergeCell ref="C140:G140"/>
    <mergeCell ref="C142:D142"/>
    <mergeCell ref="B144:B145"/>
    <mergeCell ref="C144:C145"/>
    <mergeCell ref="D144:D145"/>
    <mergeCell ref="E144:E145"/>
    <mergeCell ref="F144:F145"/>
    <mergeCell ref="G144:G145"/>
    <mergeCell ref="R128:R129"/>
    <mergeCell ref="S128:V128"/>
    <mergeCell ref="W128:W129"/>
    <mergeCell ref="X128:X129"/>
    <mergeCell ref="AB128:AB129"/>
    <mergeCell ref="AC128:AF128"/>
    <mergeCell ref="G128:G129"/>
    <mergeCell ref="H128:H129"/>
    <mergeCell ref="I128:I129"/>
    <mergeCell ref="J128:J129"/>
    <mergeCell ref="K128:K129"/>
    <mergeCell ref="O128:Q128"/>
    <mergeCell ref="AB144:AB145"/>
    <mergeCell ref="AC144:AF144"/>
    <mergeCell ref="AG144:AG145"/>
    <mergeCell ref="H144:H145"/>
    <mergeCell ref="I144:I145"/>
    <mergeCell ref="J144:J145"/>
    <mergeCell ref="K144:K145"/>
    <mergeCell ref="O144:Q144"/>
    <mergeCell ref="R144:R145"/>
    <mergeCell ref="C149:D149"/>
    <mergeCell ref="C151:D151"/>
    <mergeCell ref="B153:B154"/>
    <mergeCell ref="C153:C154"/>
    <mergeCell ref="D153:D154"/>
    <mergeCell ref="E153:E154"/>
    <mergeCell ref="S144:V144"/>
    <mergeCell ref="W144:W145"/>
    <mergeCell ref="X144:X145"/>
    <mergeCell ref="AC153:AF153"/>
    <mergeCell ref="AG153:AG154"/>
    <mergeCell ref="C162:D162"/>
    <mergeCell ref="C164:H164"/>
    <mergeCell ref="C165:D165"/>
    <mergeCell ref="B166:B167"/>
    <mergeCell ref="C166:C167"/>
    <mergeCell ref="D166:D167"/>
    <mergeCell ref="E166:E167"/>
    <mergeCell ref="F166:F167"/>
    <mergeCell ref="O153:Q153"/>
    <mergeCell ref="R153:R154"/>
    <mergeCell ref="S153:V153"/>
    <mergeCell ref="W153:W154"/>
    <mergeCell ref="X153:X154"/>
    <mergeCell ref="AB153:AB154"/>
    <mergeCell ref="F153:F154"/>
    <mergeCell ref="G153:G154"/>
    <mergeCell ref="H153:H154"/>
    <mergeCell ref="I153:I154"/>
    <mergeCell ref="J153:J154"/>
    <mergeCell ref="K153:K154"/>
    <mergeCell ref="AG166:AG167"/>
    <mergeCell ref="C179:D179"/>
    <mergeCell ref="C181:H181"/>
    <mergeCell ref="C183:D183"/>
    <mergeCell ref="B185:B186"/>
    <mergeCell ref="C185:C186"/>
    <mergeCell ref="D185:D186"/>
    <mergeCell ref="E185:E186"/>
    <mergeCell ref="F185:F186"/>
    <mergeCell ref="G185:G186"/>
    <mergeCell ref="R166:R167"/>
    <mergeCell ref="S166:V166"/>
    <mergeCell ref="W166:W167"/>
    <mergeCell ref="X166:X167"/>
    <mergeCell ref="AB166:AB167"/>
    <mergeCell ref="AC166:AF166"/>
    <mergeCell ref="G166:G167"/>
    <mergeCell ref="H166:H167"/>
    <mergeCell ref="I166:I167"/>
    <mergeCell ref="J166:J167"/>
    <mergeCell ref="K166:K167"/>
    <mergeCell ref="O166:Q166"/>
    <mergeCell ref="AB185:AB186"/>
    <mergeCell ref="AC185:AF185"/>
    <mergeCell ref="AG185:AG186"/>
    <mergeCell ref="H185:H186"/>
    <mergeCell ref="I185:I186"/>
    <mergeCell ref="J185:J186"/>
    <mergeCell ref="K185:K186"/>
    <mergeCell ref="O185:Q185"/>
    <mergeCell ref="R185:R186"/>
    <mergeCell ref="C189:D189"/>
    <mergeCell ref="C190:D190"/>
    <mergeCell ref="B192:B193"/>
    <mergeCell ref="C192:C193"/>
    <mergeCell ref="D192:D193"/>
    <mergeCell ref="E192:E193"/>
    <mergeCell ref="S185:V185"/>
    <mergeCell ref="W185:W186"/>
    <mergeCell ref="X185:X186"/>
    <mergeCell ref="AC192:AF192"/>
    <mergeCell ref="AG192:AG193"/>
    <mergeCell ref="C200:D200"/>
    <mergeCell ref="C204:H204"/>
    <mergeCell ref="C206:D206"/>
    <mergeCell ref="B208:B209"/>
    <mergeCell ref="C208:C209"/>
    <mergeCell ref="D208:D209"/>
    <mergeCell ref="E208:E209"/>
    <mergeCell ref="F208:F209"/>
    <mergeCell ref="O192:Q192"/>
    <mergeCell ref="R192:R193"/>
    <mergeCell ref="S192:V192"/>
    <mergeCell ref="W192:W193"/>
    <mergeCell ref="X192:X193"/>
    <mergeCell ref="AB192:AB193"/>
    <mergeCell ref="F192:F193"/>
    <mergeCell ref="G192:G193"/>
    <mergeCell ref="H192:H193"/>
    <mergeCell ref="I192:I193"/>
    <mergeCell ref="J192:J193"/>
    <mergeCell ref="K192:K193"/>
    <mergeCell ref="S223:V223"/>
    <mergeCell ref="AG208:AG209"/>
    <mergeCell ref="C220:D220"/>
    <mergeCell ref="C221:D221"/>
    <mergeCell ref="B223:B224"/>
    <mergeCell ref="C223:C224"/>
    <mergeCell ref="D223:D224"/>
    <mergeCell ref="E223:E224"/>
    <mergeCell ref="F223:F224"/>
    <mergeCell ref="G223:G224"/>
    <mergeCell ref="H223:H224"/>
    <mergeCell ref="R208:R209"/>
    <mergeCell ref="S208:V208"/>
    <mergeCell ref="W208:W209"/>
    <mergeCell ref="X208:X209"/>
    <mergeCell ref="AB208:AB209"/>
    <mergeCell ref="AC208:AF208"/>
    <mergeCell ref="G208:G209"/>
    <mergeCell ref="H208:H209"/>
    <mergeCell ref="I208:I209"/>
    <mergeCell ref="J208:J209"/>
    <mergeCell ref="K208:K209"/>
    <mergeCell ref="O208:Q208"/>
    <mergeCell ref="A2:AH2"/>
    <mergeCell ref="C386:D386"/>
    <mergeCell ref="D388:F388"/>
    <mergeCell ref="T390:V390"/>
    <mergeCell ref="T391:V391"/>
    <mergeCell ref="AE392:AF392"/>
    <mergeCell ref="AE393:AF393"/>
    <mergeCell ref="D231:F231"/>
    <mergeCell ref="T233:V233"/>
    <mergeCell ref="T234:V234"/>
    <mergeCell ref="AE234:AF234"/>
    <mergeCell ref="AE235:AF235"/>
    <mergeCell ref="C348:D348"/>
    <mergeCell ref="W223:W224"/>
    <mergeCell ref="X223:X224"/>
    <mergeCell ref="AB223:AB224"/>
    <mergeCell ref="AC223:AF223"/>
    <mergeCell ref="AG223:AG224"/>
    <mergeCell ref="C227:D227"/>
    <mergeCell ref="I223:I224"/>
    <mergeCell ref="J223:J224"/>
    <mergeCell ref="K223:K224"/>
    <mergeCell ref="O223:Q223"/>
    <mergeCell ref="R223:R224"/>
  </mergeCells>
  <pageMargins left="0.74803149606299213" right="0.74803149606299213" top="0.98425196850393704" bottom="0.98425196850393704" header="0.51181102362204722" footer="0.51181102362204722"/>
  <pageSetup scale="70" fitToHeight="0" orientation="portrait" useFirstPageNumber="1" r:id="rId1"/>
  <headerFooter scaleWithDoc="0"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1"/>
  <sheetViews>
    <sheetView topLeftCell="F1" zoomScale="80" zoomScaleNormal="80" workbookViewId="0">
      <selection activeCell="X31" sqref="X31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1" t="s">
        <v>244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5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B6" s="4"/>
      <c r="C6" s="52"/>
      <c r="D6" s="52"/>
      <c r="E6" s="41"/>
      <c r="F6" s="41"/>
      <c r="G6" s="41"/>
      <c r="H6" s="41"/>
      <c r="I6" s="5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/>
    </row>
    <row r="7" spans="1:34" x14ac:dyDescent="0.25">
      <c r="B7" s="4"/>
      <c r="C7" s="52"/>
      <c r="D7" s="52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"/>
    </row>
    <row r="8" spans="1:34" ht="20.25" x14ac:dyDescent="0.25">
      <c r="C8" s="223" t="s">
        <v>138</v>
      </c>
      <c r="D8" s="223"/>
      <c r="E8" s="223"/>
      <c r="F8" s="223"/>
      <c r="G8" s="223"/>
      <c r="H8" s="223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"/>
    </row>
    <row r="9" spans="1:34" x14ac:dyDescent="0.25">
      <c r="B9" s="4"/>
      <c r="C9" s="52"/>
      <c r="D9" s="52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"/>
    </row>
    <row r="10" spans="1:34" ht="20.25" x14ac:dyDescent="0.25">
      <c r="B10" s="4"/>
      <c r="C10" s="224" t="s">
        <v>0</v>
      </c>
      <c r="D10" s="224"/>
      <c r="E10" s="42"/>
      <c r="F10" s="42"/>
      <c r="G10" s="4"/>
      <c r="H10" s="4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"/>
    </row>
    <row r="11" spans="1:34" x14ac:dyDescent="0.25">
      <c r="B11" s="4"/>
      <c r="C11" s="52"/>
      <c r="D11" s="52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"/>
    </row>
    <row r="12" spans="1:34" ht="113.1" customHeight="1" x14ac:dyDescent="0.25">
      <c r="B12" s="215" t="s">
        <v>1</v>
      </c>
      <c r="C12" s="217" t="s">
        <v>56</v>
      </c>
      <c r="D12" s="209" t="s">
        <v>3</v>
      </c>
      <c r="E12" s="209" t="s">
        <v>4</v>
      </c>
      <c r="F12" s="209" t="s">
        <v>5</v>
      </c>
      <c r="G12" s="209" t="s">
        <v>6</v>
      </c>
      <c r="H12" s="209" t="s">
        <v>7</v>
      </c>
      <c r="I12" s="209" t="s">
        <v>8</v>
      </c>
      <c r="J12" s="209" t="s">
        <v>9</v>
      </c>
      <c r="K12" s="209" t="s">
        <v>57</v>
      </c>
      <c r="L12" s="22" t="s">
        <v>10</v>
      </c>
      <c r="M12" s="22" t="s">
        <v>10</v>
      </c>
      <c r="N12" s="22" t="s">
        <v>12</v>
      </c>
      <c r="O12" s="211" t="s">
        <v>13</v>
      </c>
      <c r="P12" s="212"/>
      <c r="Q12" s="213"/>
      <c r="R12" s="209" t="s">
        <v>14</v>
      </c>
      <c r="S12" s="225" t="s">
        <v>58</v>
      </c>
      <c r="T12" s="226"/>
      <c r="U12" s="226"/>
      <c r="V12" s="227"/>
      <c r="W12" s="207" t="s">
        <v>21</v>
      </c>
      <c r="X12" s="209" t="s">
        <v>9</v>
      </c>
      <c r="Y12" s="22" t="s">
        <v>242</v>
      </c>
      <c r="Z12" s="22" t="s">
        <v>243</v>
      </c>
      <c r="AA12" s="22" t="s">
        <v>156</v>
      </c>
      <c r="AB12" s="207" t="s">
        <v>59</v>
      </c>
      <c r="AC12" s="228" t="s">
        <v>18</v>
      </c>
      <c r="AD12" s="229"/>
      <c r="AE12" s="229"/>
      <c r="AF12" s="229"/>
      <c r="AG12" s="205" t="s">
        <v>19</v>
      </c>
      <c r="AH12" s="4"/>
    </row>
    <row r="13" spans="1:34" ht="51" x14ac:dyDescent="0.25">
      <c r="B13" s="216"/>
      <c r="C13" s="218"/>
      <c r="D13" s="210"/>
      <c r="E13" s="210"/>
      <c r="F13" s="210"/>
      <c r="G13" s="210"/>
      <c r="H13" s="210"/>
      <c r="I13" s="210"/>
      <c r="J13" s="210"/>
      <c r="K13" s="210"/>
      <c r="L13" s="22">
        <v>5.6</v>
      </c>
      <c r="M13" s="22">
        <v>5.6</v>
      </c>
      <c r="N13" s="22">
        <v>0.7</v>
      </c>
      <c r="O13" s="23">
        <v>0.8</v>
      </c>
      <c r="P13" s="24">
        <v>0.9</v>
      </c>
      <c r="Q13" s="28">
        <v>1</v>
      </c>
      <c r="R13" s="210"/>
      <c r="S13" s="29">
        <v>0.1</v>
      </c>
      <c r="T13" s="30">
        <v>0.2</v>
      </c>
      <c r="U13" s="30">
        <v>0.3</v>
      </c>
      <c r="V13" s="30">
        <v>0.1</v>
      </c>
      <c r="W13" s="208"/>
      <c r="X13" s="210"/>
      <c r="Y13" s="22">
        <v>10.4</v>
      </c>
      <c r="Z13" s="22">
        <v>5.6</v>
      </c>
      <c r="AA13" s="22"/>
      <c r="AB13" s="208"/>
      <c r="AC13" s="33" t="s">
        <v>20</v>
      </c>
      <c r="AD13" s="33" t="s">
        <v>21</v>
      </c>
      <c r="AE13" s="33" t="s">
        <v>22</v>
      </c>
      <c r="AF13" s="33" t="s">
        <v>23</v>
      </c>
      <c r="AG13" s="206"/>
      <c r="AH13" s="4"/>
    </row>
    <row r="14" spans="1:34" x14ac:dyDescent="0.25">
      <c r="B14" s="7"/>
      <c r="C14" s="8"/>
      <c r="D14" s="9">
        <v>0</v>
      </c>
      <c r="E14" s="9">
        <v>1</v>
      </c>
      <c r="F14" s="9">
        <v>2</v>
      </c>
      <c r="G14" s="9" t="s">
        <v>24</v>
      </c>
      <c r="H14" s="9" t="s">
        <v>25</v>
      </c>
      <c r="I14" s="9" t="s">
        <v>26</v>
      </c>
      <c r="J14" s="9" t="s">
        <v>27</v>
      </c>
      <c r="K14" s="25" t="s">
        <v>60</v>
      </c>
      <c r="L14" s="9" t="s">
        <v>61</v>
      </c>
      <c r="M14" s="9" t="s">
        <v>61</v>
      </c>
      <c r="N14" s="9" t="s">
        <v>62</v>
      </c>
      <c r="O14" s="9" t="s">
        <v>63</v>
      </c>
      <c r="P14" s="9" t="s">
        <v>63</v>
      </c>
      <c r="Q14" s="9" t="s">
        <v>63</v>
      </c>
      <c r="R14" s="9">
        <v>9</v>
      </c>
      <c r="S14" s="31" t="s">
        <v>161</v>
      </c>
      <c r="T14" s="31" t="s">
        <v>162</v>
      </c>
      <c r="U14" s="31" t="s">
        <v>163</v>
      </c>
      <c r="V14" s="31" t="s">
        <v>164</v>
      </c>
      <c r="W14" s="31" t="s">
        <v>64</v>
      </c>
      <c r="X14" s="9" t="s">
        <v>65</v>
      </c>
      <c r="Y14" s="9" t="s">
        <v>66</v>
      </c>
      <c r="Z14" s="9" t="s">
        <v>67</v>
      </c>
      <c r="AA14" s="9" t="s">
        <v>157</v>
      </c>
      <c r="AB14" s="9" t="s">
        <v>240</v>
      </c>
      <c r="AC14" s="9">
        <v>16</v>
      </c>
      <c r="AD14" s="31" t="s">
        <v>158</v>
      </c>
      <c r="AE14" s="31" t="s">
        <v>159</v>
      </c>
      <c r="AF14" s="31" t="s">
        <v>160</v>
      </c>
      <c r="AG14" s="9">
        <v>17</v>
      </c>
      <c r="AH14" s="4"/>
    </row>
    <row r="15" spans="1:34" x14ac:dyDescent="0.25">
      <c r="A15" s="1" t="s">
        <v>239</v>
      </c>
      <c r="B15" s="116">
        <v>1</v>
      </c>
      <c r="C15" s="116" t="s">
        <v>139</v>
      </c>
      <c r="D15" s="117">
        <v>1</v>
      </c>
      <c r="E15" s="118">
        <v>64.61</v>
      </c>
      <c r="F15" s="118">
        <f t="shared" ref="F15" si="0">E15*1192.91</f>
        <v>77073.915099999998</v>
      </c>
      <c r="G15" s="118">
        <f t="shared" ref="G15" si="1">+F15/60</f>
        <v>1284.5652516666667</v>
      </c>
      <c r="H15" s="118">
        <f t="shared" ref="H15" si="2">+F15*1.5%</f>
        <v>1156.1087264999999</v>
      </c>
      <c r="I15" s="118">
        <v>0</v>
      </c>
      <c r="J15" s="118">
        <f t="shared" ref="J15" si="3">+G15+H15+I15</f>
        <v>2440.6739781666665</v>
      </c>
      <c r="K15" s="118">
        <f>J15/12</f>
        <v>203.38949818055553</v>
      </c>
      <c r="L15" s="118"/>
      <c r="M15" s="118">
        <f t="shared" ref="M15" si="4">J15*(100%+5.6%)</f>
        <v>2577.3517209440001</v>
      </c>
      <c r="N15" s="118">
        <f>+K15*N13</f>
        <v>142.37264872638886</v>
      </c>
      <c r="O15" s="118">
        <v>113.86</v>
      </c>
      <c r="P15" s="118">
        <f>+N15*P13</f>
        <v>128.13538385374997</v>
      </c>
      <c r="Q15" s="118">
        <f>+N15*Q13</f>
        <v>142.37264872638886</v>
      </c>
      <c r="R15" s="118">
        <v>1069.5</v>
      </c>
      <c r="S15" s="118">
        <f>R15*S13</f>
        <v>106.95</v>
      </c>
      <c r="T15" s="118">
        <v>0</v>
      </c>
      <c r="U15" s="118">
        <v>0</v>
      </c>
      <c r="V15" s="118">
        <v>0</v>
      </c>
      <c r="W15" s="118">
        <v>106.95</v>
      </c>
      <c r="X15" s="118">
        <f>W15*12</f>
        <v>1283.4000000000001</v>
      </c>
      <c r="Y15" s="118">
        <v>0</v>
      </c>
      <c r="Z15" s="118">
        <v>0</v>
      </c>
      <c r="AA15" s="118">
        <v>0</v>
      </c>
      <c r="AB15" s="118">
        <f>X15/12</f>
        <v>106.95</v>
      </c>
      <c r="AC15" s="118">
        <f>K15</f>
        <v>203.38949818055553</v>
      </c>
      <c r="AD15" s="118">
        <f>AB15</f>
        <v>106.95</v>
      </c>
      <c r="AE15" s="118">
        <f>G15/12</f>
        <v>107.04710430555555</v>
      </c>
      <c r="AF15" s="119">
        <f>AE15/AC15*100</f>
        <v>52.631578947368418</v>
      </c>
      <c r="AG15" s="120">
        <f>AD15*AF15%</f>
        <v>56.289473684210527</v>
      </c>
      <c r="AH15" s="4"/>
    </row>
    <row r="16" spans="1:34" x14ac:dyDescent="0.25">
      <c r="B16" s="7"/>
      <c r="C16" s="219" t="s">
        <v>77</v>
      </c>
      <c r="D16" s="219"/>
      <c r="E16" s="15">
        <f t="shared" ref="E16:K16" si="5">SUM(E15:E15)</f>
        <v>64.61</v>
      </c>
      <c r="F16" s="15">
        <f t="shared" si="5"/>
        <v>77073.915099999998</v>
      </c>
      <c r="G16" s="15">
        <f t="shared" si="5"/>
        <v>1284.5652516666667</v>
      </c>
      <c r="H16" s="15">
        <f t="shared" si="5"/>
        <v>1156.1087264999999</v>
      </c>
      <c r="I16" s="59">
        <f t="shared" si="5"/>
        <v>0</v>
      </c>
      <c r="J16" s="15">
        <f t="shared" si="5"/>
        <v>2440.6739781666665</v>
      </c>
      <c r="K16" s="15">
        <f t="shared" si="5"/>
        <v>203.38949818055553</v>
      </c>
      <c r="L16" s="15"/>
      <c r="M16" s="15">
        <f>SUM(M15:M15)</f>
        <v>2577.3517209440001</v>
      </c>
      <c r="N16" s="15">
        <f>SUM(N15:N15)</f>
        <v>142.37264872638886</v>
      </c>
      <c r="O16" s="15">
        <f>SUM(O15:O15)</f>
        <v>113.86</v>
      </c>
      <c r="P16" s="15">
        <f>SUM(P15:P15)</f>
        <v>128.13538385374997</v>
      </c>
      <c r="Q16" s="15">
        <f>SUM(Q15:Q15)</f>
        <v>142.37264872638886</v>
      </c>
      <c r="R16" s="15"/>
      <c r="S16" s="15">
        <f t="shared" ref="S16:AG16" si="6">SUM(S15:S15)</f>
        <v>106.95</v>
      </c>
      <c r="T16" s="15">
        <f t="shared" si="6"/>
        <v>0</v>
      </c>
      <c r="U16" s="15">
        <f t="shared" si="6"/>
        <v>0</v>
      </c>
      <c r="V16" s="15">
        <f t="shared" si="6"/>
        <v>0</v>
      </c>
      <c r="W16" s="15">
        <f t="shared" si="6"/>
        <v>106.95</v>
      </c>
      <c r="X16" s="15">
        <f t="shared" si="6"/>
        <v>1283.4000000000001</v>
      </c>
      <c r="Y16" s="15">
        <f t="shared" si="6"/>
        <v>0</v>
      </c>
      <c r="Z16" s="15">
        <f t="shared" si="6"/>
        <v>0</v>
      </c>
      <c r="AA16" s="15">
        <f t="shared" si="6"/>
        <v>0</v>
      </c>
      <c r="AB16" s="15">
        <f t="shared" si="6"/>
        <v>106.95</v>
      </c>
      <c r="AC16" s="15">
        <f t="shared" si="6"/>
        <v>203.38949818055553</v>
      </c>
      <c r="AD16" s="15">
        <f t="shared" si="6"/>
        <v>106.95</v>
      </c>
      <c r="AE16" s="15">
        <f t="shared" si="6"/>
        <v>107.04710430555555</v>
      </c>
      <c r="AF16" s="15">
        <f t="shared" si="6"/>
        <v>52.631578947368418</v>
      </c>
      <c r="AG16" s="15">
        <f t="shared" si="6"/>
        <v>56.289473684210527</v>
      </c>
      <c r="AH16" s="4"/>
    </row>
    <row r="17" spans="2:34" x14ac:dyDescent="0.25">
      <c r="B17" s="4"/>
      <c r="C17" s="52"/>
      <c r="D17" s="5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"/>
    </row>
    <row r="18" spans="2:34" x14ac:dyDescent="0.25">
      <c r="B18" s="4"/>
      <c r="C18" s="52"/>
      <c r="D18" s="52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"/>
    </row>
    <row r="19" spans="2:34" ht="15" x14ac:dyDescent="0.25">
      <c r="B19" s="4"/>
      <c r="C19" s="67"/>
      <c r="D19" s="68"/>
      <c r="E19" s="69" t="s">
        <v>149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1"/>
      <c r="W19" s="71"/>
      <c r="X19" s="133"/>
      <c r="Y19" s="133"/>
      <c r="Z19" s="133"/>
      <c r="AA19" s="133"/>
      <c r="AB19" s="133"/>
      <c r="AC19" s="133"/>
      <c r="AD19" s="69"/>
      <c r="AE19" s="69"/>
      <c r="AF19" s="69"/>
      <c r="AG19" s="41"/>
      <c r="AH19" s="4"/>
    </row>
    <row r="20" spans="2:34" ht="15" x14ac:dyDescent="0.25">
      <c r="B20" s="4"/>
      <c r="C20" s="4"/>
      <c r="D20" s="220" t="s">
        <v>150</v>
      </c>
      <c r="E20" s="220"/>
      <c r="F20" s="220"/>
      <c r="G20" s="69"/>
      <c r="H20" s="69"/>
      <c r="I20" s="69"/>
      <c r="J20" s="69"/>
      <c r="K20" s="71"/>
      <c r="L20" s="71"/>
      <c r="M20" s="71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133"/>
      <c r="Y20" s="133"/>
      <c r="Z20" s="133"/>
      <c r="AA20" s="133"/>
      <c r="AB20" s="133"/>
      <c r="AC20" s="133"/>
      <c r="AD20" s="69"/>
      <c r="AE20" s="69"/>
      <c r="AF20" s="69"/>
      <c r="AG20" s="41"/>
      <c r="AH20" s="4"/>
    </row>
    <row r="21" spans="2:34" ht="15" x14ac:dyDescent="0.25">
      <c r="B21" s="4"/>
      <c r="C21" s="4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71"/>
      <c r="X21" s="133"/>
      <c r="Y21" s="133"/>
      <c r="Z21" s="133"/>
      <c r="AA21" s="133"/>
      <c r="AB21" s="133"/>
      <c r="AC21" s="133"/>
      <c r="AD21" s="69"/>
      <c r="AE21" s="69"/>
      <c r="AF21" s="69"/>
      <c r="AG21" s="41"/>
      <c r="AH21" s="4"/>
    </row>
    <row r="22" spans="2:34" ht="15" x14ac:dyDescent="0.25">
      <c r="B22" s="4"/>
      <c r="C22" s="4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220" t="s">
        <v>151</v>
      </c>
      <c r="U22" s="220"/>
      <c r="V22" s="220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41"/>
      <c r="AH22" s="4"/>
    </row>
    <row r="23" spans="2:34" ht="15" x14ac:dyDescent="0.25">
      <c r="B23" s="4"/>
      <c r="C23" s="4"/>
      <c r="D23" s="69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69"/>
      <c r="S23" s="71"/>
      <c r="T23" s="220" t="s">
        <v>152</v>
      </c>
      <c r="U23" s="220"/>
      <c r="V23" s="220"/>
      <c r="W23" s="69"/>
      <c r="X23" s="69"/>
      <c r="Y23" s="69"/>
      <c r="Z23" s="69"/>
      <c r="AA23" s="69"/>
      <c r="AB23" s="69"/>
      <c r="AC23" s="69"/>
      <c r="AD23" s="69"/>
      <c r="AE23" s="220" t="s">
        <v>153</v>
      </c>
      <c r="AF23" s="220"/>
      <c r="AG23" s="41"/>
      <c r="AH23" s="4"/>
    </row>
    <row r="24" spans="2:34" ht="15" x14ac:dyDescent="0.25">
      <c r="B24" s="4"/>
      <c r="C24" s="4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214" t="s">
        <v>154</v>
      </c>
      <c r="AF24" s="214"/>
      <c r="AG24" s="41"/>
      <c r="AH24" s="4"/>
    </row>
    <row r="25" spans="2:34" ht="14.25" x14ac:dyDescent="0.25">
      <c r="B25" s="4"/>
      <c r="D25" s="72"/>
      <c r="E25" s="72"/>
      <c r="F25" s="77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4"/>
      <c r="AF25" s="74"/>
      <c r="AG25" s="41"/>
      <c r="AH25" s="4"/>
    </row>
    <row r="26" spans="2:34" x14ac:dyDescent="0.25">
      <c r="B26" s="4"/>
      <c r="C26" s="52"/>
      <c r="D26" s="52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"/>
    </row>
    <row r="27" spans="2:34" x14ac:dyDescent="0.25">
      <c r="B27" s="4"/>
      <c r="C27" s="52"/>
      <c r="D27" s="52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"/>
    </row>
    <row r="28" spans="2:34" x14ac:dyDescent="0.25">
      <c r="B28" s="4"/>
      <c r="C28" s="52"/>
      <c r="D28" s="52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"/>
    </row>
    <row r="29" spans="2:34" x14ac:dyDescent="0.25">
      <c r="B29" s="4"/>
      <c r="C29" s="52"/>
      <c r="D29" s="52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"/>
    </row>
    <row r="30" spans="2:34" x14ac:dyDescent="0.25">
      <c r="B30" s="4"/>
      <c r="C30" s="52"/>
      <c r="D30" s="52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"/>
    </row>
    <row r="31" spans="2:34" x14ac:dyDescent="0.25">
      <c r="B31" s="4"/>
      <c r="C31" s="52"/>
      <c r="D31" s="52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"/>
    </row>
    <row r="32" spans="2:34" x14ac:dyDescent="0.25">
      <c r="B32" s="4"/>
      <c r="C32" s="52"/>
      <c r="D32" s="52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"/>
    </row>
    <row r="33" spans="2:34" x14ac:dyDescent="0.25">
      <c r="B33" s="4"/>
      <c r="C33" s="52"/>
      <c r="D33" s="52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"/>
    </row>
    <row r="34" spans="2:34" x14ac:dyDescent="0.25">
      <c r="B34" s="4"/>
      <c r="C34" s="52"/>
      <c r="D34" s="52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"/>
    </row>
    <row r="35" spans="2:34" x14ac:dyDescent="0.25">
      <c r="B35" s="4"/>
      <c r="C35" s="52"/>
      <c r="D35" s="52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"/>
    </row>
    <row r="36" spans="2:34" x14ac:dyDescent="0.25">
      <c r="B36" s="4"/>
      <c r="C36" s="52"/>
      <c r="D36" s="52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"/>
    </row>
    <row r="37" spans="2:34" x14ac:dyDescent="0.25">
      <c r="B37" s="4"/>
      <c r="C37" s="52"/>
      <c r="D37" s="52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"/>
    </row>
    <row r="38" spans="2:34" x14ac:dyDescent="0.25">
      <c r="B38" s="4"/>
      <c r="C38" s="52"/>
      <c r="D38" s="52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"/>
    </row>
    <row r="39" spans="2:34" x14ac:dyDescent="0.25">
      <c r="B39" s="4"/>
      <c r="C39" s="52"/>
      <c r="D39" s="52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"/>
    </row>
    <row r="40" spans="2:34" x14ac:dyDescent="0.25">
      <c r="B40" s="4"/>
      <c r="C40" s="52"/>
      <c r="D40" s="52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"/>
    </row>
    <row r="41" spans="2:34" x14ac:dyDescent="0.25">
      <c r="B41" s="4"/>
      <c r="C41" s="52"/>
      <c r="D41" s="52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"/>
    </row>
    <row r="42" spans="2:34" x14ac:dyDescent="0.25">
      <c r="B42" s="4"/>
      <c r="C42" s="52"/>
      <c r="D42" s="52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"/>
    </row>
    <row r="43" spans="2:34" x14ac:dyDescent="0.25">
      <c r="B43" s="4"/>
      <c r="C43" s="52"/>
      <c r="D43" s="52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"/>
    </row>
    <row r="44" spans="2:34" x14ac:dyDescent="0.25">
      <c r="B44" s="4"/>
      <c r="C44" s="52"/>
      <c r="D44" s="52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"/>
    </row>
    <row r="45" spans="2:34" x14ac:dyDescent="0.25">
      <c r="B45" s="4"/>
      <c r="C45" s="52"/>
      <c r="D45" s="52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"/>
    </row>
    <row r="46" spans="2:34" x14ac:dyDescent="0.25">
      <c r="B46" s="4"/>
      <c r="C46" s="52"/>
      <c r="D46" s="52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"/>
    </row>
    <row r="47" spans="2:34" x14ac:dyDescent="0.25">
      <c r="B47" s="4"/>
      <c r="C47" s="52"/>
      <c r="D47" s="52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"/>
    </row>
    <row r="48" spans="2:34" x14ac:dyDescent="0.25">
      <c r="B48" s="4"/>
      <c r="C48" s="52"/>
      <c r="D48" s="52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"/>
    </row>
    <row r="49" spans="2:34" x14ac:dyDescent="0.25">
      <c r="B49" s="4"/>
      <c r="C49" s="52"/>
      <c r="D49" s="52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"/>
    </row>
    <row r="50" spans="2:34" x14ac:dyDescent="0.25">
      <c r="B50" s="4"/>
      <c r="C50" s="52"/>
      <c r="D50" s="52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"/>
    </row>
    <row r="51" spans="2:34" x14ac:dyDescent="0.25">
      <c r="B51" s="4"/>
      <c r="C51" s="52"/>
      <c r="D51" s="52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"/>
    </row>
    <row r="52" spans="2:34" x14ac:dyDescent="0.25">
      <c r="B52" s="4"/>
      <c r="C52" s="52"/>
      <c r="D52" s="52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"/>
    </row>
    <row r="53" spans="2:34" x14ac:dyDescent="0.25">
      <c r="B53" s="4"/>
      <c r="C53" s="52"/>
      <c r="D53" s="52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"/>
    </row>
    <row r="54" spans="2:34" x14ac:dyDescent="0.25">
      <c r="B54" s="4"/>
      <c r="C54" s="52"/>
      <c r="D54" s="52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"/>
    </row>
    <row r="55" spans="2:34" x14ac:dyDescent="0.25">
      <c r="B55" s="4"/>
      <c r="C55" s="52"/>
      <c r="D55" s="52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"/>
    </row>
    <row r="56" spans="2:34" x14ac:dyDescent="0.25">
      <c r="B56" s="4"/>
      <c r="C56" s="52"/>
      <c r="D56" s="52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"/>
    </row>
    <row r="57" spans="2:34" x14ac:dyDescent="0.25">
      <c r="B57" s="4"/>
      <c r="C57" s="52"/>
      <c r="D57" s="52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"/>
    </row>
    <row r="58" spans="2:34" x14ac:dyDescent="0.25">
      <c r="B58" s="4"/>
      <c r="C58" s="52"/>
      <c r="D58" s="52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"/>
    </row>
    <row r="59" spans="2:34" x14ac:dyDescent="0.25">
      <c r="B59" s="4"/>
      <c r="C59" s="52"/>
      <c r="D59" s="52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"/>
    </row>
    <row r="60" spans="2:34" x14ac:dyDescent="0.25">
      <c r="B60" s="4"/>
      <c r="C60" s="52"/>
      <c r="D60" s="52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"/>
    </row>
    <row r="61" spans="2:34" x14ac:dyDescent="0.25">
      <c r="B61" s="4"/>
      <c r="C61" s="52"/>
      <c r="D61" s="5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"/>
    </row>
    <row r="62" spans="2:34" x14ac:dyDescent="0.25">
      <c r="B62" s="4"/>
      <c r="C62" s="52"/>
      <c r="D62" s="5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"/>
    </row>
    <row r="63" spans="2:34" x14ac:dyDescent="0.25">
      <c r="B63" s="4"/>
      <c r="C63" s="52"/>
      <c r="D63" s="5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"/>
    </row>
    <row r="64" spans="2:34" x14ac:dyDescent="0.25">
      <c r="B64" s="4"/>
      <c r="C64" s="52"/>
      <c r="D64" s="5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"/>
    </row>
    <row r="65" spans="2:34" x14ac:dyDescent="0.25">
      <c r="B65" s="4"/>
      <c r="C65" s="52"/>
      <c r="D65" s="5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"/>
    </row>
    <row r="66" spans="2:34" x14ac:dyDescent="0.25">
      <c r="B66" s="4"/>
      <c r="C66" s="52"/>
      <c r="D66" s="5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"/>
    </row>
    <row r="67" spans="2:34" x14ac:dyDescent="0.25">
      <c r="B67" s="4"/>
      <c r="C67" s="52"/>
      <c r="D67" s="5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"/>
    </row>
    <row r="68" spans="2:34" x14ac:dyDescent="0.25">
      <c r="B68" s="4"/>
      <c r="C68" s="52"/>
      <c r="D68" s="5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"/>
    </row>
    <row r="69" spans="2:34" x14ac:dyDescent="0.25">
      <c r="B69" s="4"/>
      <c r="C69" s="52"/>
      <c r="D69" s="5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"/>
    </row>
    <row r="70" spans="2:34" x14ac:dyDescent="0.25">
      <c r="B70" s="4"/>
      <c r="C70" s="52"/>
      <c r="D70" s="5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"/>
    </row>
    <row r="71" spans="2:34" x14ac:dyDescent="0.25">
      <c r="B71" s="4"/>
      <c r="C71" s="52"/>
      <c r="D71" s="5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"/>
    </row>
    <row r="72" spans="2:34" x14ac:dyDescent="0.25">
      <c r="B72" s="4"/>
      <c r="C72" s="52"/>
      <c r="D72" s="5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"/>
    </row>
    <row r="73" spans="2:34" x14ac:dyDescent="0.25">
      <c r="B73" s="4"/>
      <c r="C73" s="52"/>
      <c r="D73" s="5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"/>
    </row>
    <row r="74" spans="2:34" x14ac:dyDescent="0.25">
      <c r="B74" s="4"/>
      <c r="C74" s="52"/>
      <c r="D74" s="5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"/>
    </row>
    <row r="75" spans="2:34" x14ac:dyDescent="0.25">
      <c r="B75" s="4"/>
      <c r="C75" s="52"/>
      <c r="D75" s="5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"/>
    </row>
    <row r="76" spans="2:34" x14ac:dyDescent="0.25">
      <c r="B76" s="4"/>
      <c r="C76" s="52"/>
      <c r="D76" s="5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"/>
    </row>
    <row r="77" spans="2:34" x14ac:dyDescent="0.25">
      <c r="B77" s="4"/>
      <c r="C77" s="52"/>
      <c r="D77" s="5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"/>
    </row>
    <row r="78" spans="2:34" x14ac:dyDescent="0.25">
      <c r="B78" s="4"/>
      <c r="C78" s="52"/>
      <c r="D78" s="5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"/>
    </row>
    <row r="79" spans="2:34" x14ac:dyDescent="0.25">
      <c r="B79" s="4"/>
      <c r="C79" s="52"/>
      <c r="D79" s="5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"/>
    </row>
    <row r="80" spans="2:34" x14ac:dyDescent="0.25">
      <c r="B80" s="4"/>
      <c r="C80" s="52"/>
      <c r="D80" s="5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"/>
    </row>
    <row r="81" spans="2:34" x14ac:dyDescent="0.25">
      <c r="B81" s="4"/>
      <c r="C81" s="52"/>
      <c r="D81" s="5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"/>
    </row>
    <row r="82" spans="2:34" x14ac:dyDescent="0.25">
      <c r="B82" s="4"/>
      <c r="C82" s="52"/>
      <c r="D82" s="5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"/>
    </row>
    <row r="83" spans="2:34" x14ac:dyDescent="0.25">
      <c r="B83" s="4"/>
      <c r="C83" s="52"/>
      <c r="D83" s="5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"/>
    </row>
    <row r="84" spans="2:34" x14ac:dyDescent="0.25">
      <c r="B84" s="4"/>
      <c r="C84" s="52"/>
      <c r="D84" s="5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"/>
    </row>
    <row r="85" spans="2:34" x14ac:dyDescent="0.25">
      <c r="B85" s="4"/>
      <c r="C85" s="52"/>
      <c r="D85" s="5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"/>
    </row>
    <row r="86" spans="2:34" x14ac:dyDescent="0.25">
      <c r="B86" s="4"/>
      <c r="C86" s="52"/>
      <c r="D86" s="5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"/>
    </row>
    <row r="87" spans="2:34" x14ac:dyDescent="0.25">
      <c r="B87" s="4"/>
      <c r="C87" s="52"/>
      <c r="D87" s="5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"/>
    </row>
    <row r="88" spans="2:34" x14ac:dyDescent="0.25">
      <c r="B88" s="4"/>
      <c r="C88" s="52"/>
      <c r="D88" s="5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"/>
    </row>
    <row r="89" spans="2:34" x14ac:dyDescent="0.25">
      <c r="B89" s="4"/>
      <c r="C89" s="52"/>
      <c r="D89" s="5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"/>
    </row>
    <row r="90" spans="2:34" x14ac:dyDescent="0.25">
      <c r="B90" s="4"/>
      <c r="C90" s="52"/>
      <c r="D90" s="5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"/>
    </row>
    <row r="91" spans="2:34" x14ac:dyDescent="0.25">
      <c r="B91" s="4"/>
      <c r="C91" s="52"/>
      <c r="D91" s="52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"/>
    </row>
    <row r="92" spans="2:34" x14ac:dyDescent="0.25">
      <c r="B92" s="4"/>
      <c r="C92" s="52"/>
      <c r="D92" s="52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"/>
    </row>
    <row r="93" spans="2:34" x14ac:dyDescent="0.25">
      <c r="B93" s="4"/>
      <c r="C93" s="52"/>
      <c r="D93" s="52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"/>
    </row>
    <row r="94" spans="2:34" x14ac:dyDescent="0.25">
      <c r="B94" s="4"/>
      <c r="C94" s="52"/>
      <c r="D94" s="52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"/>
    </row>
    <row r="95" spans="2:34" x14ac:dyDescent="0.25">
      <c r="B95" s="4"/>
      <c r="C95" s="52"/>
      <c r="D95" s="52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"/>
    </row>
    <row r="96" spans="2:34" x14ac:dyDescent="0.25">
      <c r="B96" s="4"/>
      <c r="C96" s="52"/>
      <c r="D96" s="52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"/>
    </row>
    <row r="97" spans="2:34" x14ac:dyDescent="0.25">
      <c r="B97" s="4"/>
      <c r="C97" s="52"/>
      <c r="D97" s="52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"/>
    </row>
    <row r="98" spans="2:34" x14ac:dyDescent="0.25">
      <c r="B98" s="4"/>
      <c r="C98" s="52"/>
      <c r="D98" s="52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"/>
    </row>
    <row r="99" spans="2:34" x14ac:dyDescent="0.25">
      <c r="B99" s="4"/>
      <c r="C99" s="52"/>
      <c r="D99" s="52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"/>
    </row>
    <row r="100" spans="2:34" x14ac:dyDescent="0.25">
      <c r="B100" s="4"/>
      <c r="C100" s="52"/>
      <c r="D100" s="52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"/>
    </row>
    <row r="101" spans="2:34" x14ac:dyDescent="0.25">
      <c r="B101" s="4"/>
      <c r="C101" s="52"/>
      <c r="D101" s="52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"/>
    </row>
    <row r="102" spans="2:34" x14ac:dyDescent="0.25">
      <c r="B102" s="4"/>
      <c r="C102" s="52"/>
      <c r="D102" s="52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"/>
    </row>
    <row r="103" spans="2:34" x14ac:dyDescent="0.25">
      <c r="B103" s="4"/>
      <c r="C103" s="52"/>
      <c r="D103" s="52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"/>
    </row>
    <row r="104" spans="2:34" x14ac:dyDescent="0.25">
      <c r="B104" s="4"/>
      <c r="C104" s="52"/>
      <c r="D104" s="52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"/>
    </row>
    <row r="105" spans="2:34" x14ac:dyDescent="0.25">
      <c r="B105" s="4"/>
      <c r="C105" s="52"/>
      <c r="D105" s="52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"/>
    </row>
    <row r="106" spans="2:34" x14ac:dyDescent="0.25">
      <c r="B106" s="4"/>
      <c r="C106" s="52"/>
      <c r="D106" s="52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"/>
    </row>
    <row r="107" spans="2:34" x14ac:dyDescent="0.25">
      <c r="B107" s="4"/>
      <c r="C107" s="52"/>
      <c r="D107" s="52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"/>
    </row>
    <row r="108" spans="2:34" x14ac:dyDescent="0.25">
      <c r="B108" s="4"/>
      <c r="C108" s="52"/>
      <c r="D108" s="52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"/>
    </row>
    <row r="109" spans="2:34" x14ac:dyDescent="0.25">
      <c r="B109" s="4"/>
      <c r="C109" s="52"/>
      <c r="D109" s="52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"/>
    </row>
    <row r="110" spans="2:34" x14ac:dyDescent="0.25">
      <c r="B110" s="4"/>
      <c r="C110" s="52"/>
      <c r="D110" s="52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"/>
    </row>
    <row r="111" spans="2:34" x14ac:dyDescent="0.25">
      <c r="B111" s="4"/>
      <c r="C111" s="52"/>
      <c r="D111" s="5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"/>
    </row>
    <row r="112" spans="2:34" x14ac:dyDescent="0.25">
      <c r="B112" s="4"/>
      <c r="C112" s="52"/>
      <c r="D112" s="5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"/>
    </row>
    <row r="113" spans="1:34" x14ac:dyDescent="0.25">
      <c r="B113" s="4"/>
      <c r="C113" s="52"/>
      <c r="D113" s="5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"/>
    </row>
    <row r="114" spans="1:34" x14ac:dyDescent="0.25">
      <c r="B114" s="4"/>
      <c r="C114" s="52"/>
      <c r="D114" s="5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"/>
    </row>
    <row r="115" spans="1:34" x14ac:dyDescent="0.25">
      <c r="B115" s="4"/>
      <c r="C115" s="52"/>
      <c r="D115" s="5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"/>
    </row>
    <row r="116" spans="1:34" x14ac:dyDescent="0.25">
      <c r="B116" s="4"/>
      <c r="C116" s="52"/>
      <c r="D116" s="5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"/>
    </row>
    <row r="117" spans="1:34" ht="15" x14ac:dyDescent="0.25">
      <c r="B117" s="27"/>
      <c r="C117" s="52"/>
      <c r="D117" s="52"/>
      <c r="E117" s="52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"/>
    </row>
    <row r="118" spans="1:3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4"/>
    </row>
    <row r="119" spans="1:3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4"/>
    </row>
    <row r="120" spans="1:3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4"/>
    </row>
    <row r="121" spans="1:34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4"/>
    </row>
    <row r="122" spans="1:34" ht="139.9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 s="4"/>
    </row>
    <row r="123" spans="1:3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 s="4"/>
    </row>
    <row r="124" spans="1:3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 s="4"/>
    </row>
    <row r="125" spans="1:3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 s="4"/>
    </row>
    <row r="126" spans="1:3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 s="4"/>
    </row>
    <row r="127" spans="1:3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4"/>
    </row>
    <row r="128" spans="1:3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 s="4"/>
    </row>
    <row r="129" spans="1:3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4"/>
    </row>
    <row r="130" spans="1:3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4"/>
    </row>
    <row r="131" spans="1:3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 s="4"/>
    </row>
    <row r="132" spans="1:3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 s="4"/>
    </row>
    <row r="133" spans="1:34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 s="4"/>
    </row>
    <row r="134" spans="1:34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B137" s="4"/>
      <c r="C137" s="221"/>
      <c r="D137" s="22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3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25">
      <c r="B138" s="4"/>
      <c r="AG138" s="4"/>
      <c r="AH138" s="4"/>
    </row>
    <row r="139" spans="1:34" x14ac:dyDescent="0.25">
      <c r="B139" s="4"/>
      <c r="AG139" s="4"/>
      <c r="AH139" s="4"/>
    </row>
    <row r="140" spans="1:34" x14ac:dyDescent="0.25">
      <c r="B140" s="4"/>
      <c r="AG140" s="4"/>
      <c r="AH140" s="4"/>
    </row>
    <row r="141" spans="1:34" x14ac:dyDescent="0.25">
      <c r="B141" s="4"/>
      <c r="AG141" s="4"/>
      <c r="AH141" s="4"/>
    </row>
    <row r="142" spans="1:34" x14ac:dyDescent="0.25">
      <c r="B142" s="4"/>
      <c r="AG142" s="4"/>
      <c r="AH142" s="4"/>
    </row>
    <row r="143" spans="1:34" x14ac:dyDescent="0.25">
      <c r="B143" s="4"/>
      <c r="AG143" s="4"/>
      <c r="AH143" s="4"/>
    </row>
    <row r="145" spans="4:32" ht="14.25" x14ac:dyDescent="0.25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</row>
    <row r="161" spans="2:33" ht="15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ht="15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ht="15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ht="15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ht="95.1" customHeigh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ht="15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ht="15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ht="15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ht="15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ht="15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ht="15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2:33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5" spans="2:33" x14ac:dyDescent="0.25">
      <c r="C175" s="222"/>
      <c r="D175" s="222"/>
      <c r="V175" s="74"/>
    </row>
    <row r="176" spans="2:33" ht="15" x14ac:dyDescent="0.25">
      <c r="C176" s="75"/>
      <c r="D176" s="76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7"/>
      <c r="W176" s="72"/>
      <c r="X176" s="134"/>
      <c r="Y176" s="134"/>
      <c r="Z176" s="134"/>
      <c r="AA176" s="134"/>
      <c r="AB176" s="134"/>
      <c r="AC176" s="134"/>
      <c r="AD176" s="72"/>
      <c r="AE176" s="72"/>
      <c r="AF176" s="72"/>
      <c r="AG176" s="72"/>
    </row>
    <row r="177" spans="4:33" ht="14.25" x14ac:dyDescent="0.25">
      <c r="D177" s="214"/>
      <c r="E177" s="214"/>
      <c r="F177" s="214"/>
      <c r="G177" s="72"/>
      <c r="H177" s="72"/>
      <c r="I177" s="72"/>
      <c r="J177" s="72"/>
      <c r="K177" s="77"/>
      <c r="L177" s="77"/>
      <c r="M177" s="77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134"/>
      <c r="Y177" s="134"/>
      <c r="Z177" s="134"/>
      <c r="AA177" s="134"/>
      <c r="AB177" s="134"/>
      <c r="AC177" s="134"/>
      <c r="AD177" s="72"/>
      <c r="AE177" s="72"/>
      <c r="AF177" s="72"/>
      <c r="AG177" s="72"/>
    </row>
    <row r="178" spans="4:33" ht="14.25" x14ac:dyDescent="0.25"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134"/>
      <c r="Y178" s="134"/>
      <c r="Z178" s="134"/>
      <c r="AA178" s="134"/>
      <c r="AB178" s="134"/>
      <c r="AC178" s="134"/>
      <c r="AD178" s="72"/>
      <c r="AE178" s="72"/>
      <c r="AF178" s="72"/>
      <c r="AG178" s="72"/>
    </row>
    <row r="179" spans="4:33" ht="14.25" x14ac:dyDescent="0.25"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214"/>
      <c r="U179" s="214"/>
      <c r="V179" s="214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</row>
    <row r="180" spans="4:33" ht="14.25" x14ac:dyDescent="0.25"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214"/>
      <c r="U180" s="214"/>
      <c r="V180" s="214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</row>
    <row r="181" spans="4:33" ht="14.25" x14ac:dyDescent="0.25"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214"/>
      <c r="AF181" s="214"/>
      <c r="AG181" s="72"/>
    </row>
    <row r="182" spans="4:33" ht="14.25" x14ac:dyDescent="0.25"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214"/>
      <c r="AF182" s="214"/>
      <c r="AG182" s="72"/>
    </row>
    <row r="183" spans="4:33" ht="14.25" x14ac:dyDescent="0.25"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</row>
    <row r="184" spans="4:33" ht="14.25" x14ac:dyDescent="0.25"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</row>
    <row r="191" spans="4:33" x14ac:dyDescent="0.25">
      <c r="M191" s="1" t="s">
        <v>155</v>
      </c>
    </row>
  </sheetData>
  <mergeCells count="33">
    <mergeCell ref="AE182:AF182"/>
    <mergeCell ref="D20:F20"/>
    <mergeCell ref="T22:V22"/>
    <mergeCell ref="T23:V23"/>
    <mergeCell ref="AE23:AF23"/>
    <mergeCell ref="AE24:AF24"/>
    <mergeCell ref="C137:D137"/>
    <mergeCell ref="C175:D175"/>
    <mergeCell ref="D177:F177"/>
    <mergeCell ref="T179:V179"/>
    <mergeCell ref="T180:V180"/>
    <mergeCell ref="AE181:AF181"/>
    <mergeCell ref="AG12:AG13"/>
    <mergeCell ref="C16:D16"/>
    <mergeCell ref="R12:R13"/>
    <mergeCell ref="S12:V12"/>
    <mergeCell ref="W12:W13"/>
    <mergeCell ref="X12:X13"/>
    <mergeCell ref="AB12:AB13"/>
    <mergeCell ref="AC12:AF12"/>
    <mergeCell ref="G12:G13"/>
    <mergeCell ref="H12:H13"/>
    <mergeCell ref="I12:I13"/>
    <mergeCell ref="J12:J13"/>
    <mergeCell ref="K12:K13"/>
    <mergeCell ref="O12:Q12"/>
    <mergeCell ref="C8:H8"/>
    <mergeCell ref="C10:D10"/>
    <mergeCell ref="B12:B13"/>
    <mergeCell ref="C12:C13"/>
    <mergeCell ref="D12:D13"/>
    <mergeCell ref="E12:E13"/>
    <mergeCell ref="F12:F13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0"/>
  <sheetViews>
    <sheetView topLeftCell="H1" zoomScale="80" zoomScaleNormal="80" workbookViewId="0">
      <selection activeCell="Z22" sqref="Z22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1" t="s">
        <v>248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5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B6" s="4"/>
      <c r="C6" s="52"/>
      <c r="D6" s="52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/>
    </row>
    <row r="7" spans="1:34" ht="20.25" x14ac:dyDescent="0.25">
      <c r="C7" s="223" t="s">
        <v>138</v>
      </c>
      <c r="D7" s="223"/>
      <c r="E7" s="223"/>
      <c r="F7" s="223"/>
      <c r="G7" s="223"/>
      <c r="H7" s="22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"/>
    </row>
    <row r="8" spans="1:34" x14ac:dyDescent="0.25">
      <c r="B8" s="4"/>
      <c r="C8" s="52"/>
      <c r="D8" s="52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"/>
    </row>
    <row r="9" spans="1:34" ht="20.25" x14ac:dyDescent="0.25">
      <c r="B9" s="4"/>
      <c r="C9" s="224" t="s">
        <v>0</v>
      </c>
      <c r="D9" s="224"/>
      <c r="E9" s="42"/>
      <c r="F9" s="42"/>
      <c r="G9" s="4"/>
      <c r="H9" s="4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"/>
    </row>
    <row r="10" spans="1:34" x14ac:dyDescent="0.25">
      <c r="B10" s="4"/>
      <c r="C10" s="52"/>
      <c r="D10" s="52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"/>
    </row>
    <row r="11" spans="1:34" ht="113.1" customHeight="1" x14ac:dyDescent="0.25">
      <c r="B11" s="215" t="s">
        <v>1</v>
      </c>
      <c r="C11" s="217" t="s">
        <v>56</v>
      </c>
      <c r="D11" s="209" t="s">
        <v>3</v>
      </c>
      <c r="E11" s="209" t="s">
        <v>4</v>
      </c>
      <c r="F11" s="209" t="s">
        <v>5</v>
      </c>
      <c r="G11" s="209" t="s">
        <v>6</v>
      </c>
      <c r="H11" s="209" t="s">
        <v>7</v>
      </c>
      <c r="I11" s="209" t="s">
        <v>8</v>
      </c>
      <c r="J11" s="209" t="s">
        <v>9</v>
      </c>
      <c r="K11" s="209" t="s">
        <v>57</v>
      </c>
      <c r="L11" s="22" t="s">
        <v>10</v>
      </c>
      <c r="M11" s="22" t="s">
        <v>10</v>
      </c>
      <c r="N11" s="22" t="s">
        <v>12</v>
      </c>
      <c r="O11" s="211" t="s">
        <v>13</v>
      </c>
      <c r="P11" s="212"/>
      <c r="Q11" s="213"/>
      <c r="R11" s="209" t="s">
        <v>14</v>
      </c>
      <c r="S11" s="225" t="s">
        <v>58</v>
      </c>
      <c r="T11" s="226"/>
      <c r="U11" s="226"/>
      <c r="V11" s="227"/>
      <c r="W11" s="207" t="s">
        <v>21</v>
      </c>
      <c r="X11" s="209" t="s">
        <v>9</v>
      </c>
      <c r="Y11" s="22" t="s">
        <v>242</v>
      </c>
      <c r="Z11" s="22" t="s">
        <v>243</v>
      </c>
      <c r="AA11" s="22" t="s">
        <v>156</v>
      </c>
      <c r="AB11" s="207" t="s">
        <v>59</v>
      </c>
      <c r="AC11" s="228" t="s">
        <v>18</v>
      </c>
      <c r="AD11" s="229"/>
      <c r="AE11" s="229"/>
      <c r="AF11" s="229"/>
      <c r="AG11" s="205" t="s">
        <v>19</v>
      </c>
      <c r="AH11" s="4"/>
    </row>
    <row r="12" spans="1:34" ht="51" x14ac:dyDescent="0.25">
      <c r="B12" s="216"/>
      <c r="C12" s="218"/>
      <c r="D12" s="210"/>
      <c r="E12" s="210"/>
      <c r="F12" s="210"/>
      <c r="G12" s="210"/>
      <c r="H12" s="210"/>
      <c r="I12" s="210"/>
      <c r="J12" s="210"/>
      <c r="K12" s="210"/>
      <c r="L12" s="22">
        <v>5.6</v>
      </c>
      <c r="M12" s="22">
        <v>5.6</v>
      </c>
      <c r="N12" s="22">
        <v>0.7</v>
      </c>
      <c r="O12" s="23">
        <v>0.8</v>
      </c>
      <c r="P12" s="24">
        <v>0.9</v>
      </c>
      <c r="Q12" s="28">
        <v>1</v>
      </c>
      <c r="R12" s="210"/>
      <c r="S12" s="29">
        <v>0.1</v>
      </c>
      <c r="T12" s="30">
        <v>0.2</v>
      </c>
      <c r="U12" s="30">
        <v>0.3</v>
      </c>
      <c r="V12" s="30">
        <v>0.1</v>
      </c>
      <c r="W12" s="208"/>
      <c r="X12" s="210"/>
      <c r="Y12" s="22">
        <v>10.4</v>
      </c>
      <c r="Z12" s="22">
        <v>5.6</v>
      </c>
      <c r="AA12" s="22">
        <v>7.3</v>
      </c>
      <c r="AB12" s="208"/>
      <c r="AC12" s="33" t="s">
        <v>20</v>
      </c>
      <c r="AD12" s="33" t="s">
        <v>21</v>
      </c>
      <c r="AE12" s="33" t="s">
        <v>22</v>
      </c>
      <c r="AF12" s="33" t="s">
        <v>23</v>
      </c>
      <c r="AG12" s="206"/>
      <c r="AH12" s="4"/>
    </row>
    <row r="13" spans="1:34" x14ac:dyDescent="0.25">
      <c r="B13" s="7"/>
      <c r="C13" s="8"/>
      <c r="D13" s="9">
        <v>0</v>
      </c>
      <c r="E13" s="9">
        <v>1</v>
      </c>
      <c r="F13" s="9">
        <v>2</v>
      </c>
      <c r="G13" s="9" t="s">
        <v>24</v>
      </c>
      <c r="H13" s="9" t="s">
        <v>25</v>
      </c>
      <c r="I13" s="9" t="s">
        <v>26</v>
      </c>
      <c r="J13" s="9" t="s">
        <v>27</v>
      </c>
      <c r="K13" s="25" t="s">
        <v>60</v>
      </c>
      <c r="L13" s="9" t="s">
        <v>61</v>
      </c>
      <c r="M13" s="9" t="s">
        <v>61</v>
      </c>
      <c r="N13" s="9" t="s">
        <v>62</v>
      </c>
      <c r="O13" s="9" t="s">
        <v>63</v>
      </c>
      <c r="P13" s="9" t="s">
        <v>63</v>
      </c>
      <c r="Q13" s="9" t="s">
        <v>63</v>
      </c>
      <c r="R13" s="9">
        <v>9</v>
      </c>
      <c r="S13" s="31" t="s">
        <v>161</v>
      </c>
      <c r="T13" s="31" t="s">
        <v>162</v>
      </c>
      <c r="U13" s="31" t="s">
        <v>163</v>
      </c>
      <c r="V13" s="31" t="s">
        <v>164</v>
      </c>
      <c r="W13" s="31" t="s">
        <v>64</v>
      </c>
      <c r="X13" s="9" t="s">
        <v>65</v>
      </c>
      <c r="Y13" s="9" t="s">
        <v>66</v>
      </c>
      <c r="Z13" s="9" t="s">
        <v>67</v>
      </c>
      <c r="AA13" s="9" t="s">
        <v>246</v>
      </c>
      <c r="AB13" s="9" t="s">
        <v>240</v>
      </c>
      <c r="AC13" s="9">
        <v>16</v>
      </c>
      <c r="AD13" s="31" t="s">
        <v>158</v>
      </c>
      <c r="AE13" s="31" t="s">
        <v>159</v>
      </c>
      <c r="AF13" s="31" t="s">
        <v>160</v>
      </c>
      <c r="AG13" s="9">
        <v>17</v>
      </c>
      <c r="AH13" s="4"/>
    </row>
    <row r="14" spans="1:34" x14ac:dyDescent="0.25">
      <c r="A14" s="121" t="s">
        <v>241</v>
      </c>
      <c r="B14" s="116">
        <v>9</v>
      </c>
      <c r="C14" s="116" t="s">
        <v>147</v>
      </c>
      <c r="D14" s="117">
        <v>1</v>
      </c>
      <c r="E14" s="118">
        <v>72.63</v>
      </c>
      <c r="F14" s="118">
        <f t="shared" ref="F14" si="0">E14*1192.91</f>
        <v>86641.0533</v>
      </c>
      <c r="G14" s="118">
        <f t="shared" ref="G14" si="1">+F14/60</f>
        <v>1444.0175549999999</v>
      </c>
      <c r="H14" s="118">
        <f t="shared" ref="H14" si="2">+F14*1.5%</f>
        <v>1299.6157994999999</v>
      </c>
      <c r="I14" s="118">
        <v>0</v>
      </c>
      <c r="J14" s="118">
        <v>2742.88</v>
      </c>
      <c r="K14" s="118">
        <f t="shared" ref="K14" si="3">+J14/12</f>
        <v>228.57333333333335</v>
      </c>
      <c r="L14" s="118"/>
      <c r="M14" s="118">
        <f t="shared" ref="M14" si="4">J14*(100%+5.6%)</f>
        <v>2896.4812800000004</v>
      </c>
      <c r="N14" s="118">
        <f>+K14*N12</f>
        <v>160.00133333333335</v>
      </c>
      <c r="O14" s="118">
        <f>+N14*O12</f>
        <v>128.00106666666667</v>
      </c>
      <c r="P14" s="118">
        <f>+N14*P12</f>
        <v>144.00120000000001</v>
      </c>
      <c r="Q14" s="118">
        <f>+N14*Q12</f>
        <v>160.00133333333335</v>
      </c>
      <c r="R14" s="118">
        <v>1583.11</v>
      </c>
      <c r="S14" s="118">
        <f>R14*S12</f>
        <v>158.31100000000001</v>
      </c>
      <c r="T14" s="118">
        <v>0</v>
      </c>
      <c r="U14" s="118">
        <v>0</v>
      </c>
      <c r="V14" s="118">
        <v>0</v>
      </c>
      <c r="W14" s="118">
        <f>O14</f>
        <v>128.00106666666667</v>
      </c>
      <c r="X14" s="118">
        <f>W14*12-0.01</f>
        <v>1536.0028</v>
      </c>
      <c r="Y14" s="118">
        <v>0</v>
      </c>
      <c r="Z14" s="118">
        <v>0</v>
      </c>
      <c r="AA14" s="118">
        <v>0</v>
      </c>
      <c r="AB14" s="118">
        <f>X14/12</f>
        <v>128.00023333333334</v>
      </c>
      <c r="AC14" s="118">
        <f t="shared" ref="AC14" si="5">K14</f>
        <v>228.57333333333335</v>
      </c>
      <c r="AD14" s="118">
        <f>AB14</f>
        <v>128.00023333333334</v>
      </c>
      <c r="AE14" s="118">
        <f t="shared" ref="AE14" si="6">G14/12</f>
        <v>120.33479625</v>
      </c>
      <c r="AF14" s="119">
        <f t="shared" ref="AF14" si="7">AE14/AC14*100</f>
        <v>52.646034642419636</v>
      </c>
      <c r="AG14" s="120">
        <f t="shared" ref="AG14" si="8">AD14*AF14%</f>
        <v>67.387047183044643</v>
      </c>
      <c r="AH14" s="4"/>
    </row>
    <row r="15" spans="1:34" x14ac:dyDescent="0.25">
      <c r="B15" s="7"/>
      <c r="C15" s="219" t="s">
        <v>77</v>
      </c>
      <c r="D15" s="219"/>
      <c r="E15" s="15">
        <f t="shared" ref="E15:K15" si="9">SUM(E14:E14)</f>
        <v>72.63</v>
      </c>
      <c r="F15" s="15">
        <f t="shared" si="9"/>
        <v>86641.0533</v>
      </c>
      <c r="G15" s="15">
        <f t="shared" si="9"/>
        <v>1444.0175549999999</v>
      </c>
      <c r="H15" s="15">
        <f t="shared" si="9"/>
        <v>1299.6157994999999</v>
      </c>
      <c r="I15" s="59">
        <f t="shared" si="9"/>
        <v>0</v>
      </c>
      <c r="J15" s="15">
        <f t="shared" si="9"/>
        <v>2742.88</v>
      </c>
      <c r="K15" s="15">
        <f t="shared" si="9"/>
        <v>228.57333333333335</v>
      </c>
      <c r="L15" s="15"/>
      <c r="M15" s="15">
        <f>SUM(M14:M14)</f>
        <v>2896.4812800000004</v>
      </c>
      <c r="N15" s="15">
        <f>SUM(N14:N14)</f>
        <v>160.00133333333335</v>
      </c>
      <c r="O15" s="15">
        <f>SUM(O14:O14)</f>
        <v>128.00106666666667</v>
      </c>
      <c r="P15" s="15">
        <f>SUM(P14:P14)</f>
        <v>144.00120000000001</v>
      </c>
      <c r="Q15" s="15">
        <f>SUM(Q14:Q14)</f>
        <v>160.00133333333335</v>
      </c>
      <c r="R15" s="15"/>
      <c r="S15" s="15">
        <f t="shared" ref="S15:AG15" si="10">SUM(S14:S14)</f>
        <v>158.31100000000001</v>
      </c>
      <c r="T15" s="15">
        <f t="shared" si="10"/>
        <v>0</v>
      </c>
      <c r="U15" s="15">
        <f t="shared" si="10"/>
        <v>0</v>
      </c>
      <c r="V15" s="15">
        <f t="shared" si="10"/>
        <v>0</v>
      </c>
      <c r="W15" s="15">
        <f t="shared" si="10"/>
        <v>128.00106666666667</v>
      </c>
      <c r="X15" s="15">
        <f t="shared" si="10"/>
        <v>1536.0028</v>
      </c>
      <c r="Y15" s="15">
        <f t="shared" si="10"/>
        <v>0</v>
      </c>
      <c r="Z15" s="15">
        <f t="shared" si="10"/>
        <v>0</v>
      </c>
      <c r="AA15" s="15">
        <f t="shared" si="10"/>
        <v>0</v>
      </c>
      <c r="AB15" s="15">
        <f t="shared" si="10"/>
        <v>128.00023333333334</v>
      </c>
      <c r="AC15" s="15">
        <f t="shared" si="10"/>
        <v>228.57333333333335</v>
      </c>
      <c r="AD15" s="15">
        <f t="shared" si="10"/>
        <v>128.00023333333334</v>
      </c>
      <c r="AE15" s="15">
        <f t="shared" si="10"/>
        <v>120.33479625</v>
      </c>
      <c r="AF15" s="15">
        <f t="shared" si="10"/>
        <v>52.646034642419636</v>
      </c>
      <c r="AG15" s="15">
        <f t="shared" si="10"/>
        <v>67.387047183044643</v>
      </c>
      <c r="AH15" s="4"/>
    </row>
    <row r="16" spans="1:34" x14ac:dyDescent="0.25">
      <c r="B16" s="4"/>
      <c r="C16" s="52"/>
      <c r="D16" s="52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"/>
    </row>
    <row r="17" spans="2:34" x14ac:dyDescent="0.25">
      <c r="B17" s="4"/>
      <c r="C17" s="52"/>
      <c r="D17" s="5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"/>
    </row>
    <row r="18" spans="2:34" ht="15" x14ac:dyDescent="0.25">
      <c r="B18" s="4"/>
      <c r="C18" s="67"/>
      <c r="D18" s="68"/>
      <c r="E18" s="69" t="s">
        <v>149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1"/>
      <c r="W18" s="71"/>
      <c r="X18" s="135"/>
      <c r="Y18" s="135"/>
      <c r="Z18" s="135"/>
      <c r="AA18" s="135"/>
      <c r="AB18" s="135"/>
      <c r="AC18" s="135"/>
      <c r="AD18" s="69"/>
      <c r="AE18" s="69"/>
      <c r="AF18" s="69"/>
      <c r="AG18" s="41"/>
      <c r="AH18" s="4"/>
    </row>
    <row r="19" spans="2:34" ht="15" x14ac:dyDescent="0.25">
      <c r="B19" s="4"/>
      <c r="C19" s="4"/>
      <c r="D19" s="220" t="s">
        <v>150</v>
      </c>
      <c r="E19" s="220"/>
      <c r="F19" s="220"/>
      <c r="G19" s="69"/>
      <c r="H19" s="69"/>
      <c r="I19" s="69"/>
      <c r="J19" s="69"/>
      <c r="K19" s="71"/>
      <c r="L19" s="71"/>
      <c r="M19" s="71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135"/>
      <c r="Y19" s="135"/>
      <c r="Z19" s="135"/>
      <c r="AA19" s="135"/>
      <c r="AB19" s="135"/>
      <c r="AC19" s="135"/>
      <c r="AD19" s="69"/>
      <c r="AE19" s="69"/>
      <c r="AF19" s="69"/>
      <c r="AG19" s="41"/>
      <c r="AH19" s="4"/>
    </row>
    <row r="20" spans="2:34" ht="15" x14ac:dyDescent="0.25">
      <c r="B20" s="4"/>
      <c r="C20" s="4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71"/>
      <c r="X20" s="135"/>
      <c r="Y20" s="135"/>
      <c r="Z20" s="135"/>
      <c r="AA20" s="135"/>
      <c r="AB20" s="135"/>
      <c r="AC20" s="135"/>
      <c r="AD20" s="69"/>
      <c r="AE20" s="69"/>
      <c r="AF20" s="69"/>
      <c r="AG20" s="41"/>
      <c r="AH20" s="4"/>
    </row>
    <row r="21" spans="2:34" ht="15" x14ac:dyDescent="0.25">
      <c r="B21" s="4"/>
      <c r="C21" s="4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220" t="s">
        <v>151</v>
      </c>
      <c r="U21" s="220"/>
      <c r="V21" s="220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41"/>
      <c r="AH21" s="4"/>
    </row>
    <row r="22" spans="2:34" ht="15" x14ac:dyDescent="0.25">
      <c r="B22" s="4"/>
      <c r="C22" s="4"/>
      <c r="D22" s="69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69"/>
      <c r="S22" s="71"/>
      <c r="T22" s="220" t="s">
        <v>152</v>
      </c>
      <c r="U22" s="220"/>
      <c r="V22" s="220"/>
      <c r="W22" s="69"/>
      <c r="X22" s="69"/>
      <c r="Y22" s="69"/>
      <c r="Z22" s="69"/>
      <c r="AA22" s="69"/>
      <c r="AB22" s="69"/>
      <c r="AC22" s="69"/>
      <c r="AD22" s="69"/>
      <c r="AE22" s="220" t="s">
        <v>153</v>
      </c>
      <c r="AF22" s="220"/>
      <c r="AG22" s="41"/>
      <c r="AH22" s="4"/>
    </row>
    <row r="23" spans="2:34" ht="15" x14ac:dyDescent="0.25">
      <c r="B23" s="4"/>
      <c r="C23" s="4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214" t="s">
        <v>154</v>
      </c>
      <c r="AF23" s="214"/>
      <c r="AG23" s="41"/>
      <c r="AH23" s="4"/>
    </row>
    <row r="24" spans="2:34" ht="14.25" x14ac:dyDescent="0.25">
      <c r="B24" s="4"/>
      <c r="D24" s="72"/>
      <c r="E24" s="72"/>
      <c r="F24" s="77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4"/>
      <c r="AF24" s="74"/>
      <c r="AG24" s="41"/>
      <c r="AH24" s="4"/>
    </row>
    <row r="25" spans="2:34" x14ac:dyDescent="0.25">
      <c r="B25" s="4"/>
      <c r="C25" s="52"/>
      <c r="D25" s="5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"/>
    </row>
    <row r="26" spans="2:34" x14ac:dyDescent="0.25">
      <c r="B26" s="4"/>
      <c r="C26" s="52"/>
      <c r="D26" s="52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"/>
    </row>
    <row r="27" spans="2:34" x14ac:dyDescent="0.25">
      <c r="B27" s="4"/>
      <c r="C27" s="52"/>
      <c r="D27" s="52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"/>
    </row>
    <row r="28" spans="2:34" x14ac:dyDescent="0.25">
      <c r="B28" s="4"/>
      <c r="C28" s="52"/>
      <c r="D28" s="52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"/>
    </row>
    <row r="29" spans="2:34" x14ac:dyDescent="0.25">
      <c r="B29" s="4"/>
      <c r="C29" s="52"/>
      <c r="D29" s="52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"/>
    </row>
    <row r="30" spans="2:34" x14ac:dyDescent="0.25">
      <c r="B30" s="4"/>
      <c r="C30" s="52"/>
      <c r="D30" s="52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"/>
    </row>
    <row r="31" spans="2:34" x14ac:dyDescent="0.25">
      <c r="B31" s="4"/>
      <c r="C31" s="52"/>
      <c r="D31" s="52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"/>
    </row>
    <row r="32" spans="2:34" x14ac:dyDescent="0.25">
      <c r="B32" s="4"/>
      <c r="C32" s="52"/>
      <c r="D32" s="52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"/>
    </row>
    <row r="33" spans="2:34" x14ac:dyDescent="0.25">
      <c r="B33" s="4"/>
      <c r="C33" s="52"/>
      <c r="D33" s="52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"/>
    </row>
    <row r="34" spans="2:34" x14ac:dyDescent="0.25">
      <c r="B34" s="4"/>
      <c r="C34" s="52"/>
      <c r="D34" s="52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"/>
    </row>
    <row r="35" spans="2:34" x14ac:dyDescent="0.25">
      <c r="B35" s="4"/>
      <c r="C35" s="52"/>
      <c r="D35" s="52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"/>
    </row>
    <row r="36" spans="2:34" x14ac:dyDescent="0.25">
      <c r="B36" s="4"/>
      <c r="C36" s="52"/>
      <c r="D36" s="52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"/>
    </row>
    <row r="37" spans="2:34" x14ac:dyDescent="0.25">
      <c r="B37" s="4"/>
      <c r="C37" s="52"/>
      <c r="D37" s="52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"/>
    </row>
    <row r="38" spans="2:34" x14ac:dyDescent="0.25">
      <c r="B38" s="4"/>
      <c r="C38" s="52"/>
      <c r="D38" s="52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"/>
    </row>
    <row r="39" spans="2:34" x14ac:dyDescent="0.25">
      <c r="B39" s="4"/>
      <c r="C39" s="52"/>
      <c r="D39" s="52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"/>
    </row>
    <row r="40" spans="2:34" x14ac:dyDescent="0.25">
      <c r="B40" s="4"/>
      <c r="C40" s="52"/>
      <c r="D40" s="52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"/>
    </row>
    <row r="41" spans="2:34" x14ac:dyDescent="0.25">
      <c r="B41" s="4"/>
      <c r="C41" s="52"/>
      <c r="D41" s="52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"/>
    </row>
    <row r="42" spans="2:34" x14ac:dyDescent="0.25">
      <c r="B42" s="4"/>
      <c r="C42" s="52"/>
      <c r="D42" s="52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"/>
    </row>
    <row r="43" spans="2:34" x14ac:dyDescent="0.25">
      <c r="B43" s="4"/>
      <c r="C43" s="52"/>
      <c r="D43" s="52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"/>
    </row>
    <row r="44" spans="2:34" x14ac:dyDescent="0.25">
      <c r="B44" s="4"/>
      <c r="C44" s="52"/>
      <c r="D44" s="52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"/>
    </row>
    <row r="45" spans="2:34" x14ac:dyDescent="0.25">
      <c r="B45" s="4"/>
      <c r="C45" s="52"/>
      <c r="D45" s="52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"/>
    </row>
    <row r="46" spans="2:34" x14ac:dyDescent="0.25">
      <c r="B46" s="4"/>
      <c r="C46" s="52"/>
      <c r="D46" s="52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"/>
    </row>
    <row r="47" spans="2:34" x14ac:dyDescent="0.25">
      <c r="B47" s="4"/>
      <c r="C47" s="52"/>
      <c r="D47" s="52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"/>
    </row>
    <row r="48" spans="2:34" x14ac:dyDescent="0.25">
      <c r="B48" s="4"/>
      <c r="C48" s="52"/>
      <c r="D48" s="52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"/>
    </row>
    <row r="49" spans="2:34" x14ac:dyDescent="0.25">
      <c r="B49" s="4"/>
      <c r="C49" s="52"/>
      <c r="D49" s="52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"/>
    </row>
    <row r="50" spans="2:34" x14ac:dyDescent="0.25">
      <c r="B50" s="4"/>
      <c r="C50" s="52"/>
      <c r="D50" s="52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"/>
    </row>
    <row r="51" spans="2:34" x14ac:dyDescent="0.25">
      <c r="B51" s="4"/>
      <c r="C51" s="52"/>
      <c r="D51" s="52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"/>
    </row>
    <row r="52" spans="2:34" x14ac:dyDescent="0.25">
      <c r="B52" s="4"/>
      <c r="C52" s="52"/>
      <c r="D52" s="52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"/>
    </row>
    <row r="53" spans="2:34" x14ac:dyDescent="0.25">
      <c r="B53" s="4"/>
      <c r="C53" s="52"/>
      <c r="D53" s="52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"/>
    </row>
    <row r="54" spans="2:34" x14ac:dyDescent="0.25">
      <c r="B54" s="4"/>
      <c r="C54" s="52"/>
      <c r="D54" s="52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"/>
    </row>
    <row r="55" spans="2:34" x14ac:dyDescent="0.25">
      <c r="B55" s="4"/>
      <c r="C55" s="52"/>
      <c r="D55" s="52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"/>
    </row>
    <row r="56" spans="2:34" x14ac:dyDescent="0.25">
      <c r="B56" s="4"/>
      <c r="C56" s="52"/>
      <c r="D56" s="52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"/>
    </row>
    <row r="57" spans="2:34" x14ac:dyDescent="0.25">
      <c r="B57" s="4"/>
      <c r="C57" s="52"/>
      <c r="D57" s="52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"/>
    </row>
    <row r="58" spans="2:34" x14ac:dyDescent="0.25">
      <c r="B58" s="4"/>
      <c r="C58" s="52"/>
      <c r="D58" s="52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"/>
    </row>
    <row r="59" spans="2:34" x14ac:dyDescent="0.25">
      <c r="B59" s="4"/>
      <c r="C59" s="52"/>
      <c r="D59" s="52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"/>
    </row>
    <row r="60" spans="2:34" x14ac:dyDescent="0.25">
      <c r="B60" s="4"/>
      <c r="C60" s="52"/>
      <c r="D60" s="52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"/>
    </row>
    <row r="61" spans="2:34" x14ac:dyDescent="0.25">
      <c r="B61" s="4"/>
      <c r="C61" s="52"/>
      <c r="D61" s="5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"/>
    </row>
    <row r="62" spans="2:34" x14ac:dyDescent="0.25">
      <c r="B62" s="4"/>
      <c r="C62" s="52"/>
      <c r="D62" s="5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"/>
    </row>
    <row r="63" spans="2:34" x14ac:dyDescent="0.25">
      <c r="B63" s="4"/>
      <c r="C63" s="52"/>
      <c r="D63" s="5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"/>
    </row>
    <row r="64" spans="2:34" x14ac:dyDescent="0.25">
      <c r="B64" s="4"/>
      <c r="C64" s="52"/>
      <c r="D64" s="5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"/>
    </row>
    <row r="65" spans="2:34" x14ac:dyDescent="0.25">
      <c r="B65" s="4"/>
      <c r="C65" s="52"/>
      <c r="D65" s="5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"/>
    </row>
    <row r="66" spans="2:34" x14ac:dyDescent="0.25">
      <c r="B66" s="4"/>
      <c r="C66" s="52"/>
      <c r="D66" s="5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"/>
    </row>
    <row r="67" spans="2:34" x14ac:dyDescent="0.25">
      <c r="B67" s="4"/>
      <c r="C67" s="52"/>
      <c r="D67" s="5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"/>
    </row>
    <row r="68" spans="2:34" x14ac:dyDescent="0.25">
      <c r="B68" s="4"/>
      <c r="C68" s="52"/>
      <c r="D68" s="5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"/>
    </row>
    <row r="69" spans="2:34" x14ac:dyDescent="0.25">
      <c r="B69" s="4"/>
      <c r="C69" s="52"/>
      <c r="D69" s="5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"/>
    </row>
    <row r="70" spans="2:34" x14ac:dyDescent="0.25">
      <c r="B70" s="4"/>
      <c r="C70" s="52"/>
      <c r="D70" s="5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"/>
    </row>
    <row r="71" spans="2:34" x14ac:dyDescent="0.25">
      <c r="B71" s="4"/>
      <c r="C71" s="52"/>
      <c r="D71" s="5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"/>
    </row>
    <row r="72" spans="2:34" x14ac:dyDescent="0.25">
      <c r="B72" s="4"/>
      <c r="C72" s="52"/>
      <c r="D72" s="5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"/>
    </row>
    <row r="73" spans="2:34" x14ac:dyDescent="0.25">
      <c r="B73" s="4"/>
      <c r="C73" s="52"/>
      <c r="D73" s="5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"/>
    </row>
    <row r="74" spans="2:34" x14ac:dyDescent="0.25">
      <c r="B74" s="4"/>
      <c r="C74" s="52"/>
      <c r="D74" s="5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"/>
    </row>
    <row r="75" spans="2:34" x14ac:dyDescent="0.25">
      <c r="B75" s="4"/>
      <c r="C75" s="52"/>
      <c r="D75" s="5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"/>
    </row>
    <row r="76" spans="2:34" x14ac:dyDescent="0.25">
      <c r="B76" s="4"/>
      <c r="C76" s="52"/>
      <c r="D76" s="5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"/>
    </row>
    <row r="77" spans="2:34" x14ac:dyDescent="0.25">
      <c r="B77" s="4"/>
      <c r="C77" s="52"/>
      <c r="D77" s="5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"/>
    </row>
    <row r="78" spans="2:34" x14ac:dyDescent="0.25">
      <c r="B78" s="4"/>
      <c r="C78" s="52"/>
      <c r="D78" s="5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"/>
    </row>
    <row r="79" spans="2:34" x14ac:dyDescent="0.25">
      <c r="B79" s="4"/>
      <c r="C79" s="52"/>
      <c r="D79" s="5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"/>
    </row>
    <row r="80" spans="2:34" x14ac:dyDescent="0.25">
      <c r="B80" s="4"/>
      <c r="C80" s="52"/>
      <c r="D80" s="5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"/>
    </row>
    <row r="81" spans="2:34" x14ac:dyDescent="0.25">
      <c r="B81" s="4"/>
      <c r="C81" s="52"/>
      <c r="D81" s="5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"/>
    </row>
    <row r="82" spans="2:34" x14ac:dyDescent="0.25">
      <c r="B82" s="4"/>
      <c r="C82" s="52"/>
      <c r="D82" s="5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"/>
    </row>
    <row r="83" spans="2:34" x14ac:dyDescent="0.25">
      <c r="B83" s="4"/>
      <c r="C83" s="52"/>
      <c r="D83" s="5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"/>
    </row>
    <row r="84" spans="2:34" x14ac:dyDescent="0.25">
      <c r="B84" s="4"/>
      <c r="C84" s="52"/>
      <c r="D84" s="5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"/>
    </row>
    <row r="85" spans="2:34" x14ac:dyDescent="0.25">
      <c r="B85" s="4"/>
      <c r="C85" s="52"/>
      <c r="D85" s="5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"/>
    </row>
    <row r="86" spans="2:34" x14ac:dyDescent="0.25">
      <c r="B86" s="4"/>
      <c r="C86" s="52"/>
      <c r="D86" s="5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"/>
    </row>
    <row r="87" spans="2:34" x14ac:dyDescent="0.25">
      <c r="B87" s="4"/>
      <c r="C87" s="52"/>
      <c r="D87" s="5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"/>
    </row>
    <row r="88" spans="2:34" x14ac:dyDescent="0.25">
      <c r="B88" s="4"/>
      <c r="C88" s="52"/>
      <c r="D88" s="5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"/>
    </row>
    <row r="89" spans="2:34" x14ac:dyDescent="0.25">
      <c r="B89" s="4"/>
      <c r="C89" s="52"/>
      <c r="D89" s="5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"/>
    </row>
    <row r="90" spans="2:34" x14ac:dyDescent="0.25">
      <c r="B90" s="4"/>
      <c r="C90" s="52"/>
      <c r="D90" s="5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"/>
    </row>
    <row r="91" spans="2:34" x14ac:dyDescent="0.25">
      <c r="B91" s="4"/>
      <c r="C91" s="52"/>
      <c r="D91" s="52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"/>
    </row>
    <row r="92" spans="2:34" x14ac:dyDescent="0.25">
      <c r="B92" s="4"/>
      <c r="C92" s="52"/>
      <c r="D92" s="52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"/>
    </row>
    <row r="93" spans="2:34" x14ac:dyDescent="0.25">
      <c r="B93" s="4"/>
      <c r="C93" s="52"/>
      <c r="D93" s="52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"/>
    </row>
    <row r="94" spans="2:34" x14ac:dyDescent="0.25">
      <c r="B94" s="4"/>
      <c r="C94" s="52"/>
      <c r="D94" s="52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"/>
    </row>
    <row r="95" spans="2:34" x14ac:dyDescent="0.25">
      <c r="B95" s="4"/>
      <c r="C95" s="52"/>
      <c r="D95" s="52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"/>
    </row>
    <row r="96" spans="2:34" x14ac:dyDescent="0.25">
      <c r="B96" s="4"/>
      <c r="C96" s="52"/>
      <c r="D96" s="52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"/>
    </row>
    <row r="97" spans="2:34" x14ac:dyDescent="0.25">
      <c r="B97" s="4"/>
      <c r="C97" s="52"/>
      <c r="D97" s="52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"/>
    </row>
    <row r="98" spans="2:34" x14ac:dyDescent="0.25">
      <c r="B98" s="4"/>
      <c r="C98" s="52"/>
      <c r="D98" s="52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"/>
    </row>
    <row r="99" spans="2:34" x14ac:dyDescent="0.25">
      <c r="B99" s="4"/>
      <c r="C99" s="52"/>
      <c r="D99" s="52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"/>
    </row>
    <row r="100" spans="2:34" x14ac:dyDescent="0.25">
      <c r="B100" s="4"/>
      <c r="C100" s="52"/>
      <c r="D100" s="52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"/>
    </row>
    <row r="101" spans="2:34" x14ac:dyDescent="0.25">
      <c r="B101" s="4"/>
      <c r="C101" s="52"/>
      <c r="D101" s="52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"/>
    </row>
    <row r="102" spans="2:34" x14ac:dyDescent="0.25">
      <c r="B102" s="4"/>
      <c r="C102" s="52"/>
      <c r="D102" s="52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"/>
    </row>
    <row r="103" spans="2:34" x14ac:dyDescent="0.25">
      <c r="B103" s="4"/>
      <c r="C103" s="52"/>
      <c r="D103" s="52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"/>
    </row>
    <row r="104" spans="2:34" x14ac:dyDescent="0.25">
      <c r="B104" s="4"/>
      <c r="C104" s="52"/>
      <c r="D104" s="52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"/>
    </row>
    <row r="105" spans="2:34" x14ac:dyDescent="0.25">
      <c r="B105" s="4"/>
      <c r="C105" s="52"/>
      <c r="D105" s="52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"/>
    </row>
    <row r="106" spans="2:34" x14ac:dyDescent="0.25">
      <c r="B106" s="4"/>
      <c r="C106" s="52"/>
      <c r="D106" s="52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"/>
    </row>
    <row r="107" spans="2:34" x14ac:dyDescent="0.25">
      <c r="B107" s="4"/>
      <c r="C107" s="52"/>
      <c r="D107" s="52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"/>
    </row>
    <row r="108" spans="2:34" x14ac:dyDescent="0.25">
      <c r="B108" s="4"/>
      <c r="C108" s="52"/>
      <c r="D108" s="52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"/>
    </row>
    <row r="109" spans="2:34" x14ac:dyDescent="0.25">
      <c r="B109" s="4"/>
      <c r="C109" s="52"/>
      <c r="D109" s="52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"/>
    </row>
    <row r="110" spans="2:34" x14ac:dyDescent="0.25">
      <c r="B110" s="4"/>
      <c r="C110" s="52"/>
      <c r="D110" s="52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"/>
    </row>
    <row r="111" spans="2:34" x14ac:dyDescent="0.25">
      <c r="B111" s="4"/>
      <c r="C111" s="52"/>
      <c r="D111" s="5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"/>
    </row>
    <row r="112" spans="2:34" x14ac:dyDescent="0.25">
      <c r="B112" s="4"/>
      <c r="C112" s="52"/>
      <c r="D112" s="5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"/>
    </row>
    <row r="113" spans="1:34" x14ac:dyDescent="0.25">
      <c r="B113" s="4"/>
      <c r="C113" s="52"/>
      <c r="D113" s="5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"/>
    </row>
    <row r="114" spans="1:34" x14ac:dyDescent="0.25">
      <c r="B114" s="4"/>
      <c r="C114" s="52"/>
      <c r="D114" s="5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"/>
    </row>
    <row r="115" spans="1:34" x14ac:dyDescent="0.25">
      <c r="B115" s="4"/>
      <c r="C115" s="52"/>
      <c r="D115" s="5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"/>
    </row>
    <row r="116" spans="1:34" ht="15" x14ac:dyDescent="0.25">
      <c r="B116" s="27"/>
      <c r="C116" s="52"/>
      <c r="D116" s="52"/>
      <c r="E116" s="52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"/>
    </row>
    <row r="117" spans="1:34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 s="4"/>
    </row>
    <row r="118" spans="1:3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4"/>
    </row>
    <row r="119" spans="1:3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4"/>
    </row>
    <row r="120" spans="1:3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4"/>
    </row>
    <row r="121" spans="1:34" ht="139.9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4"/>
    </row>
    <row r="122" spans="1:34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 s="4"/>
    </row>
    <row r="123" spans="1:3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 s="4"/>
    </row>
    <row r="124" spans="1:3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 s="4"/>
    </row>
    <row r="125" spans="1:3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 s="4"/>
    </row>
    <row r="126" spans="1:3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 s="4"/>
    </row>
    <row r="127" spans="1:3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4"/>
    </row>
    <row r="128" spans="1:3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 s="4"/>
    </row>
    <row r="129" spans="1:3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4"/>
    </row>
    <row r="130" spans="1:3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4"/>
    </row>
    <row r="131" spans="1:3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 s="4"/>
    </row>
    <row r="132" spans="1:3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 s="4"/>
    </row>
    <row r="133" spans="1:34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B136" s="4"/>
      <c r="C136" s="221"/>
      <c r="D136" s="22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3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B137" s="4"/>
      <c r="AG137" s="4"/>
      <c r="AH137" s="4"/>
    </row>
    <row r="138" spans="1:34" x14ac:dyDescent="0.25">
      <c r="B138" s="4"/>
      <c r="AG138" s="4"/>
      <c r="AH138" s="4"/>
    </row>
    <row r="139" spans="1:34" x14ac:dyDescent="0.25">
      <c r="B139" s="4"/>
      <c r="AG139" s="4"/>
      <c r="AH139" s="4"/>
    </row>
    <row r="140" spans="1:34" x14ac:dyDescent="0.25">
      <c r="B140" s="4"/>
      <c r="AG140" s="4"/>
      <c r="AH140" s="4"/>
    </row>
    <row r="141" spans="1:34" x14ac:dyDescent="0.25">
      <c r="B141" s="4"/>
      <c r="AG141" s="4"/>
      <c r="AH141" s="4"/>
    </row>
    <row r="142" spans="1:34" x14ac:dyDescent="0.25">
      <c r="B142" s="4"/>
      <c r="AG142" s="4"/>
      <c r="AH142" s="4"/>
    </row>
    <row r="144" spans="1:34" ht="14.25" x14ac:dyDescent="0.25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</row>
    <row r="160" spans="2:33" ht="15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2:33" ht="15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ht="15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ht="15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ht="95.1" customHeigh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ht="15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ht="15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ht="15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ht="15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ht="15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ht="15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4" spans="2:33" x14ac:dyDescent="0.25">
      <c r="C174" s="222"/>
      <c r="D174" s="222"/>
      <c r="V174" s="74"/>
    </row>
    <row r="175" spans="2:33" ht="15" x14ac:dyDescent="0.25">
      <c r="C175" s="75"/>
      <c r="D175" s="76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7"/>
      <c r="W175" s="72"/>
      <c r="X175" s="136"/>
      <c r="Y175" s="136"/>
      <c r="Z175" s="136"/>
      <c r="AA175" s="136"/>
      <c r="AB175" s="136"/>
      <c r="AC175" s="136"/>
      <c r="AD175" s="72"/>
      <c r="AE175" s="72"/>
      <c r="AF175" s="72"/>
      <c r="AG175" s="72"/>
    </row>
    <row r="176" spans="2:33" ht="14.25" x14ac:dyDescent="0.25">
      <c r="D176" s="214"/>
      <c r="E176" s="214"/>
      <c r="F176" s="214"/>
      <c r="G176" s="72"/>
      <c r="H176" s="72"/>
      <c r="I176" s="72"/>
      <c r="J176" s="72"/>
      <c r="K176" s="77"/>
      <c r="L176" s="77"/>
      <c r="M176" s="77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136"/>
      <c r="Y176" s="136"/>
      <c r="Z176" s="136"/>
      <c r="AA176" s="136"/>
      <c r="AB176" s="136"/>
      <c r="AC176" s="136"/>
      <c r="AD176" s="72"/>
      <c r="AE176" s="72"/>
      <c r="AF176" s="72"/>
      <c r="AG176" s="72"/>
    </row>
    <row r="177" spans="4:33" ht="14.25" x14ac:dyDescent="0.25"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136"/>
      <c r="Y177" s="136"/>
      <c r="Z177" s="136"/>
      <c r="AA177" s="136"/>
      <c r="AB177" s="136"/>
      <c r="AC177" s="136"/>
      <c r="AD177" s="72"/>
      <c r="AE177" s="72"/>
      <c r="AF177" s="72"/>
      <c r="AG177" s="72"/>
    </row>
    <row r="178" spans="4:33" ht="14.25" x14ac:dyDescent="0.25"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214"/>
      <c r="U178" s="214"/>
      <c r="V178" s="214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</row>
    <row r="179" spans="4:33" ht="14.25" x14ac:dyDescent="0.25"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214"/>
      <c r="U179" s="214"/>
      <c r="V179" s="214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</row>
    <row r="180" spans="4:33" ht="14.25" x14ac:dyDescent="0.25"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214"/>
      <c r="AF180" s="214"/>
      <c r="AG180" s="72"/>
    </row>
    <row r="181" spans="4:33" ht="14.25" x14ac:dyDescent="0.25"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214"/>
      <c r="AF181" s="214"/>
      <c r="AG181" s="72"/>
    </row>
    <row r="182" spans="4:33" ht="14.25" x14ac:dyDescent="0.25"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</row>
    <row r="183" spans="4:33" ht="14.25" x14ac:dyDescent="0.25"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</row>
    <row r="190" spans="4:33" x14ac:dyDescent="0.25">
      <c r="M190" s="1" t="s">
        <v>155</v>
      </c>
    </row>
  </sheetData>
  <mergeCells count="33">
    <mergeCell ref="AE181:AF181"/>
    <mergeCell ref="D19:F19"/>
    <mergeCell ref="T21:V21"/>
    <mergeCell ref="T22:V22"/>
    <mergeCell ref="AE22:AF22"/>
    <mergeCell ref="AE23:AF23"/>
    <mergeCell ref="C136:D136"/>
    <mergeCell ref="C174:D174"/>
    <mergeCell ref="D176:F176"/>
    <mergeCell ref="T178:V178"/>
    <mergeCell ref="T179:V179"/>
    <mergeCell ref="AE180:AF180"/>
    <mergeCell ref="AG11:AG12"/>
    <mergeCell ref="C15:D15"/>
    <mergeCell ref="R11:R12"/>
    <mergeCell ref="S11:V11"/>
    <mergeCell ref="W11:W12"/>
    <mergeCell ref="X11:X12"/>
    <mergeCell ref="AB11:AB12"/>
    <mergeCell ref="AC11:AF11"/>
    <mergeCell ref="G11:G12"/>
    <mergeCell ref="H11:H12"/>
    <mergeCell ref="I11:I12"/>
    <mergeCell ref="J11:J12"/>
    <mergeCell ref="K11:K12"/>
    <mergeCell ref="O11:Q11"/>
    <mergeCell ref="C7:H7"/>
    <mergeCell ref="C9:D9"/>
    <mergeCell ref="B11:B12"/>
    <mergeCell ref="C11:C12"/>
    <mergeCell ref="D11:D12"/>
    <mergeCell ref="E11:E12"/>
    <mergeCell ref="F11:F12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CHIRIA 2024 10.4 (2)</vt:lpstr>
      <vt:lpstr>CHIRIA 2024 10.4</vt:lpstr>
      <vt:lpstr>Calcul chirie 2024 (supr. m</vt:lpstr>
      <vt:lpstr>Chirii_ 2026</vt:lpstr>
      <vt:lpstr>Chirii pe grupă de vârstă_2026</vt:lpstr>
      <vt:lpstr>Chirii_ 2026_Amortizare</vt:lpstr>
      <vt:lpstr>Chirii_ 2026_Novac</vt:lpstr>
      <vt:lpstr>Chirii_ 2026 Fătu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SIADPP-LM</cp:lastModifiedBy>
  <cp:lastPrinted>2026-02-13T11:57:37Z</cp:lastPrinted>
  <dcterms:created xsi:type="dcterms:W3CDTF">2016-09-12T08:47:00Z</dcterms:created>
  <dcterms:modified xsi:type="dcterms:W3CDTF">2026-02-17T12:52:05Z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2013BB7590C34328BD130ADF84031143_13</vt:lpwstr>
  </property>
  <property fmtid="{D5CDD505-2E9C-101B-9397-08002B2CF9AE}" pid="3" name="KSOProductBuildVer">
    <vt:lpwstr>1033-12.2.0.18607</vt:lpwstr>
  </property>
</Properties>
</file>