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9320" yWindow="-120" windowWidth="19440" windowHeight="14040"/>
  </bookViews>
  <sheets>
    <sheet name="Sheet1" sheetId="1" r:id="rId1"/>
  </sheets>
  <externalReferences>
    <externalReference r:id="rId2"/>
  </externalReferences>
  <definedNames>
    <definedName name="_xlnm.Print_Area" localSheetId="0">Sheet1!$A$1:$E$94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1" l="1"/>
  <c r="C82" i="1"/>
  <c r="C73" i="1"/>
  <c r="D72" i="1"/>
  <c r="E72" i="1" s="1"/>
  <c r="E71" i="1"/>
  <c r="D71" i="1"/>
  <c r="D73" i="1" s="1"/>
  <c r="E68" i="1"/>
  <c r="D68" i="1"/>
  <c r="C67" i="1"/>
  <c r="D67" i="1" s="1"/>
  <c r="E67" i="1" s="1"/>
  <c r="D66" i="1"/>
  <c r="E66" i="1" s="1"/>
  <c r="E65" i="1"/>
  <c r="E64" i="1"/>
  <c r="D62" i="1"/>
  <c r="E62" i="1" s="1"/>
  <c r="E60" i="1"/>
  <c r="D60" i="1"/>
  <c r="D59" i="1"/>
  <c r="D58" i="1" s="1"/>
  <c r="C58" i="1"/>
  <c r="D55" i="1"/>
  <c r="D53" i="1" s="1"/>
  <c r="A55" i="1"/>
  <c r="E54" i="1"/>
  <c r="D54" i="1"/>
  <c r="A54" i="1"/>
  <c r="C53" i="1"/>
  <c r="D52" i="1"/>
  <c r="E52" i="1" s="1"/>
  <c r="A52" i="1"/>
  <c r="D51" i="1"/>
  <c r="E51" i="1" s="1"/>
  <c r="A51" i="1"/>
  <c r="C50" i="1"/>
  <c r="E49" i="1"/>
  <c r="D49" i="1"/>
  <c r="A49" i="1"/>
  <c r="D48" i="1"/>
  <c r="E48" i="1" s="1"/>
  <c r="E47" i="1" s="1"/>
  <c r="A48" i="1"/>
  <c r="C47" i="1"/>
  <c r="E46" i="1"/>
  <c r="D46" i="1"/>
  <c r="A46" i="1"/>
  <c r="E45" i="1"/>
  <c r="E44" i="1" s="1"/>
  <c r="D45" i="1"/>
  <c r="A45" i="1"/>
  <c r="D44" i="1"/>
  <c r="C44" i="1"/>
  <c r="D43" i="1"/>
  <c r="D41" i="1" s="1"/>
  <c r="A43" i="1"/>
  <c r="E42" i="1"/>
  <c r="D42" i="1"/>
  <c r="A42" i="1"/>
  <c r="C41" i="1"/>
  <c r="D40" i="1"/>
  <c r="E40" i="1" s="1"/>
  <c r="C40" i="1"/>
  <c r="A40" i="1"/>
  <c r="D39" i="1"/>
  <c r="E39" i="1" s="1"/>
  <c r="C39" i="1"/>
  <c r="C56" i="1" s="1"/>
  <c r="A39" i="1"/>
  <c r="D38" i="1"/>
  <c r="C38" i="1"/>
  <c r="C35" i="1"/>
  <c r="D35" i="1" s="1"/>
  <c r="E35" i="1" s="1"/>
  <c r="E34" i="1"/>
  <c r="D34" i="1"/>
  <c r="C34" i="1"/>
  <c r="D33" i="1"/>
  <c r="E33" i="1" s="1"/>
  <c r="C33" i="1"/>
  <c r="C32" i="1"/>
  <c r="D32" i="1" s="1"/>
  <c r="E32" i="1" s="1"/>
  <c r="E31" i="1"/>
  <c r="D31" i="1"/>
  <c r="D30" i="1"/>
  <c r="E30" i="1" s="1"/>
  <c r="C30" i="1"/>
  <c r="D29" i="1"/>
  <c r="E29" i="1" s="1"/>
  <c r="I31" i="1" s="1"/>
  <c r="E28" i="1"/>
  <c r="D28" i="1"/>
  <c r="C28" i="1"/>
  <c r="D27" i="1"/>
  <c r="E27" i="1" s="1"/>
  <c r="C27" i="1"/>
  <c r="D26" i="1"/>
  <c r="E26" i="1" s="1"/>
  <c r="E25" i="1"/>
  <c r="D25" i="1"/>
  <c r="C24" i="1"/>
  <c r="E23" i="1"/>
  <c r="D23" i="1"/>
  <c r="D22" i="1"/>
  <c r="E22" i="1" s="1"/>
  <c r="C22" i="1"/>
  <c r="C21" i="1"/>
  <c r="D21" i="1" s="1"/>
  <c r="E21" i="1" s="1"/>
  <c r="C20" i="1"/>
  <c r="C18" i="1"/>
  <c r="D17" i="1"/>
  <c r="D18" i="1" s="1"/>
  <c r="C15" i="1"/>
  <c r="E14" i="1"/>
  <c r="D14" i="1"/>
  <c r="D13" i="1"/>
  <c r="E13" i="1" s="1"/>
  <c r="E12" i="1"/>
  <c r="D12" i="1"/>
  <c r="D75" i="1" s="1"/>
  <c r="D11" i="1"/>
  <c r="D15" i="1" s="1"/>
  <c r="F75" i="1"/>
  <c r="E38" i="1" l="1"/>
  <c r="E24" i="1"/>
  <c r="E50" i="1"/>
  <c r="E73" i="1"/>
  <c r="C36" i="1"/>
  <c r="D56" i="1"/>
  <c r="D74" i="1"/>
  <c r="D24" i="1"/>
  <c r="D47" i="1"/>
  <c r="E11" i="1"/>
  <c r="D20" i="1"/>
  <c r="E43" i="1"/>
  <c r="E41" i="1" s="1"/>
  <c r="D50" i="1"/>
  <c r="E55" i="1"/>
  <c r="E53" i="1" s="1"/>
  <c r="E59" i="1"/>
  <c r="D61" i="1"/>
  <c r="D69" i="1"/>
  <c r="C75" i="1"/>
  <c r="E17" i="1"/>
  <c r="E18" i="1" s="1"/>
  <c r="C63" i="1" l="1"/>
  <c r="E15" i="1"/>
  <c r="E58" i="1"/>
  <c r="E20" i="1"/>
  <c r="E36" i="1" s="1"/>
  <c r="D36" i="1"/>
  <c r="E75" i="1"/>
  <c r="E56" i="1"/>
  <c r="E63" i="1" l="1"/>
  <c r="C61" i="1"/>
  <c r="C69" i="1"/>
  <c r="C83" i="1"/>
  <c r="C74" i="1"/>
  <c r="D83" i="1"/>
  <c r="C79" i="1"/>
  <c r="E74" i="1"/>
  <c r="D85" i="1" l="1"/>
  <c r="D84" i="1"/>
  <c r="C85" i="1"/>
  <c r="C84" i="1"/>
  <c r="E61" i="1"/>
  <c r="E69" i="1"/>
  <c r="C78" i="1"/>
  <c r="C77" i="1" s="1"/>
</calcChain>
</file>

<file path=xl/sharedStrings.xml><?xml version="1.0" encoding="utf-8"?>
<sst xmlns="http://schemas.openxmlformats.org/spreadsheetml/2006/main" count="266" uniqueCount="129">
  <si>
    <t>Proiectant: BOMACA PROIECT SRL</t>
  </si>
  <si>
    <r>
      <t>DEVIZ  GENERAL 
al obiectivului de investiţie :</t>
    </r>
    <r>
      <rPr>
        <b/>
        <sz val="10"/>
        <rFont val="Times New Roman"/>
        <family val="1"/>
      </rPr>
      <t xml:space="preserve"> SCENARIUL  2</t>
    </r>
    <r>
      <rPr>
        <b/>
        <sz val="10"/>
        <color indexed="8"/>
        <rFont val="Times New Roman"/>
        <family val="1"/>
      </rPr>
      <t xml:space="preserve">
"MODERNIZAREA UNOR DRUMURI PUBLICE DIN INTERIORUL COMUNEI VULCANA-BAI"</t>
    </r>
  </si>
  <si>
    <t>Nr. 
crt.</t>
  </si>
  <si>
    <t>Denumirea capitolelor şi a subcapitolelor
de cheltuieli</t>
  </si>
  <si>
    <t>Valoare ( inclusiv T.V.A. )</t>
  </si>
  <si>
    <t>Defalcarea pe surse de finanțare</t>
  </si>
  <si>
    <t>Defalcarea pe standard de cost</t>
  </si>
  <si>
    <t>C+M</t>
  </si>
  <si>
    <t>Valoare 
(fără T.V.A. )</t>
  </si>
  <si>
    <t>TVA</t>
  </si>
  <si>
    <t>Valoare cu TVA</t>
  </si>
  <si>
    <t>LEI</t>
  </si>
  <si>
    <t>Capitolul 1
Cheltuieli pentru obţinerea şi amenajarea terenului</t>
  </si>
  <si>
    <t>1.1</t>
  </si>
  <si>
    <t>Obţinerea terenului</t>
  </si>
  <si>
    <t>buget local</t>
  </si>
  <si>
    <t>nu</t>
  </si>
  <si>
    <t>1.2</t>
  </si>
  <si>
    <t>Amenajarea terenului</t>
  </si>
  <si>
    <t>buget de stat</t>
  </si>
  <si>
    <t>da</t>
  </si>
  <si>
    <t>1.3</t>
  </si>
  <si>
    <t>Amenajări pentru protecţia mediului și aducerea la starea inițială</t>
  </si>
  <si>
    <t>1.4</t>
  </si>
  <si>
    <t>Cheltuieli pentru relocarea/protecția utilităților</t>
  </si>
  <si>
    <t xml:space="preserve">TOTAL CAPITOL 1     </t>
  </si>
  <si>
    <t>Capitolul 2
Cheltuieli pentru asigurarea utilităţilor necesare obiectivului</t>
  </si>
  <si>
    <t>Cheltuieli pentru asigurarea utilităţilor necesare obiectivului</t>
  </si>
  <si>
    <t xml:space="preserve">TOTAL CAPITOL 2     </t>
  </si>
  <si>
    <t>Capitolul 3
Cheltuieli pentru proiectare şi asistenţă tehnică</t>
  </si>
  <si>
    <t>3.1</t>
  </si>
  <si>
    <t>Studii</t>
  </si>
  <si>
    <t>3.2</t>
  </si>
  <si>
    <t>Documentații-suport și cheltuieli pentru obținerea de avize, acorduri și autorizații</t>
  </si>
  <si>
    <t>3.3</t>
  </si>
  <si>
    <t xml:space="preserve">Expertizare tehnică </t>
  </si>
  <si>
    <t>3.4</t>
  </si>
  <si>
    <t>Certificarea performanței energetice și auditul energetic al clădirilor</t>
  </si>
  <si>
    <t>3.5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</si>
  <si>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</si>
  <si>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</si>
  <si>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</si>
  <si>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</si>
  <si>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</si>
  <si>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</si>
  <si>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</si>
  <si>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</si>
  <si>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 - DALI</t>
  </si>
  <si>
    <t>Documentațiile tehnice necesare în vederea obținerii avizelor/acordurilor/autorizațiilor - PT</t>
  </si>
  <si>
    <t>3.5.5</t>
  </si>
  <si>
    <t>Verificarea tehnică de calitate a D.T.A.C., proiectului tehnic și a detaliilor de execuție - DALI</t>
  </si>
  <si>
    <t>Verificarea tehnică de calitate a D.T.A.C., proiectului tehnic și a detaliilor de execuție - PT</t>
  </si>
  <si>
    <t>3.5.6</t>
  </si>
  <si>
    <t>Proiect tehnic și detalii de execuție</t>
  </si>
  <si>
    <t>3.6</t>
  </si>
  <si>
    <t>Organizarea procedurilor de achiziţie</t>
  </si>
  <si>
    <t>3.7</t>
  </si>
  <si>
    <t xml:space="preserve">Consultanţă </t>
  </si>
  <si>
    <t>3.8</t>
  </si>
  <si>
    <t>Asistenţă tehnică</t>
  </si>
  <si>
    <t xml:space="preserve">TOTAL CAPITOL 3     </t>
  </si>
  <si>
    <t>Capitolul 4
Cheltuieli pentru investiţia de bază</t>
  </si>
  <si>
    <t>4.1</t>
  </si>
  <si>
    <t>Construcţii şi instalaţii</t>
  </si>
  <si>
    <t>Pentru care exista standard de cost</t>
  </si>
  <si>
    <t>Pentru care nu exista standard de cost</t>
  </si>
  <si>
    <t>4.2</t>
  </si>
  <si>
    <t>Montaj utilaje, echipamente tehnologice și funcționale</t>
  </si>
  <si>
    <t>4.3</t>
  </si>
  <si>
    <t>Utilaje, echipamente tehnologice şi funcţionale care necesită montaj</t>
  </si>
  <si>
    <t>4.4</t>
  </si>
  <si>
    <t>Utilaje, echipamente tehnologice și funcționale care nu necesită montaj și echipamente de transport</t>
  </si>
  <si>
    <t>4.5</t>
  </si>
  <si>
    <t>Dotări</t>
  </si>
  <si>
    <t>4.6</t>
  </si>
  <si>
    <t>Active necorporale</t>
  </si>
  <si>
    <t xml:space="preserve">TOTAL CAPITOL 4      </t>
  </si>
  <si>
    <t>Capitolul 5
Alte cheltuieli</t>
  </si>
  <si>
    <t>5.1</t>
  </si>
  <si>
    <t xml:space="preserve">Organizare de şantier </t>
  </si>
  <si>
    <t>5.1.1</t>
  </si>
  <si>
    <t>Lucrări de construcţii și instalații aferente organizării de șantier</t>
  </si>
  <si>
    <t>5.1.2</t>
  </si>
  <si>
    <t>Cheltuieli conexe organizării șantierului</t>
  </si>
  <si>
    <t>5.2</t>
  </si>
  <si>
    <t>Comisioane, taxe, cote, costul creditului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</si>
  <si>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</si>
  <si>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</si>
  <si>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</si>
  <si>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</si>
  <si>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</si>
  <si>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</si>
  <si>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</si>
  <si>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</si>
  <si>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</si>
  <si>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</si>
  <si>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5.3</t>
  </si>
  <si>
    <t>Cheltuieli diverse şi neprevăzute</t>
  </si>
  <si>
    <t>5.4</t>
  </si>
  <si>
    <t>Cheltuieli pentru informare și publicitate</t>
  </si>
  <si>
    <t xml:space="preserve">TOTAL CAPITOL 5      </t>
  </si>
  <si>
    <t>Capitolul 6
Cheltuieli pentru probe tehnologice și teste</t>
  </si>
  <si>
    <t>6.1</t>
  </si>
  <si>
    <t>Pregătirea personalului de exploatare</t>
  </si>
  <si>
    <t>6.2</t>
  </si>
  <si>
    <t>Probe tehnologice și teste</t>
  </si>
  <si>
    <t xml:space="preserve">TOTAL CAPITOL 6      </t>
  </si>
  <si>
    <t>TOTAL GENERAL</t>
  </si>
  <si>
    <t>Din care: C + M (1.2+1.3+1.4+2+4.1+4.2+5.1.1)</t>
  </si>
  <si>
    <t>TOTAL GENERAL (cu TVA) din care:</t>
  </si>
  <si>
    <t>Preturi fără TVA</t>
  </si>
  <si>
    <t>Cu standard de cost</t>
  </si>
  <si>
    <t>Fara standard de cost</t>
  </si>
  <si>
    <t>Valoare CAP. 4</t>
  </si>
  <si>
    <t>Valoare investitie</t>
  </si>
  <si>
    <t xml:space="preserve">Cost unitar aferent investiției </t>
  </si>
  <si>
    <t>Cost unitar aferent investiției (EURO)</t>
  </si>
  <si>
    <t>Data</t>
  </si>
  <si>
    <t>Curs Euro</t>
  </si>
  <si>
    <t>Valoare de referință pentru determinarea incadrarii in standardul de cost (km)</t>
  </si>
  <si>
    <t>Beneficiar:</t>
  </si>
  <si>
    <t>Proiectant:</t>
  </si>
  <si>
    <t>COMUNA VULCANA BAI</t>
  </si>
  <si>
    <t>BOMACA PROIECT SRL</t>
  </si>
  <si>
    <t>Primar,</t>
  </si>
  <si>
    <t>Director general,</t>
  </si>
  <si>
    <t>Emil Draghici</t>
  </si>
  <si>
    <t>Cornelia Constantin</t>
  </si>
  <si>
    <t>Anexa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</si>
</sst>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m/yyyy"/>
    <numFmt numFmtId="165" formatCode="#,##0.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</font>
    <font>
      <b/>
      <sz val="10"/>
      <color rgb="FFFF0000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164" fontId="5" fillId="0" borderId="0" xfId="0" applyNumberFormat="1" applyFont="1" applyAlignment="1" applyProtection="1">
      <alignment horizontal="left" vertical="center"/>
      <protection hidden="1"/>
    </xf>
    <xf numFmtId="165" fontId="5" fillId="0" borderId="0" xfId="0" applyNumberFormat="1" applyFont="1" applyAlignment="1" applyProtection="1">
      <alignment vertical="center" wrapText="1"/>
      <protection hidden="1"/>
    </xf>
    <xf numFmtId="165" fontId="4" fillId="0" borderId="0" xfId="0" applyNumberFormat="1" applyFont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1" fillId="0" borderId="0" xfId="0" applyFont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vertical="center"/>
      <protection hidden="1"/>
    </xf>
    <xf numFmtId="0" fontId="1" fillId="4" borderId="0" xfId="0" applyFont="1" applyFill="1"/>
    <xf numFmtId="0" fontId="7" fillId="0" borderId="6" xfId="0" applyFont="1" applyBorder="1" applyAlignment="1" applyProtection="1">
      <alignment vertical="center" wrapText="1"/>
      <protection hidden="1"/>
    </xf>
    <xf numFmtId="4" fontId="4" fillId="3" borderId="6" xfId="0" applyNumberFormat="1" applyFont="1" applyFill="1" applyBorder="1" applyAlignment="1" applyProtection="1">
      <alignment horizontal="right" vertical="center"/>
      <protection hidden="1"/>
    </xf>
    <xf numFmtId="49" fontId="7" fillId="0" borderId="5" xfId="0" applyNumberFormat="1" applyFont="1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right" vertical="center"/>
      <protection hidden="1"/>
    </xf>
    <xf numFmtId="0" fontId="4" fillId="0" borderId="9" xfId="0" applyFont="1" applyBorder="1" applyAlignment="1" applyProtection="1">
      <alignment vertical="center"/>
      <protection hidden="1"/>
    </xf>
    <xf numFmtId="0" fontId="3" fillId="0" borderId="10" xfId="0" applyFont="1" applyBorder="1" applyAlignment="1" applyProtection="1">
      <alignment horizontal="right" vertical="center"/>
      <protection hidden="1"/>
    </xf>
    <xf numFmtId="0" fontId="7" fillId="0" borderId="2" xfId="0" applyFont="1" applyBorder="1" applyAlignment="1" applyProtection="1">
      <alignment vertical="center" wrapText="1"/>
      <protection hidden="1"/>
    </xf>
    <xf numFmtId="0" fontId="3" fillId="0" borderId="6" xfId="0" applyFont="1" applyBorder="1" applyAlignment="1" applyProtection="1">
      <alignment vertical="center"/>
      <protection hidden="1"/>
    </xf>
    <xf numFmtId="49" fontId="9" fillId="0" borderId="5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vertical="center"/>
      <protection hidden="1"/>
    </xf>
    <xf numFmtId="4" fontId="9" fillId="3" borderId="6" xfId="0" applyNumberFormat="1" applyFont="1" applyFill="1" applyBorder="1" applyAlignment="1" applyProtection="1">
      <alignment horizontal="right" vertical="center"/>
      <protection hidden="1"/>
    </xf>
    <xf numFmtId="0" fontId="9" fillId="0" borderId="6" xfId="0" applyFont="1" applyBorder="1" applyAlignment="1" applyProtection="1">
      <alignment vertical="center" wrapText="1"/>
      <protection hidden="1"/>
    </xf>
    <xf numFmtId="4" fontId="1" fillId="0" borderId="0" xfId="0" applyNumberFormat="1" applyFont="1"/>
    <xf numFmtId="3" fontId="4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/>
    <xf numFmtId="49" fontId="7" fillId="0" borderId="15" xfId="0" applyNumberFormat="1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vertical="center" wrapText="1"/>
      <protection hidden="1"/>
    </xf>
    <xf numFmtId="0" fontId="4" fillId="0" borderId="6" xfId="0" applyFont="1" applyBorder="1" applyAlignment="1" applyProtection="1">
      <alignment vertical="center"/>
      <protection hidden="1"/>
    </xf>
    <xf numFmtId="49" fontId="4" fillId="0" borderId="5" xfId="0" applyNumberFormat="1" applyFont="1" applyBorder="1" applyAlignment="1" applyProtection="1">
      <alignment horizontal="center" vertical="center"/>
      <protection hidden="1"/>
    </xf>
    <xf numFmtId="49" fontId="12" fillId="0" borderId="5" xfId="0" applyNumberFormat="1" applyFont="1" applyBorder="1" applyAlignment="1" applyProtection="1">
      <alignment horizontal="center" vertical="center"/>
      <protection hidden="1"/>
    </xf>
    <xf numFmtId="0" fontId="12" fillId="0" borderId="6" xfId="0" applyFont="1" applyBorder="1" applyAlignment="1" applyProtection="1">
      <alignment vertical="center" wrapText="1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3" fillId="2" borderId="19" xfId="0" applyFont="1" applyFill="1" applyBorder="1" applyAlignment="1" applyProtection="1">
      <alignment horizontal="left" vertical="center"/>
      <protection hidden="1"/>
    </xf>
    <xf numFmtId="0" fontId="6" fillId="2" borderId="21" xfId="0" applyFont="1" applyFill="1" applyBorder="1" applyAlignment="1" applyProtection="1">
      <alignment vertical="center"/>
      <protection hidden="1"/>
    </xf>
    <xf numFmtId="0" fontId="6" fillId="2" borderId="22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3" fontId="3" fillId="0" borderId="0" xfId="0" applyNumberFormat="1" applyFont="1" applyAlignment="1" applyProtection="1">
      <alignment horizontal="right" vertical="center"/>
      <protection hidden="1"/>
    </xf>
    <xf numFmtId="3" fontId="3" fillId="4" borderId="0" xfId="0" applyNumberFormat="1" applyFont="1" applyFill="1" applyAlignment="1" applyProtection="1">
      <alignment horizontal="right" vertical="center"/>
      <protection hidden="1"/>
    </xf>
    <xf numFmtId="0" fontId="13" fillId="0" borderId="6" xfId="0" applyFont="1" applyBorder="1" applyAlignment="1" applyProtection="1">
      <alignment horizontal="left" vertical="center" wrapText="1"/>
      <protection hidden="1"/>
    </xf>
    <xf numFmtId="4" fontId="3" fillId="4" borderId="0" xfId="0" applyNumberFormat="1" applyFont="1" applyFill="1" applyAlignment="1" applyProtection="1">
      <alignment horizontal="right" vertical="center"/>
      <protection hidden="1"/>
    </xf>
    <xf numFmtId="4" fontId="14" fillId="4" borderId="0" xfId="0" applyNumberFormat="1" applyFont="1" applyFill="1" applyAlignment="1" applyProtection="1">
      <alignment horizontal="right" vertical="center"/>
      <protection hidden="1"/>
    </xf>
    <xf numFmtId="0" fontId="15" fillId="0" borderId="6" xfId="0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3" fontId="13" fillId="0" borderId="0" xfId="0" applyNumberFormat="1" applyFont="1" applyAlignment="1" applyProtection="1">
      <alignment horizontal="right" vertical="center"/>
      <protection hidden="1"/>
    </xf>
    <xf numFmtId="4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Continuous"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8" fillId="0" borderId="6" xfId="0" applyFont="1" applyBorder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4" fontId="1" fillId="5" borderId="2" xfId="0" applyNumberFormat="1" applyFont="1" applyFill="1" applyBorder="1" applyAlignment="1" applyProtection="1">
      <alignment vertical="center"/>
      <protection hidden="1"/>
    </xf>
    <xf numFmtId="4" fontId="1" fillId="5" borderId="3" xfId="0" applyNumberFormat="1" applyFont="1" applyFill="1" applyBorder="1" applyAlignment="1" applyProtection="1">
      <alignment vertical="center"/>
      <protection hidden="1"/>
    </xf>
    <xf numFmtId="4" fontId="1" fillId="5" borderId="6" xfId="0" applyNumberFormat="1" applyFont="1" applyFill="1" applyBorder="1" applyAlignment="1" applyProtection="1">
      <alignment vertical="center"/>
      <protection hidden="1"/>
    </xf>
    <xf numFmtId="4" fontId="1" fillId="5" borderId="8" xfId="0" applyNumberFormat="1" applyFont="1" applyFill="1" applyBorder="1" applyAlignment="1" applyProtection="1">
      <alignment vertical="center"/>
      <protection hidden="1"/>
    </xf>
    <xf numFmtId="4" fontId="6" fillId="5" borderId="10" xfId="0" applyNumberFormat="1" applyFont="1" applyFill="1" applyBorder="1" applyAlignment="1" applyProtection="1">
      <alignment horizontal="right" vertical="center"/>
      <protection hidden="1"/>
    </xf>
    <xf numFmtId="4" fontId="6" fillId="5" borderId="11" xfId="0" applyNumberFormat="1" applyFont="1" applyFill="1" applyBorder="1" applyAlignment="1" applyProtection="1">
      <alignment horizontal="right" vertical="center"/>
      <protection hidden="1"/>
    </xf>
    <xf numFmtId="4" fontId="4" fillId="5" borderId="2" xfId="0" applyNumberFormat="1" applyFont="1" applyFill="1" applyBorder="1" applyAlignment="1" applyProtection="1">
      <alignment horizontal="right" vertical="center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" fontId="4" fillId="5" borderId="6" xfId="0" applyNumberFormat="1" applyFont="1" applyFill="1" applyBorder="1" applyAlignment="1" applyProtection="1">
      <alignment horizontal="right" vertical="center"/>
      <protection hidden="1"/>
    </xf>
    <xf numFmtId="4" fontId="4" fillId="5" borderId="8" xfId="0" applyNumberFormat="1" applyFont="1" applyFill="1" applyBorder="1" applyAlignment="1" applyProtection="1">
      <alignment horizontal="right" vertical="center"/>
      <protection hidden="1"/>
    </xf>
    <xf numFmtId="4" fontId="9" fillId="5" borderId="6" xfId="0" applyNumberFormat="1" applyFont="1" applyFill="1" applyBorder="1" applyAlignment="1" applyProtection="1">
      <alignment horizontal="right" vertical="center"/>
      <protection hidden="1"/>
    </xf>
    <xf numFmtId="4" fontId="9" fillId="5" borderId="8" xfId="0" applyNumberFormat="1" applyFont="1" applyFill="1" applyBorder="1" applyAlignment="1" applyProtection="1">
      <alignment horizontal="right" vertical="center"/>
      <protection hidden="1"/>
    </xf>
    <xf numFmtId="4" fontId="10" fillId="5" borderId="6" xfId="0" applyNumberFormat="1" applyFont="1" applyFill="1" applyBorder="1" applyAlignment="1" applyProtection="1">
      <alignment vertical="center"/>
      <protection hidden="1"/>
    </xf>
    <xf numFmtId="4" fontId="10" fillId="5" borderId="8" xfId="0" applyNumberFormat="1" applyFont="1" applyFill="1" applyBorder="1" applyAlignment="1" applyProtection="1">
      <alignment vertical="center"/>
      <protection hidden="1"/>
    </xf>
    <xf numFmtId="4" fontId="4" fillId="5" borderId="7" xfId="0" applyNumberFormat="1" applyFont="1" applyFill="1" applyBorder="1" applyAlignment="1" applyProtection="1">
      <alignment horizontal="right" vertical="center"/>
      <protection hidden="1"/>
    </xf>
    <xf numFmtId="4" fontId="4" fillId="5" borderId="16" xfId="0" applyNumberFormat="1" applyFont="1" applyFill="1" applyBorder="1" applyAlignment="1" applyProtection="1">
      <alignment horizontal="right" vertical="center"/>
      <protection hidden="1"/>
    </xf>
    <xf numFmtId="4" fontId="13" fillId="6" borderId="19" xfId="0" applyNumberFormat="1" applyFont="1" applyFill="1" applyBorder="1" applyAlignment="1" applyProtection="1">
      <alignment horizontal="right" vertical="center"/>
      <protection hidden="1"/>
    </xf>
    <xf numFmtId="4" fontId="13" fillId="6" borderId="20" xfId="0" applyNumberFormat="1" applyFont="1" applyFill="1" applyBorder="1" applyAlignment="1" applyProtection="1">
      <alignment horizontal="right" vertical="center"/>
      <protection hidden="1"/>
    </xf>
    <xf numFmtId="4" fontId="13" fillId="6" borderId="6" xfId="0" applyNumberFormat="1" applyFont="1" applyFill="1" applyBorder="1" applyAlignment="1" applyProtection="1">
      <alignment horizontal="right" vertical="center"/>
      <protection hidden="1"/>
    </xf>
    <xf numFmtId="4" fontId="16" fillId="6" borderId="6" xfId="0" applyNumberFormat="1" applyFont="1" applyFill="1" applyBorder="1" applyAlignment="1" applyProtection="1">
      <alignment horizontal="right" vertical="center"/>
      <protection hidden="1"/>
    </xf>
    <xf numFmtId="4" fontId="17" fillId="6" borderId="6" xfId="0" applyNumberFormat="1" applyFont="1" applyFill="1" applyBorder="1" applyAlignment="1">
      <alignment horizontal="right" vertical="center" wrapText="1"/>
    </xf>
    <xf numFmtId="14" fontId="15" fillId="7" borderId="6" xfId="0" applyNumberFormat="1" applyFont="1" applyFill="1" applyBorder="1" applyAlignment="1">
      <alignment vertical="center"/>
    </xf>
    <xf numFmtId="166" fontId="18" fillId="7" borderId="6" xfId="0" applyNumberFormat="1" applyFont="1" applyFill="1" applyBorder="1" applyAlignment="1" applyProtection="1">
      <alignment vertical="center" wrapText="1"/>
      <protection hidden="1"/>
    </xf>
    <xf numFmtId="0" fontId="15" fillId="7" borderId="6" xfId="0" applyFont="1" applyFill="1" applyBorder="1" applyAlignment="1">
      <alignment vertical="center"/>
    </xf>
    <xf numFmtId="4" fontId="9" fillId="7" borderId="6" xfId="0" applyNumberFormat="1" applyFont="1" applyFill="1" applyBorder="1" applyAlignment="1" applyProtection="1">
      <alignment horizontal="right" vertical="center"/>
      <protection hidden="1"/>
    </xf>
    <xf numFmtId="4" fontId="4" fillId="7" borderId="2" xfId="0" applyNumberFormat="1" applyFont="1" applyFill="1" applyBorder="1" applyAlignment="1" applyProtection="1">
      <alignment horizontal="right" vertical="center"/>
      <protection hidden="1"/>
    </xf>
    <xf numFmtId="4" fontId="4" fillId="7" borderId="6" xfId="0" applyNumberFormat="1" applyFont="1" applyFill="1" applyBorder="1" applyAlignment="1" applyProtection="1">
      <alignment horizontal="right" vertical="center"/>
      <protection hidden="1"/>
    </xf>
    <xf numFmtId="4" fontId="4" fillId="7" borderId="7" xfId="0" applyNumberFormat="1" applyFont="1" applyFill="1" applyBorder="1" applyAlignment="1" applyProtection="1">
      <alignment horizontal="right" vertical="center"/>
      <protection hidden="1"/>
    </xf>
    <xf numFmtId="4" fontId="1" fillId="7" borderId="6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6" fillId="2" borderId="17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_VULCANA%20BAI_S2_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LUARI"/>
      <sheetName val="DEVIZ OBIECT"/>
      <sheetName val="DG "/>
      <sheetName val="Anexa 3"/>
      <sheetName val="DG buget local"/>
      <sheetName val="Deviz financiar"/>
      <sheetName val="Anexa A"/>
      <sheetName val="Anexa B"/>
      <sheetName val="Flux"/>
      <sheetName val="Inv_Capital"/>
    </sheetNames>
    <sheetDataSet>
      <sheetData sheetId="0">
        <row r="11">
          <cell r="D11">
            <v>15</v>
          </cell>
        </row>
      </sheetData>
      <sheetData sheetId="1">
        <row r="1422">
          <cell r="H1422">
            <v>8320708.9980000015</v>
          </cell>
        </row>
        <row r="1423">
          <cell r="H1423">
            <v>3311359.3300000015</v>
          </cell>
        </row>
      </sheetData>
      <sheetData sheetId="2">
        <row r="74">
          <cell r="E74">
            <v>15402497.646490006</v>
          </cell>
        </row>
      </sheetData>
      <sheetData sheetId="3" refreshError="1"/>
      <sheetData sheetId="4" refreshError="1"/>
      <sheetData sheetId="5">
        <row r="7">
          <cell r="C7">
            <v>33700</v>
          </cell>
        </row>
        <row r="14">
          <cell r="C14">
            <v>5000</v>
          </cell>
        </row>
        <row r="15">
          <cell r="C15">
            <v>5000</v>
          </cell>
        </row>
        <row r="20">
          <cell r="C20">
            <v>51577.9</v>
          </cell>
        </row>
        <row r="22">
          <cell r="C22">
            <v>5000</v>
          </cell>
        </row>
        <row r="24">
          <cell r="C24">
            <v>5500</v>
          </cell>
        </row>
        <row r="26">
          <cell r="C26">
            <v>121492.64</v>
          </cell>
        </row>
        <row r="27">
          <cell r="C27">
            <v>18403.36</v>
          </cell>
        </row>
        <row r="28">
          <cell r="C28">
            <v>18403.36</v>
          </cell>
        </row>
        <row r="31">
          <cell r="C31">
            <v>147988.35999999999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94"/>
  <sheetViews>
    <sheetView tabSelected="1" view="pageBreakPreview" zoomScaleNormal="100" zoomScaleSheetLayoutView="100" workbookViewId="0">
      <selection activeCell="E3" sqref="E3"/>
    </sheetView>
  </sheetViews>
  <sheetFormatPr defaultColWidth="9.109375" defaultRowHeight="13.2" x14ac:dyDescent="0.25"/>
  <cols>
    <col min="1" max="1" width="6.88671875" style="1" customWidth="1"/>
    <col min="2" max="2" width="43.44140625" style="1" customWidth="1"/>
    <col min="3" max="3" width="15.6640625" style="1" bestFit="1" customWidth="1"/>
    <col min="4" max="4" width="15" style="1" customWidth="1"/>
    <col min="5" max="5" width="15.6640625" style="1" customWidth="1"/>
    <col min="6" max="6" width="14.6640625" style="3" customWidth="1"/>
    <col min="7" max="7" width="14.33203125" style="4" customWidth="1"/>
    <col min="8" max="8" width="12.109375" style="5" bestFit="1" customWidth="1"/>
    <col min="9" max="16384" width="9.109375" style="5"/>
  </cols>
  <sheetData>
    <row r="2" spans="1:36" x14ac:dyDescent="0.25">
      <c r="B2" s="2" t="s">
        <v>0</v>
      </c>
    </row>
    <row r="3" spans="1:36" x14ac:dyDescent="0.25">
      <c r="E3" s="2" t="s">
        <v>128</v>
      </c>
    </row>
    <row r="4" spans="1:36" ht="36" customHeight="1" x14ac:dyDescent="0.25">
      <c r="A4" s="117" t="s">
        <v>1</v>
      </c>
      <c r="B4" s="118"/>
      <c r="C4" s="118"/>
      <c r="D4" s="118"/>
      <c r="E4" s="118"/>
      <c r="F4" s="6"/>
    </row>
    <row r="5" spans="1:36" ht="15" customHeight="1" thickBot="1" x14ac:dyDescent="0.3">
      <c r="A5" s="7"/>
      <c r="B5" s="7"/>
      <c r="C5" s="7"/>
      <c r="D5" s="8"/>
      <c r="E5" s="9"/>
      <c r="F5" s="10"/>
    </row>
    <row r="6" spans="1:36" ht="25.5" customHeight="1" x14ac:dyDescent="0.25">
      <c r="A6" s="119" t="s">
        <v>2</v>
      </c>
      <c r="B6" s="121" t="s">
        <v>3</v>
      </c>
      <c r="C6" s="121" t="s">
        <v>4</v>
      </c>
      <c r="D6" s="121"/>
      <c r="E6" s="123"/>
      <c r="F6" s="124" t="s">
        <v>5</v>
      </c>
      <c r="G6" s="113" t="s">
        <v>6</v>
      </c>
      <c r="H6" s="113" t="s">
        <v>7</v>
      </c>
    </row>
    <row r="7" spans="1:36" ht="26.4" x14ac:dyDescent="0.25">
      <c r="A7" s="120"/>
      <c r="B7" s="122"/>
      <c r="C7" s="11" t="s">
        <v>8</v>
      </c>
      <c r="D7" s="12" t="s">
        <v>9</v>
      </c>
      <c r="E7" s="13" t="s">
        <v>10</v>
      </c>
      <c r="F7" s="124"/>
      <c r="G7" s="113"/>
      <c r="H7" s="113"/>
    </row>
    <row r="8" spans="1:36" x14ac:dyDescent="0.25">
      <c r="A8" s="120"/>
      <c r="B8" s="122"/>
      <c r="C8" s="14" t="s">
        <v>11</v>
      </c>
      <c r="D8" s="15" t="s">
        <v>11</v>
      </c>
      <c r="E8" s="16" t="s">
        <v>11</v>
      </c>
      <c r="F8" s="124"/>
      <c r="G8" s="113"/>
      <c r="H8" s="113"/>
    </row>
    <row r="9" spans="1:36" ht="15" customHeight="1" thickBot="1" x14ac:dyDescent="0.3">
      <c r="A9" s="17">
        <v>1</v>
      </c>
      <c r="B9" s="18">
        <v>2</v>
      </c>
      <c r="C9" s="18">
        <v>3</v>
      </c>
      <c r="D9" s="19">
        <v>4</v>
      </c>
      <c r="E9" s="20">
        <v>5</v>
      </c>
    </row>
    <row r="10" spans="1:36" ht="28.5" customHeight="1" thickBot="1" x14ac:dyDescent="0.3">
      <c r="A10" s="110" t="s">
        <v>12</v>
      </c>
      <c r="B10" s="111"/>
      <c r="C10" s="111"/>
      <c r="D10" s="111"/>
      <c r="E10" s="112"/>
    </row>
    <row r="11" spans="1:36" x14ac:dyDescent="0.25">
      <c r="A11" s="21" t="s">
        <v>13</v>
      </c>
      <c r="B11" s="22" t="s">
        <v>14</v>
      </c>
      <c r="C11" s="106">
        <v>0</v>
      </c>
      <c r="D11" s="81">
        <f>ROUND(0.19*C11,2)</f>
        <v>0</v>
      </c>
      <c r="E11" s="82">
        <f>D11+C11</f>
        <v>0</v>
      </c>
      <c r="F11" s="23" t="s">
        <v>15</v>
      </c>
      <c r="G11" s="4" t="s">
        <v>16</v>
      </c>
      <c r="H11" s="4" t="s">
        <v>16</v>
      </c>
    </row>
    <row r="12" spans="1:36" s="26" customFormat="1" x14ac:dyDescent="0.25">
      <c r="A12" s="24" t="s">
        <v>17</v>
      </c>
      <c r="B12" s="25" t="s">
        <v>18</v>
      </c>
      <c r="C12" s="109">
        <v>0</v>
      </c>
      <c r="D12" s="83">
        <f>ROUND(0.19*C12,2)</f>
        <v>0</v>
      </c>
      <c r="E12" s="84">
        <f>D12+C12</f>
        <v>0</v>
      </c>
      <c r="F12" s="23" t="s">
        <v>19</v>
      </c>
      <c r="G12" s="4" t="s">
        <v>20</v>
      </c>
      <c r="H12" s="4" t="s">
        <v>20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 ht="26.4" x14ac:dyDescent="0.25">
      <c r="A13" s="24" t="s">
        <v>21</v>
      </c>
      <c r="B13" s="27" t="s">
        <v>22</v>
      </c>
      <c r="C13" s="107">
        <v>0</v>
      </c>
      <c r="D13" s="83">
        <f>ROUND(0.19*C13,2)</f>
        <v>0</v>
      </c>
      <c r="E13" s="84">
        <f>D13+C13</f>
        <v>0</v>
      </c>
      <c r="F13" s="23" t="s">
        <v>15</v>
      </c>
      <c r="G13" s="4" t="s">
        <v>20</v>
      </c>
      <c r="H13" s="4" t="s">
        <v>20</v>
      </c>
    </row>
    <row r="14" spans="1:36" s="26" customFormat="1" ht="19.95" customHeight="1" x14ac:dyDescent="0.25">
      <c r="A14" s="29" t="s">
        <v>23</v>
      </c>
      <c r="B14" s="27" t="s">
        <v>24</v>
      </c>
      <c r="C14" s="109">
        <v>0</v>
      </c>
      <c r="D14" s="83">
        <f>ROUND(0.19*C14,2)</f>
        <v>0</v>
      </c>
      <c r="E14" s="84">
        <f>D14+C14</f>
        <v>0</v>
      </c>
      <c r="F14" s="23" t="s">
        <v>19</v>
      </c>
      <c r="G14" s="4" t="s">
        <v>20</v>
      </c>
      <c r="H14" s="4" t="s">
        <v>20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ht="16.5" customHeight="1" thickBot="1" x14ac:dyDescent="0.3">
      <c r="A15" s="30"/>
      <c r="B15" s="31" t="s">
        <v>25</v>
      </c>
      <c r="C15" s="85">
        <f>SUMIFS(C11:C14,$F$11:$F$14,"&lt;&gt;")</f>
        <v>0</v>
      </c>
      <c r="D15" s="85">
        <f>SUMIFS(D11:D14,$F$11:$F$14,"&lt;&gt;0")</f>
        <v>0</v>
      </c>
      <c r="E15" s="85">
        <f>SUMIFS(E11:E14,$F$11:$F$14,"&lt;&gt;0")</f>
        <v>0</v>
      </c>
      <c r="F15" s="23"/>
    </row>
    <row r="16" spans="1:36" ht="34.5" customHeight="1" x14ac:dyDescent="0.25">
      <c r="A16" s="110" t="s">
        <v>26</v>
      </c>
      <c r="B16" s="111"/>
      <c r="C16" s="111"/>
      <c r="D16" s="111"/>
      <c r="E16" s="112"/>
      <c r="F16" s="23"/>
    </row>
    <row r="17" spans="1:10" ht="26.4" x14ac:dyDescent="0.25">
      <c r="A17" s="24">
        <v>2</v>
      </c>
      <c r="B17" s="27" t="s">
        <v>27</v>
      </c>
      <c r="C17" s="28">
        <v>0</v>
      </c>
      <c r="D17" s="83">
        <f>ROUND(0.19*C17,2)</f>
        <v>0</v>
      </c>
      <c r="E17" s="84">
        <f>D17+C17</f>
        <v>0</v>
      </c>
      <c r="F17" s="23" t="s">
        <v>19</v>
      </c>
      <c r="G17" s="3" t="s">
        <v>20</v>
      </c>
      <c r="H17" s="3" t="s">
        <v>20</v>
      </c>
    </row>
    <row r="18" spans="1:10" ht="16.5" customHeight="1" thickBot="1" x14ac:dyDescent="0.3">
      <c r="A18" s="32"/>
      <c r="B18" s="33" t="s">
        <v>28</v>
      </c>
      <c r="C18" s="85">
        <f>SUMIFS(C17,$F$17,"&lt;&gt;")</f>
        <v>0</v>
      </c>
      <c r="D18" s="85">
        <f>SUMIFS(D17,$F$17,"&lt;&gt;0")</f>
        <v>0</v>
      </c>
      <c r="E18" s="86">
        <f>SUMIFS(E17,$F$17,"&lt;&gt;0")</f>
        <v>0</v>
      </c>
      <c r="F18" s="23"/>
    </row>
    <row r="19" spans="1:10" ht="27.75" customHeight="1" thickBot="1" x14ac:dyDescent="0.3">
      <c r="A19" s="110" t="s">
        <v>29</v>
      </c>
      <c r="B19" s="111"/>
      <c r="C19" s="111"/>
      <c r="D19" s="111"/>
      <c r="E19" s="112"/>
      <c r="F19" s="23"/>
    </row>
    <row r="20" spans="1:10" x14ac:dyDescent="0.25">
      <c r="A20" s="21" t="s">
        <v>30</v>
      </c>
      <c r="B20" s="34" t="s">
        <v>31</v>
      </c>
      <c r="C20" s="106">
        <f>'[1]Deviz financiar'!C7</f>
        <v>33700</v>
      </c>
      <c r="D20" s="87">
        <f t="shared" ref="D20:D35" si="0">ROUND(0.19*C20,2)</f>
        <v>6403</v>
      </c>
      <c r="E20" s="88">
        <f t="shared" ref="E20:E35" si="1">D20+C20</f>
        <v>40103</v>
      </c>
      <c r="F20" s="23" t="s">
        <v>15</v>
      </c>
      <c r="G20" s="4" t="s">
        <v>20</v>
      </c>
      <c r="H20" s="4" t="s">
        <v>16</v>
      </c>
    </row>
    <row r="21" spans="1:10" ht="26.4" x14ac:dyDescent="0.25">
      <c r="A21" s="24" t="s">
        <v>32</v>
      </c>
      <c r="B21" s="27" t="s">
        <v>33</v>
      </c>
      <c r="C21" s="107">
        <f>'[1]Deviz financiar'!C14</f>
        <v>5000</v>
      </c>
      <c r="D21" s="89">
        <f t="shared" si="0"/>
        <v>950</v>
      </c>
      <c r="E21" s="90">
        <f t="shared" si="1"/>
        <v>5950</v>
      </c>
      <c r="F21" s="23" t="s">
        <v>15</v>
      </c>
      <c r="G21" s="4" t="s">
        <v>20</v>
      </c>
      <c r="H21" s="4" t="s">
        <v>16</v>
      </c>
    </row>
    <row r="22" spans="1:10" x14ac:dyDescent="0.25">
      <c r="A22" s="29" t="s">
        <v>34</v>
      </c>
      <c r="B22" s="27" t="s">
        <v>35</v>
      </c>
      <c r="C22" s="107">
        <f>'[1]Deviz financiar'!C15</f>
        <v>5000</v>
      </c>
      <c r="D22" s="89">
        <f t="shared" si="0"/>
        <v>950</v>
      </c>
      <c r="E22" s="90">
        <f t="shared" si="1"/>
        <v>5950</v>
      </c>
      <c r="F22" s="23" t="s">
        <v>15</v>
      </c>
      <c r="G22" s="4" t="s">
        <v>20</v>
      </c>
      <c r="H22" s="4" t="s">
        <v>16</v>
      </c>
    </row>
    <row r="23" spans="1:10" ht="26.4" x14ac:dyDescent="0.25">
      <c r="A23" s="29" t="s">
        <v>36</v>
      </c>
      <c r="B23" s="27" t="s">
        <v>37</v>
      </c>
      <c r="C23" s="107">
        <v>0</v>
      </c>
      <c r="D23" s="89">
        <f t="shared" si="0"/>
        <v>0</v>
      </c>
      <c r="E23" s="90">
        <f t="shared" si="1"/>
        <v>0</v>
      </c>
      <c r="F23" s="23" t="s">
        <v>15</v>
      </c>
      <c r="G23" s="4" t="s">
        <v>20</v>
      </c>
      <c r="H23" s="4" t="s">
        <v>16</v>
      </c>
    </row>
    <row r="24" spans="1:10" x14ac:dyDescent="0.25">
      <c r="A24" s="29" t="s">
        <v>38</v>
      </c>
      <c r="B24" s="35" t="s">
        <v>39</v>
      </c>
      <c r="C24" s="107">
        <f>SUM(C25:C32)</f>
        <v>222070.53999999998</v>
      </c>
      <c r="D24" s="89">
        <f>SUM(D25:D32)</f>
        <v>42193.399999999994</v>
      </c>
      <c r="E24" s="90">
        <f>SUM(E25:E32)</f>
        <v>264263.94</v>
      </c>
      <c r="F24" s="23"/>
      <c r="H24" s="4"/>
    </row>
    <row r="25" spans="1:10" x14ac:dyDescent="0.25">
      <c r="A25" s="36" t="s">
        <v>40</v>
      </c>
      <c r="B25" s="37" t="s">
        <v>41</v>
      </c>
      <c r="C25" s="105">
        <v>0</v>
      </c>
      <c r="D25" s="91">
        <f t="shared" si="0"/>
        <v>0</v>
      </c>
      <c r="E25" s="92">
        <f t="shared" si="1"/>
        <v>0</v>
      </c>
      <c r="F25" s="23" t="s">
        <v>15</v>
      </c>
      <c r="G25" s="4" t="s">
        <v>20</v>
      </c>
      <c r="H25" s="4" t="s">
        <v>16</v>
      </c>
    </row>
    <row r="26" spans="1:10" x14ac:dyDescent="0.25">
      <c r="A26" s="36" t="s">
        <v>42</v>
      </c>
      <c r="B26" s="37" t="s">
        <v>43</v>
      </c>
      <c r="C26" s="105">
        <v>0</v>
      </c>
      <c r="D26" s="91">
        <f t="shared" si="0"/>
        <v>0</v>
      </c>
      <c r="E26" s="92">
        <f t="shared" si="1"/>
        <v>0</v>
      </c>
      <c r="F26" s="23" t="s">
        <v>15</v>
      </c>
      <c r="G26" s="4" t="s">
        <v>20</v>
      </c>
      <c r="H26" s="4" t="s">
        <v>16</v>
      </c>
    </row>
    <row r="27" spans="1:10" ht="24" x14ac:dyDescent="0.25">
      <c r="A27" s="36" t="s">
        <v>44</v>
      </c>
      <c r="B27" s="39" t="s">
        <v>45</v>
      </c>
      <c r="C27" s="105">
        <f>'[1]Deviz financiar'!C20</f>
        <v>51577.9</v>
      </c>
      <c r="D27" s="91">
        <f t="shared" si="0"/>
        <v>9799.7999999999993</v>
      </c>
      <c r="E27" s="92">
        <f t="shared" si="1"/>
        <v>61377.7</v>
      </c>
      <c r="F27" s="23" t="s">
        <v>15</v>
      </c>
      <c r="G27" s="4" t="s">
        <v>20</v>
      </c>
      <c r="H27" s="4" t="s">
        <v>16</v>
      </c>
    </row>
    <row r="28" spans="1:10" ht="24" x14ac:dyDescent="0.25">
      <c r="A28" s="36" t="s">
        <v>46</v>
      </c>
      <c r="B28" s="39" t="s">
        <v>47</v>
      </c>
      <c r="C28" s="105">
        <f>'[1]Deviz financiar'!C22</f>
        <v>5000</v>
      </c>
      <c r="D28" s="93">
        <f t="shared" si="0"/>
        <v>950</v>
      </c>
      <c r="E28" s="94">
        <f>D28+C28</f>
        <v>5950</v>
      </c>
      <c r="F28" s="23" t="s">
        <v>19</v>
      </c>
      <c r="G28" s="4" t="s">
        <v>20</v>
      </c>
      <c r="H28" s="4" t="s">
        <v>16</v>
      </c>
    </row>
    <row r="29" spans="1:10" ht="24" x14ac:dyDescent="0.25">
      <c r="A29" s="36"/>
      <c r="B29" s="39" t="s">
        <v>48</v>
      </c>
      <c r="C29" s="105">
        <v>20000</v>
      </c>
      <c r="D29" s="93">
        <f t="shared" si="0"/>
        <v>3800</v>
      </c>
      <c r="E29" s="94">
        <f>D29+C29</f>
        <v>23800</v>
      </c>
      <c r="F29" s="23" t="s">
        <v>19</v>
      </c>
      <c r="G29" s="4" t="s">
        <v>20</v>
      </c>
      <c r="H29" s="4"/>
    </row>
    <row r="30" spans="1:10" ht="24" x14ac:dyDescent="0.25">
      <c r="A30" s="36" t="s">
        <v>49</v>
      </c>
      <c r="B30" s="39" t="s">
        <v>50</v>
      </c>
      <c r="C30" s="105">
        <f>'[1]Deviz financiar'!C24</f>
        <v>5500</v>
      </c>
      <c r="D30" s="93">
        <f t="shared" si="0"/>
        <v>1045</v>
      </c>
      <c r="E30" s="94">
        <f t="shared" si="1"/>
        <v>6545</v>
      </c>
      <c r="F30" s="23" t="s">
        <v>19</v>
      </c>
      <c r="G30" s="4" t="s">
        <v>20</v>
      </c>
      <c r="H30" s="4" t="s">
        <v>16</v>
      </c>
    </row>
    <row r="31" spans="1:10" ht="24" x14ac:dyDescent="0.25">
      <c r="A31" s="36"/>
      <c r="B31" s="39" t="s">
        <v>51</v>
      </c>
      <c r="C31" s="105">
        <v>18500</v>
      </c>
      <c r="D31" s="93">
        <f t="shared" si="0"/>
        <v>3515</v>
      </c>
      <c r="E31" s="94">
        <f t="shared" si="1"/>
        <v>22015</v>
      </c>
      <c r="F31" s="23" t="s">
        <v>19</v>
      </c>
      <c r="G31" s="4" t="s">
        <v>20</v>
      </c>
      <c r="H31" s="4"/>
      <c r="I31" s="40">
        <f>E29+E31+E32+10000</f>
        <v>200391.24</v>
      </c>
      <c r="J31" s="40"/>
    </row>
    <row r="32" spans="1:10" x14ac:dyDescent="0.25">
      <c r="A32" s="36" t="s">
        <v>52</v>
      </c>
      <c r="B32" s="39" t="s">
        <v>53</v>
      </c>
      <c r="C32" s="105">
        <f>'[1]Deviz financiar'!C26</f>
        <v>121492.64</v>
      </c>
      <c r="D32" s="93">
        <f t="shared" si="0"/>
        <v>23083.599999999999</v>
      </c>
      <c r="E32" s="94">
        <f t="shared" si="1"/>
        <v>144576.24</v>
      </c>
      <c r="F32" s="23" t="s">
        <v>19</v>
      </c>
      <c r="G32" s="4" t="s">
        <v>20</v>
      </c>
      <c r="H32" s="4" t="s">
        <v>16</v>
      </c>
    </row>
    <row r="33" spans="1:8" s="42" customFormat="1" x14ac:dyDescent="0.25">
      <c r="A33" s="29" t="s">
        <v>54</v>
      </c>
      <c r="B33" s="27" t="s">
        <v>55</v>
      </c>
      <c r="C33" s="107">
        <f>'[1]Deviz financiar'!C27</f>
        <v>18403.36</v>
      </c>
      <c r="D33" s="89">
        <f t="shared" si="0"/>
        <v>3496.64</v>
      </c>
      <c r="E33" s="90">
        <f t="shared" si="1"/>
        <v>21900</v>
      </c>
      <c r="F33" s="41" t="s">
        <v>15</v>
      </c>
      <c r="G33" s="4" t="s">
        <v>20</v>
      </c>
      <c r="H33" s="4" t="s">
        <v>16</v>
      </c>
    </row>
    <row r="34" spans="1:8" s="42" customFormat="1" x14ac:dyDescent="0.25">
      <c r="A34" s="29" t="s">
        <v>56</v>
      </c>
      <c r="B34" s="27" t="s">
        <v>57</v>
      </c>
      <c r="C34" s="107">
        <f>'[1]Deviz financiar'!C28</f>
        <v>18403.36</v>
      </c>
      <c r="D34" s="89">
        <f t="shared" si="0"/>
        <v>3496.64</v>
      </c>
      <c r="E34" s="90">
        <f t="shared" si="1"/>
        <v>21900</v>
      </c>
      <c r="F34" s="41" t="s">
        <v>15</v>
      </c>
      <c r="G34" s="4" t="s">
        <v>20</v>
      </c>
      <c r="H34" s="4" t="s">
        <v>16</v>
      </c>
    </row>
    <row r="35" spans="1:8" x14ac:dyDescent="0.25">
      <c r="A35" s="43" t="s">
        <v>58</v>
      </c>
      <c r="B35" s="44" t="s">
        <v>59</v>
      </c>
      <c r="C35" s="108">
        <f>'[1]Deviz financiar'!C31</f>
        <v>147988.35999999999</v>
      </c>
      <c r="D35" s="95">
        <f t="shared" si="0"/>
        <v>28117.79</v>
      </c>
      <c r="E35" s="96">
        <f t="shared" si="1"/>
        <v>176106.15</v>
      </c>
      <c r="F35" s="41" t="s">
        <v>15</v>
      </c>
      <c r="G35" s="4" t="s">
        <v>20</v>
      </c>
      <c r="H35" s="4" t="s">
        <v>16</v>
      </c>
    </row>
    <row r="36" spans="1:8" ht="16.5" customHeight="1" thickBot="1" x14ac:dyDescent="0.3">
      <c r="A36" s="30"/>
      <c r="B36" s="31" t="s">
        <v>60</v>
      </c>
      <c r="C36" s="85">
        <f>C20+C21+C22+C24+C33+C34+C35</f>
        <v>450565.61999999994</v>
      </c>
      <c r="D36" s="85">
        <f t="shared" ref="D36:E36" si="2">D20+D21+D22+D24+D33+D34+D35</f>
        <v>85607.47</v>
      </c>
      <c r="E36" s="85">
        <f t="shared" si="2"/>
        <v>536173.09</v>
      </c>
      <c r="F36" s="23"/>
    </row>
    <row r="37" spans="1:8" ht="26.25" customHeight="1" x14ac:dyDescent="0.25">
      <c r="A37" s="114" t="s">
        <v>61</v>
      </c>
      <c r="B37" s="115"/>
      <c r="C37" s="115"/>
      <c r="D37" s="115"/>
      <c r="E37" s="116"/>
      <c r="F37" s="23"/>
    </row>
    <row r="38" spans="1:8" x14ac:dyDescent="0.25">
      <c r="A38" s="24" t="s">
        <v>62</v>
      </c>
      <c r="B38" s="27" t="s">
        <v>63</v>
      </c>
      <c r="C38" s="89">
        <f>C39+C40</f>
        <v>11632068.328000003</v>
      </c>
      <c r="D38" s="89">
        <f>D39+D40</f>
        <v>2210092.98</v>
      </c>
      <c r="E38" s="90">
        <f>E39+E40</f>
        <v>13842161.308000002</v>
      </c>
      <c r="F38" s="23"/>
    </row>
    <row r="39" spans="1:8" x14ac:dyDescent="0.25">
      <c r="A39" s="45" t="str">
        <f>A38&amp;".1"</f>
        <v>4.1.1</v>
      </c>
      <c r="B39" s="46" t="s">
        <v>64</v>
      </c>
      <c r="C39" s="105">
        <f>'[1]DEVIZ OBIECT'!H1422</f>
        <v>8320708.9980000015</v>
      </c>
      <c r="D39" s="91">
        <f>ROUND(0.19*C39,2)</f>
        <v>1580934.71</v>
      </c>
      <c r="E39" s="92">
        <f>D39+C39</f>
        <v>9901643.7080000006</v>
      </c>
      <c r="F39" s="23" t="s">
        <v>19</v>
      </c>
      <c r="G39" s="4" t="s">
        <v>20</v>
      </c>
      <c r="H39" s="4" t="s">
        <v>20</v>
      </c>
    </row>
    <row r="40" spans="1:8" x14ac:dyDescent="0.25">
      <c r="A40" s="45" t="str">
        <f>A38&amp;".2"</f>
        <v>4.1.2</v>
      </c>
      <c r="B40" s="47" t="s">
        <v>65</v>
      </c>
      <c r="C40" s="105">
        <f>'[1]DEVIZ OBIECT'!H1423</f>
        <v>3311359.3300000015</v>
      </c>
      <c r="D40" s="91">
        <f>ROUND(0.19*C40,2)</f>
        <v>629158.27</v>
      </c>
      <c r="E40" s="92">
        <f>D40+C40</f>
        <v>3940517.6000000015</v>
      </c>
      <c r="F40" s="23" t="s">
        <v>19</v>
      </c>
      <c r="G40" s="4" t="s">
        <v>16</v>
      </c>
      <c r="H40" s="4" t="s">
        <v>20</v>
      </c>
    </row>
    <row r="41" spans="1:8" ht="26.4" x14ac:dyDescent="0.25">
      <c r="A41" s="24" t="s">
        <v>66</v>
      </c>
      <c r="B41" s="27" t="s">
        <v>67</v>
      </c>
      <c r="C41" s="89">
        <f>C42+C43</f>
        <v>0</v>
      </c>
      <c r="D41" s="89">
        <f>D42+D43</f>
        <v>0</v>
      </c>
      <c r="E41" s="90">
        <f>E42+E43</f>
        <v>0</v>
      </c>
      <c r="F41" s="23"/>
      <c r="H41" s="4"/>
    </row>
    <row r="42" spans="1:8" x14ac:dyDescent="0.25">
      <c r="A42" s="45" t="str">
        <f>A41&amp;".1"</f>
        <v>4.2.1</v>
      </c>
      <c r="B42" s="46" t="s">
        <v>64</v>
      </c>
      <c r="C42" s="105">
        <v>0</v>
      </c>
      <c r="D42" s="91">
        <f>ROUND(0.19*C42,2)</f>
        <v>0</v>
      </c>
      <c r="E42" s="92">
        <f>D42+C42</f>
        <v>0</v>
      </c>
      <c r="F42" s="23" t="s">
        <v>19</v>
      </c>
      <c r="G42" s="4" t="s">
        <v>20</v>
      </c>
      <c r="H42" s="4" t="s">
        <v>20</v>
      </c>
    </row>
    <row r="43" spans="1:8" x14ac:dyDescent="0.25">
      <c r="A43" s="45" t="str">
        <f>A41&amp;".2"</f>
        <v>4.2.2</v>
      </c>
      <c r="B43" s="47" t="s">
        <v>65</v>
      </c>
      <c r="C43" s="105">
        <v>0</v>
      </c>
      <c r="D43" s="91">
        <f>ROUND(0.19*C43,2)</f>
        <v>0</v>
      </c>
      <c r="E43" s="92">
        <f>D43+C43</f>
        <v>0</v>
      </c>
      <c r="F43" s="23" t="s">
        <v>19</v>
      </c>
      <c r="G43" s="4" t="s">
        <v>16</v>
      </c>
      <c r="H43" s="4" t="s">
        <v>20</v>
      </c>
    </row>
    <row r="44" spans="1:8" ht="26.4" x14ac:dyDescent="0.25">
      <c r="A44" s="24" t="s">
        <v>68</v>
      </c>
      <c r="B44" s="27" t="s">
        <v>69</v>
      </c>
      <c r="C44" s="89">
        <f>C45+C46</f>
        <v>0</v>
      </c>
      <c r="D44" s="89">
        <f>D45+D46</f>
        <v>0</v>
      </c>
      <c r="E44" s="90">
        <f>E45+E46</f>
        <v>0</v>
      </c>
      <c r="F44" s="23"/>
      <c r="H44" s="4"/>
    </row>
    <row r="45" spans="1:8" x14ac:dyDescent="0.25">
      <c r="A45" s="45" t="str">
        <f>A44&amp;".1"</f>
        <v>4.3.1</v>
      </c>
      <c r="B45" s="46" t="s">
        <v>64</v>
      </c>
      <c r="C45" s="105">
        <v>0</v>
      </c>
      <c r="D45" s="91">
        <f>ROUND(0.19*C45,2)</f>
        <v>0</v>
      </c>
      <c r="E45" s="92">
        <f>D45+C45</f>
        <v>0</v>
      </c>
      <c r="F45" s="23" t="s">
        <v>19</v>
      </c>
      <c r="G45" s="4" t="s">
        <v>20</v>
      </c>
      <c r="H45" s="4" t="s">
        <v>16</v>
      </c>
    </row>
    <row r="46" spans="1:8" x14ac:dyDescent="0.25">
      <c r="A46" s="45" t="str">
        <f>A44&amp;".2"</f>
        <v>4.3.2</v>
      </c>
      <c r="B46" s="47" t="s">
        <v>65</v>
      </c>
      <c r="C46" s="105">
        <v>0</v>
      </c>
      <c r="D46" s="91">
        <f>ROUND(0.19*C46,2)</f>
        <v>0</v>
      </c>
      <c r="E46" s="92">
        <f>D46+C46</f>
        <v>0</v>
      </c>
      <c r="F46" s="23" t="s">
        <v>19</v>
      </c>
      <c r="G46" s="4" t="s">
        <v>16</v>
      </c>
      <c r="H46" s="4" t="s">
        <v>16</v>
      </c>
    </row>
    <row r="47" spans="1:8" ht="39.6" x14ac:dyDescent="0.25">
      <c r="A47" s="24" t="s">
        <v>70</v>
      </c>
      <c r="B47" s="27" t="s">
        <v>71</v>
      </c>
      <c r="C47" s="89">
        <f>C48+C49</f>
        <v>0</v>
      </c>
      <c r="D47" s="89">
        <f>D48+D49</f>
        <v>0</v>
      </c>
      <c r="E47" s="90">
        <f>E48+E49</f>
        <v>0</v>
      </c>
      <c r="H47" s="4"/>
    </row>
    <row r="48" spans="1:8" x14ac:dyDescent="0.25">
      <c r="A48" s="45" t="str">
        <f>A47&amp;".1"</f>
        <v>4.4.1</v>
      </c>
      <c r="B48" s="46" t="s">
        <v>64</v>
      </c>
      <c r="C48" s="105">
        <v>0</v>
      </c>
      <c r="D48" s="91">
        <f>ROUND(0.19*C48,2)</f>
        <v>0</v>
      </c>
      <c r="E48" s="92">
        <f>D48+C48</f>
        <v>0</v>
      </c>
      <c r="F48" s="23" t="s">
        <v>19</v>
      </c>
      <c r="G48" s="4" t="s">
        <v>20</v>
      </c>
      <c r="H48" s="4" t="s">
        <v>16</v>
      </c>
    </row>
    <row r="49" spans="1:8" x14ac:dyDescent="0.25">
      <c r="A49" s="45" t="str">
        <f>A47&amp;".2"</f>
        <v>4.4.2</v>
      </c>
      <c r="B49" s="47" t="s">
        <v>65</v>
      </c>
      <c r="C49" s="105">
        <v>0</v>
      </c>
      <c r="D49" s="91">
        <f>ROUND(0.19*C49,2)</f>
        <v>0</v>
      </c>
      <c r="E49" s="92">
        <f>D49+C49</f>
        <v>0</v>
      </c>
      <c r="F49" s="23" t="s">
        <v>19</v>
      </c>
      <c r="G49" s="4" t="s">
        <v>16</v>
      </c>
      <c r="H49" s="4" t="s">
        <v>16</v>
      </c>
    </row>
    <row r="50" spans="1:8" x14ac:dyDescent="0.25">
      <c r="A50" s="24" t="s">
        <v>72</v>
      </c>
      <c r="B50" s="27" t="s">
        <v>73</v>
      </c>
      <c r="C50" s="89">
        <f>C51+C52</f>
        <v>0</v>
      </c>
      <c r="D50" s="89">
        <f>D51+D52</f>
        <v>0</v>
      </c>
      <c r="E50" s="90">
        <f>E51+E52</f>
        <v>0</v>
      </c>
      <c r="F50" s="23"/>
      <c r="H50" s="4"/>
    </row>
    <row r="51" spans="1:8" x14ac:dyDescent="0.25">
      <c r="A51" s="45" t="str">
        <f>A50&amp;".1"</f>
        <v>4.5.1</v>
      </c>
      <c r="B51" s="46" t="s">
        <v>64</v>
      </c>
      <c r="C51" s="105">
        <v>0</v>
      </c>
      <c r="D51" s="91">
        <f>ROUND(0.19*C51,2)</f>
        <v>0</v>
      </c>
      <c r="E51" s="92">
        <f>D51+C51</f>
        <v>0</v>
      </c>
      <c r="F51" s="23" t="s">
        <v>19</v>
      </c>
      <c r="G51" s="4" t="s">
        <v>20</v>
      </c>
      <c r="H51" s="4" t="s">
        <v>16</v>
      </c>
    </row>
    <row r="52" spans="1:8" x14ac:dyDescent="0.25">
      <c r="A52" s="45" t="str">
        <f>A50&amp;".2"</f>
        <v>4.5.2</v>
      </c>
      <c r="B52" s="47" t="s">
        <v>65</v>
      </c>
      <c r="C52" s="105">
        <v>0</v>
      </c>
      <c r="D52" s="91">
        <f>ROUND(0.19*C52,2)</f>
        <v>0</v>
      </c>
      <c r="E52" s="92">
        <f>D52+C52</f>
        <v>0</v>
      </c>
      <c r="F52" s="23" t="s">
        <v>19</v>
      </c>
      <c r="G52" s="4" t="s">
        <v>16</v>
      </c>
      <c r="H52" s="4" t="s">
        <v>16</v>
      </c>
    </row>
    <row r="53" spans="1:8" x14ac:dyDescent="0.25">
      <c r="A53" s="24" t="s">
        <v>74</v>
      </c>
      <c r="B53" s="27" t="s">
        <v>75</v>
      </c>
      <c r="C53" s="89">
        <f>C54+C55</f>
        <v>0</v>
      </c>
      <c r="D53" s="89">
        <f>D54+D55</f>
        <v>0</v>
      </c>
      <c r="E53" s="90">
        <f>E54+E55</f>
        <v>0</v>
      </c>
      <c r="F53" s="23"/>
      <c r="H53" s="4"/>
    </row>
    <row r="54" spans="1:8" x14ac:dyDescent="0.25">
      <c r="A54" s="45" t="str">
        <f>A53&amp;".1"</f>
        <v>4.6.1</v>
      </c>
      <c r="B54" s="46" t="s">
        <v>64</v>
      </c>
      <c r="C54" s="38">
        <v>0</v>
      </c>
      <c r="D54" s="91">
        <f>ROUND(0.19*C54,2)</f>
        <v>0</v>
      </c>
      <c r="E54" s="92">
        <f>D54+C54</f>
        <v>0</v>
      </c>
      <c r="F54" s="23" t="s">
        <v>19</v>
      </c>
      <c r="G54" s="4" t="s">
        <v>20</v>
      </c>
      <c r="H54" s="4" t="s">
        <v>16</v>
      </c>
    </row>
    <row r="55" spans="1:8" x14ac:dyDescent="0.25">
      <c r="A55" s="45" t="str">
        <f>A53&amp;".2"</f>
        <v>4.6.2</v>
      </c>
      <c r="B55" s="47" t="s">
        <v>65</v>
      </c>
      <c r="C55" s="38">
        <v>0</v>
      </c>
      <c r="D55" s="91">
        <f>ROUND(0.19*C55,2)</f>
        <v>0</v>
      </c>
      <c r="E55" s="92">
        <f>D55+C55</f>
        <v>0</v>
      </c>
      <c r="F55" s="23" t="s">
        <v>19</v>
      </c>
      <c r="G55" s="4" t="s">
        <v>16</v>
      </c>
      <c r="H55" s="4" t="s">
        <v>16</v>
      </c>
    </row>
    <row r="56" spans="1:8" ht="14.4" thickBot="1" x14ac:dyDescent="0.3">
      <c r="A56" s="32"/>
      <c r="B56" s="31" t="s">
        <v>76</v>
      </c>
      <c r="C56" s="85">
        <f>SUMIFS(C38:C55,$F$38:$F$55,"&lt;&gt;")</f>
        <v>11632068.328000003</v>
      </c>
      <c r="D56" s="85">
        <f>SUMIFS(D38:D55,$F$38:$F$55,"&lt;&gt;")</f>
        <v>2210092.98</v>
      </c>
      <c r="E56" s="86">
        <f>SUMIFS(E38:E55,$F$38:$F$55,"&lt;&gt;")</f>
        <v>13842161.308000002</v>
      </c>
      <c r="F56" s="23"/>
      <c r="H56" s="4"/>
    </row>
    <row r="57" spans="1:8" ht="25.5" customHeight="1" x14ac:dyDescent="0.25">
      <c r="A57" s="110" t="s">
        <v>77</v>
      </c>
      <c r="B57" s="111"/>
      <c r="C57" s="111"/>
      <c r="D57" s="111"/>
      <c r="E57" s="112"/>
      <c r="F57" s="23"/>
      <c r="H57" s="4"/>
    </row>
    <row r="58" spans="1:8" ht="15" customHeight="1" x14ac:dyDescent="0.25">
      <c r="A58" s="24" t="s">
        <v>78</v>
      </c>
      <c r="B58" s="25" t="s">
        <v>79</v>
      </c>
      <c r="C58" s="89">
        <f>C59+C60</f>
        <v>290801.70999999996</v>
      </c>
      <c r="D58" s="89">
        <f>D59+D60</f>
        <v>55252.32</v>
      </c>
      <c r="E58" s="90">
        <f>E59+E60</f>
        <v>346054.02999999997</v>
      </c>
      <c r="F58" s="23"/>
      <c r="H58" s="4"/>
    </row>
    <row r="59" spans="1:8" ht="26.4" x14ac:dyDescent="0.25">
      <c r="A59" s="48" t="s">
        <v>80</v>
      </c>
      <c r="B59" s="46" t="s">
        <v>81</v>
      </c>
      <c r="C59" s="105">
        <v>232641.37</v>
      </c>
      <c r="D59" s="89">
        <f>ROUND(0.19*C59,2)</f>
        <v>44201.86</v>
      </c>
      <c r="E59" s="90">
        <f>D59+C59</f>
        <v>276843.23</v>
      </c>
      <c r="F59" s="23" t="s">
        <v>19</v>
      </c>
      <c r="G59" s="4" t="s">
        <v>20</v>
      </c>
      <c r="H59" s="4" t="s">
        <v>20</v>
      </c>
    </row>
    <row r="60" spans="1:8" ht="15.75" customHeight="1" x14ac:dyDescent="0.25">
      <c r="A60" s="48" t="s">
        <v>82</v>
      </c>
      <c r="B60" s="47" t="s">
        <v>83</v>
      </c>
      <c r="C60" s="105">
        <v>58160.34</v>
      </c>
      <c r="D60" s="89">
        <f>ROUND(0.19*C60,2)</f>
        <v>11050.46</v>
      </c>
      <c r="E60" s="90">
        <f>D60+C60</f>
        <v>69210.799999999988</v>
      </c>
      <c r="F60" s="23" t="s">
        <v>15</v>
      </c>
      <c r="G60" s="4" t="s">
        <v>20</v>
      </c>
      <c r="H60" s="4" t="s">
        <v>16</v>
      </c>
    </row>
    <row r="61" spans="1:8" ht="26.25" customHeight="1" x14ac:dyDescent="0.25">
      <c r="A61" s="24" t="s">
        <v>84</v>
      </c>
      <c r="B61" s="27" t="s">
        <v>85</v>
      </c>
      <c r="C61" s="89">
        <f>SUM(C62:C66)</f>
        <v>130511.80849000001</v>
      </c>
      <c r="D61" s="89">
        <f>SUM(D62:D66)</f>
        <v>0</v>
      </c>
      <c r="E61" s="90">
        <f>SUM(E62:E66)</f>
        <v>130511.80849000001</v>
      </c>
      <c r="F61" s="23"/>
      <c r="H61" s="4"/>
    </row>
    <row r="62" spans="1:8" ht="26.4" x14ac:dyDescent="0.25">
      <c r="A62" s="49" t="s">
        <v>86</v>
      </c>
      <c r="B62" s="50" t="s">
        <v>87</v>
      </c>
      <c r="C62" s="105">
        <v>0</v>
      </c>
      <c r="D62" s="89">
        <f t="shared" ref="D62:D68" si="3">ROUND(0.19*C62,2)</f>
        <v>0</v>
      </c>
      <c r="E62" s="90">
        <f t="shared" ref="E62:E68" si="4">D62+C62</f>
        <v>0</v>
      </c>
      <c r="F62" s="23" t="s">
        <v>15</v>
      </c>
      <c r="G62" s="4" t="s">
        <v>20</v>
      </c>
      <c r="H62" s="4" t="s">
        <v>16</v>
      </c>
    </row>
    <row r="63" spans="1:8" ht="26.4" x14ac:dyDescent="0.25">
      <c r="A63" s="49" t="s">
        <v>88</v>
      </c>
      <c r="B63" s="50" t="s">
        <v>89</v>
      </c>
      <c r="C63" s="105">
        <f>C75*0.005</f>
        <v>59323.548490000016</v>
      </c>
      <c r="D63" s="89">
        <v>0</v>
      </c>
      <c r="E63" s="90">
        <f t="shared" si="4"/>
        <v>59323.548490000016</v>
      </c>
      <c r="F63" s="23" t="s">
        <v>19</v>
      </c>
      <c r="G63" s="4" t="s">
        <v>20</v>
      </c>
      <c r="H63" s="4" t="s">
        <v>16</v>
      </c>
    </row>
    <row r="64" spans="1:8" ht="39.6" x14ac:dyDescent="0.25">
      <c r="A64" s="49" t="s">
        <v>90</v>
      </c>
      <c r="B64" s="50" t="s">
        <v>91</v>
      </c>
      <c r="C64" s="105">
        <v>11864.71</v>
      </c>
      <c r="D64" s="89">
        <v>0</v>
      </c>
      <c r="E64" s="90">
        <f t="shared" si="4"/>
        <v>11864.71</v>
      </c>
      <c r="F64" s="23" t="s">
        <v>19</v>
      </c>
      <c r="G64" s="4" t="s">
        <v>20</v>
      </c>
      <c r="H64" s="4" t="s">
        <v>16</v>
      </c>
    </row>
    <row r="65" spans="1:8" x14ac:dyDescent="0.25">
      <c r="A65" s="49" t="s">
        <v>92</v>
      </c>
      <c r="B65" s="50" t="s">
        <v>93</v>
      </c>
      <c r="C65" s="105">
        <v>59323.55</v>
      </c>
      <c r="D65" s="89">
        <v>0</v>
      </c>
      <c r="E65" s="90">
        <f t="shared" si="4"/>
        <v>59323.55</v>
      </c>
      <c r="F65" s="23" t="s">
        <v>19</v>
      </c>
      <c r="G65" s="4" t="s">
        <v>20</v>
      </c>
      <c r="H65" s="4" t="s">
        <v>16</v>
      </c>
    </row>
    <row r="66" spans="1:8" ht="26.4" x14ac:dyDescent="0.25">
      <c r="A66" s="49" t="s">
        <v>94</v>
      </c>
      <c r="B66" s="50" t="s">
        <v>95</v>
      </c>
      <c r="C66" s="105">
        <v>0</v>
      </c>
      <c r="D66" s="89">
        <f t="shared" si="3"/>
        <v>0</v>
      </c>
      <c r="E66" s="90">
        <f t="shared" si="4"/>
        <v>0</v>
      </c>
      <c r="F66" s="23" t="s">
        <v>15</v>
      </c>
      <c r="G66" s="4" t="s">
        <v>20</v>
      </c>
      <c r="H66" s="4" t="s">
        <v>16</v>
      </c>
    </row>
    <row r="67" spans="1:8" x14ac:dyDescent="0.25">
      <c r="A67" s="24" t="s">
        <v>96</v>
      </c>
      <c r="B67" s="27" t="s">
        <v>97</v>
      </c>
      <c r="C67" s="105">
        <f>846193.23-326034.7-43000-16992.64</f>
        <v>460165.88999999996</v>
      </c>
      <c r="D67" s="89">
        <f t="shared" si="3"/>
        <v>87431.52</v>
      </c>
      <c r="E67" s="90">
        <f t="shared" si="4"/>
        <v>547597.40999999992</v>
      </c>
      <c r="F67" s="23" t="s">
        <v>19</v>
      </c>
      <c r="G67" s="4" t="s">
        <v>20</v>
      </c>
      <c r="H67" s="4" t="s">
        <v>16</v>
      </c>
    </row>
    <row r="68" spans="1:8" x14ac:dyDescent="0.25">
      <c r="A68" s="29" t="s">
        <v>98</v>
      </c>
      <c r="B68" s="27" t="s">
        <v>99</v>
      </c>
      <c r="C68" s="105">
        <v>0</v>
      </c>
      <c r="D68" s="89">
        <f t="shared" si="3"/>
        <v>0</v>
      </c>
      <c r="E68" s="90">
        <f t="shared" si="4"/>
        <v>0</v>
      </c>
      <c r="F68" s="23" t="s">
        <v>15</v>
      </c>
      <c r="G68" s="4" t="s">
        <v>20</v>
      </c>
      <c r="H68" s="4" t="s">
        <v>16</v>
      </c>
    </row>
    <row r="69" spans="1:8" ht="14.4" thickBot="1" x14ac:dyDescent="0.3">
      <c r="A69" s="32"/>
      <c r="B69" s="33" t="s">
        <v>100</v>
      </c>
      <c r="C69" s="85">
        <f>SUMIFS(C58:C68,$F$58:$F$68,"&lt;&gt;")</f>
        <v>881479.40848999994</v>
      </c>
      <c r="D69" s="85">
        <f>SUMIFS(D58:D68,$F$58:$F$68,"&lt;&gt;")</f>
        <v>142683.84</v>
      </c>
      <c r="E69" s="86">
        <f>SUMIFS(E58:E68,$F$58:$F$68,"&lt;&gt;")</f>
        <v>1024163.2484899999</v>
      </c>
      <c r="F69" s="23"/>
      <c r="H69" s="4"/>
    </row>
    <row r="70" spans="1:8" ht="27" customHeight="1" x14ac:dyDescent="0.25">
      <c r="A70" s="110" t="s">
        <v>101</v>
      </c>
      <c r="B70" s="111"/>
      <c r="C70" s="111"/>
      <c r="D70" s="111"/>
      <c r="E70" s="112"/>
      <c r="F70" s="23"/>
      <c r="H70" s="4"/>
    </row>
    <row r="71" spans="1:8" x14ac:dyDescent="0.25">
      <c r="A71" s="24" t="s">
        <v>102</v>
      </c>
      <c r="B71" s="27" t="s">
        <v>103</v>
      </c>
      <c r="C71" s="105">
        <v>0</v>
      </c>
      <c r="D71" s="89">
        <f>0.19*C71</f>
        <v>0</v>
      </c>
      <c r="E71" s="90">
        <f>C71*1.19</f>
        <v>0</v>
      </c>
      <c r="F71" s="23" t="s">
        <v>15</v>
      </c>
      <c r="G71" s="4" t="s">
        <v>20</v>
      </c>
      <c r="H71" s="4" t="s">
        <v>20</v>
      </c>
    </row>
    <row r="72" spans="1:8" x14ac:dyDescent="0.25">
      <c r="A72" s="24" t="s">
        <v>104</v>
      </c>
      <c r="B72" s="27" t="s">
        <v>105</v>
      </c>
      <c r="C72" s="105">
        <v>0</v>
      </c>
      <c r="D72" s="89">
        <f>ROUND(0.19*C72,2)</f>
        <v>0</v>
      </c>
      <c r="E72" s="90">
        <f>D72+C72</f>
        <v>0</v>
      </c>
      <c r="F72" s="23" t="s">
        <v>19</v>
      </c>
      <c r="G72" s="4" t="s">
        <v>20</v>
      </c>
      <c r="H72" s="4" t="s">
        <v>20</v>
      </c>
    </row>
    <row r="73" spans="1:8" ht="13.2" customHeight="1" thickBot="1" x14ac:dyDescent="0.3">
      <c r="A73" s="32"/>
      <c r="B73" s="31" t="s">
        <v>106</v>
      </c>
      <c r="C73" s="85">
        <f>SUMIFS(C71:C72,$F$71:$F$72,"&lt;&gt;")</f>
        <v>0</v>
      </c>
      <c r="D73" s="85">
        <f>SUMIFS(D71:D72,$F$71:$F$72,"&lt;&gt;")</f>
        <v>0</v>
      </c>
      <c r="E73" s="86">
        <f>SUMIFS(E71:E72,$F$71:$F$72,"&lt;&gt;")</f>
        <v>0</v>
      </c>
      <c r="F73" s="23"/>
    </row>
    <row r="74" spans="1:8" ht="21" customHeight="1" thickBot="1" x14ac:dyDescent="0.3">
      <c r="A74" s="51"/>
      <c r="B74" s="52" t="s">
        <v>107</v>
      </c>
      <c r="C74" s="97">
        <f>SUMIFS(C11:C73,$F$11:$F$73,"&lt;&gt;")</f>
        <v>12964113.356490005</v>
      </c>
      <c r="D74" s="97">
        <f>SUMIFS(D11:D73,$F$11:$F$73,"&lt;&gt;")</f>
        <v>2438384.29</v>
      </c>
      <c r="E74" s="98">
        <f>SUMIFS(E11:E73,$F$11:$F$73,"&lt;&gt;")</f>
        <v>15402497.646490006</v>
      </c>
      <c r="F74" s="23"/>
    </row>
    <row r="75" spans="1:8" ht="16.2" thickBot="1" x14ac:dyDescent="0.3">
      <c r="A75" s="53"/>
      <c r="B75" s="54" t="s">
        <v>108</v>
      </c>
      <c r="C75" s="97">
        <f>SUMIFS(C11:C73,$H$11:$H$73,"da")</f>
        <v>11864709.698000003</v>
      </c>
      <c r="D75" s="97">
        <f>SUMIFS(D11:D73,$H$11:$H$73,"da")</f>
        <v>2254294.84</v>
      </c>
      <c r="E75" s="98">
        <f>SUMIFS(E11:E73,$H$11:$H$73,"da")</f>
        <v>14119004.538000003</v>
      </c>
      <c r="F75" s="23">
        <f>51170/1.19</f>
        <v>43000</v>
      </c>
    </row>
    <row r="76" spans="1:8" x14ac:dyDescent="0.25">
      <c r="A76" s="7"/>
      <c r="B76" s="55"/>
      <c r="C76" s="56"/>
      <c r="D76" s="57"/>
      <c r="E76" s="57"/>
      <c r="F76" s="23"/>
    </row>
    <row r="77" spans="1:8" ht="15.6" x14ac:dyDescent="0.25">
      <c r="A77" s="7"/>
      <c r="B77" s="58" t="s">
        <v>109</v>
      </c>
      <c r="C77" s="99">
        <f>C78+C79</f>
        <v>15402497.646490006</v>
      </c>
      <c r="D77" s="59"/>
      <c r="E77" s="60"/>
      <c r="F77" s="23"/>
    </row>
    <row r="78" spans="1:8" ht="21" customHeight="1" x14ac:dyDescent="0.25">
      <c r="A78" s="7"/>
      <c r="B78" s="61" t="s">
        <v>19</v>
      </c>
      <c r="C78" s="100">
        <f>SUMIFS(E11:E72,F11:F72,"=buget de stat")</f>
        <v>14999999.996490005</v>
      </c>
      <c r="D78" s="59"/>
      <c r="E78" s="60"/>
      <c r="F78" s="62"/>
      <c r="H78" s="40"/>
    </row>
    <row r="79" spans="1:8" ht="17.25" customHeight="1" x14ac:dyDescent="0.25">
      <c r="A79" s="7"/>
      <c r="B79" s="61" t="s">
        <v>15</v>
      </c>
      <c r="C79" s="101">
        <f>SUMIFS(E11:E72,F11:F72,"=buget local")</f>
        <v>402497.64999999997</v>
      </c>
      <c r="D79" s="59"/>
      <c r="E79" s="60"/>
      <c r="F79" s="23"/>
      <c r="G79" s="63"/>
    </row>
    <row r="80" spans="1:8" x14ac:dyDescent="0.25">
      <c r="A80" s="7"/>
      <c r="B80" s="64"/>
      <c r="C80" s="64"/>
      <c r="D80" s="56"/>
      <c r="E80" s="56"/>
      <c r="F80" s="23"/>
      <c r="G80" s="63"/>
    </row>
    <row r="81" spans="1:8" ht="31.2" x14ac:dyDescent="0.25">
      <c r="A81" s="7"/>
      <c r="B81" s="65" t="s">
        <v>110</v>
      </c>
      <c r="C81" s="66" t="s">
        <v>111</v>
      </c>
      <c r="D81" s="66" t="s">
        <v>112</v>
      </c>
      <c r="E81" s="67"/>
      <c r="F81" s="68"/>
      <c r="H81" s="40"/>
    </row>
    <row r="82" spans="1:8" ht="16.2" x14ac:dyDescent="0.25">
      <c r="A82" s="7"/>
      <c r="B82" s="61" t="s">
        <v>113</v>
      </c>
      <c r="C82" s="100">
        <f>SUMIFS(C38:C55,G38:G55,"=da")</f>
        <v>8320708.9980000015</v>
      </c>
      <c r="D82" s="100">
        <f>SUMIFS(C38:C55,G38:G55,"=nu")</f>
        <v>3311359.3300000015</v>
      </c>
      <c r="E82" s="67"/>
      <c r="F82" s="69"/>
    </row>
    <row r="83" spans="1:8" ht="16.2" x14ac:dyDescent="0.25">
      <c r="A83" s="7"/>
      <c r="B83" s="61" t="s">
        <v>114</v>
      </c>
      <c r="C83" s="100">
        <f>(SUMIFS(C38:C55,G38:G55,"=da")/((SUMIFS(C38:C55,G38:G55,"=da")+(SUMIFS(C38:C55,G38:G55,"=nu")))))*((SUMIFS(C11:C72,G11:G72,"=da")+(SUMIFS(C11:C72,G11:G72,"=nu"))))</f>
        <v>9273554.076086266</v>
      </c>
      <c r="D83" s="100">
        <f>(SUMIFS(C38:C55,G38:G55,"=nu")/((SUMIFS(C38:C55,G38:G55,"=da")+(SUMIFS(C38:C55,G38:G55,"=nu")))))*((SUMIFS(C11:C72,G11:G72,"=da")+(SUMIFS(C11:C72,G11:G72,"=nu"))))</f>
        <v>3690559.2804037388</v>
      </c>
      <c r="E83" s="67"/>
      <c r="F83" s="70"/>
    </row>
    <row r="84" spans="1:8" ht="16.2" x14ac:dyDescent="0.25">
      <c r="A84" s="7"/>
      <c r="B84" s="61" t="s">
        <v>115</v>
      </c>
      <c r="C84" s="100">
        <f>C83/C89</f>
        <v>1031541.0540696625</v>
      </c>
      <c r="D84" s="100">
        <f>D83/C89</f>
        <v>410518.27368228463</v>
      </c>
      <c r="E84" s="67"/>
      <c r="F84" s="69"/>
    </row>
    <row r="85" spans="1:8" ht="16.2" x14ac:dyDescent="0.25">
      <c r="A85" s="7"/>
      <c r="B85" s="61" t="s">
        <v>116</v>
      </c>
      <c r="C85" s="100">
        <f>C83/C89/C88</f>
        <v>208983.19571913747</v>
      </c>
      <c r="D85" s="100">
        <f>D83/C89/C88</f>
        <v>83168.207796248913</v>
      </c>
      <c r="E85" s="67"/>
      <c r="F85" s="69"/>
    </row>
    <row r="86" spans="1:8" ht="15.6" x14ac:dyDescent="0.25">
      <c r="A86" s="7"/>
      <c r="D86" s="71"/>
      <c r="E86" s="71"/>
      <c r="F86" s="72"/>
    </row>
    <row r="87" spans="1:8" ht="15.6" x14ac:dyDescent="0.25">
      <c r="A87" s="73"/>
      <c r="B87" s="61" t="s">
        <v>117</v>
      </c>
      <c r="C87" s="102">
        <v>44851</v>
      </c>
      <c r="D87" s="74"/>
      <c r="E87" s="74"/>
      <c r="F87" s="72"/>
    </row>
    <row r="88" spans="1:8" ht="15.6" x14ac:dyDescent="0.25">
      <c r="A88" s="7"/>
      <c r="B88" s="61" t="s">
        <v>118</v>
      </c>
      <c r="C88" s="103">
        <v>4.9359999999999999</v>
      </c>
      <c r="D88" s="71"/>
      <c r="E88" s="71"/>
      <c r="F88" s="72"/>
    </row>
    <row r="89" spans="1:8" ht="36.75" customHeight="1" x14ac:dyDescent="0.25">
      <c r="A89" s="7"/>
      <c r="B89" s="75" t="s">
        <v>119</v>
      </c>
      <c r="C89" s="104">
        <v>8.99</v>
      </c>
      <c r="D89" s="74"/>
      <c r="E89" s="74"/>
      <c r="F89" s="72"/>
    </row>
    <row r="90" spans="1:8" ht="15.6" x14ac:dyDescent="0.25">
      <c r="A90" s="7"/>
      <c r="C90" s="67"/>
      <c r="D90" s="67"/>
      <c r="E90" s="67"/>
    </row>
    <row r="91" spans="1:8" ht="15.6" x14ac:dyDescent="0.25">
      <c r="A91" s="76"/>
      <c r="B91" s="77" t="s">
        <v>120</v>
      </c>
      <c r="C91" s="78"/>
      <c r="D91" s="79" t="s">
        <v>121</v>
      </c>
    </row>
    <row r="92" spans="1:8" ht="13.8" x14ac:dyDescent="0.25">
      <c r="B92" s="80" t="s">
        <v>122</v>
      </c>
      <c r="C92" s="80"/>
      <c r="D92" s="80" t="s">
        <v>123</v>
      </c>
      <c r="E92" s="80"/>
    </row>
    <row r="93" spans="1:8" ht="13.8" x14ac:dyDescent="0.25">
      <c r="B93" s="80" t="s">
        <v>124</v>
      </c>
      <c r="C93" s="80"/>
      <c r="D93" s="80" t="s">
        <v>125</v>
      </c>
      <c r="E93" s="80"/>
    </row>
    <row r="94" spans="1:8" ht="13.8" x14ac:dyDescent="0.25">
      <c r="B94" s="80" t="s">
        <v>126</v>
      </c>
      <c r="C94" s="80"/>
      <c r="D94" s="80" t="s">
        <v>127</v>
      </c>
      <c r="E94" s="80"/>
    </row>
  </sheetData>
  <mergeCells count="13">
    <mergeCell ref="A4:E4"/>
    <mergeCell ref="A6:A8"/>
    <mergeCell ref="B6:B8"/>
    <mergeCell ref="C6:E6"/>
    <mergeCell ref="F6:F8"/>
    <mergeCell ref="A70:E70"/>
    <mergeCell ref="H6:H8"/>
    <mergeCell ref="A10:E10"/>
    <mergeCell ref="A16:E16"/>
    <mergeCell ref="A19:E19"/>
    <mergeCell ref="A37:E37"/>
    <mergeCell ref="A57:E57"/>
    <mergeCell ref="G6:G8"/>
  </mergeCells>
  <dataValidations count="2">
    <dataValidation type="date" operator="greaterThanOrEqual" allowBlank="1" showInputMessage="1" showErrorMessage="1" sqref="C87">
      <formula1>44197</formula1>
    </dataValidation>
    <dataValidation type="list" allowBlank="1" showInputMessage="1" showErrorMessage="1" sqref="G54:H55 G51:H52 G17:H17 G20:H23 G59:H68 G39:H40 G42:H43 G45:H46 G48:H49 G71:H72 G11:H14 G25:H35">
      <formula1>"da,nu"</formula1>
    </dataValidation>
  </dataValidations>
  <pageMargins left="0.7" right="0.7" top="0.75" bottom="0.57999999999999996" header="0.3" footer="0.3"/>
  <pageSetup scale="93" orientation="portrait" r:id="rId1"/>
  <rowBreaks count="2" manualBreakCount="2">
    <brk id="40" max="4" man="1"/>
    <brk id="7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Sheet1!Zona_de_imprimat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lorena.costache</dc:creator>
  <cp:lastModifiedBy>Dragosel</cp:lastModifiedBy>
  <cp:lastPrinted>2023-02-27T07:49:19Z</cp:lastPrinted>
  <dcterms:created xsi:type="dcterms:W3CDTF">2023-02-27T07:30:27Z</dcterms:created>
  <dcterms:modified xsi:type="dcterms:W3CDTF">2023-02-27T09:12:13Z</dcterms:modified>
</cp:coreProperties>
</file>