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2023\30 OCTOMBRIE 2023\PHCL APROBARE DEVIZ SI INDICATORI APA PLAIU CORNULUI SI SECIURI\deviz +indicatori economici nou 30 10 2023\"/>
    </mc:Choice>
  </mc:AlternateContent>
  <xr:revisionPtr revIDLastSave="0" documentId="13_ncr:1_{754DAABA-47EA-4605-9A95-DDB12E2897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G " sheetId="1" r:id="rId1"/>
  </sheets>
  <definedNames>
    <definedName name="_xlnm.Print_Area" localSheetId="0">'DG '!$A$4:$E$94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E13" i="1" s="1"/>
  <c r="D14" i="1"/>
  <c r="D15" i="1"/>
  <c r="E15" i="1" s="1"/>
  <c r="D16" i="1"/>
  <c r="E16" i="1" s="1"/>
  <c r="D19" i="1"/>
  <c r="D20" i="1" s="1"/>
  <c r="E19" i="1"/>
  <c r="E20" i="1" s="1"/>
  <c r="D22" i="1"/>
  <c r="E22" i="1" s="1"/>
  <c r="D23" i="1"/>
  <c r="E23" i="1" s="1"/>
  <c r="D24" i="1"/>
  <c r="E24" i="1" s="1"/>
  <c r="D25" i="1"/>
  <c r="E25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/>
  <c r="D39" i="1"/>
  <c r="E39" i="1" s="1"/>
  <c r="D40" i="1"/>
  <c r="E40" i="1" s="1"/>
  <c r="D42" i="1"/>
  <c r="E42" i="1" s="1"/>
  <c r="D43" i="1"/>
  <c r="E43" i="1" s="1"/>
  <c r="D45" i="1"/>
  <c r="E45" i="1" s="1"/>
  <c r="D46" i="1"/>
  <c r="E46" i="1" s="1"/>
  <c r="D48" i="1"/>
  <c r="E48" i="1" s="1"/>
  <c r="D49" i="1"/>
  <c r="E49" i="1" s="1"/>
  <c r="D51" i="1"/>
  <c r="E51" i="1" s="1"/>
  <c r="D52" i="1"/>
  <c r="E52" i="1" s="1"/>
  <c r="D54" i="1"/>
  <c r="E54" i="1" s="1"/>
  <c r="D55" i="1"/>
  <c r="E55" i="1" s="1"/>
  <c r="D59" i="1"/>
  <c r="E59" i="1" s="1"/>
  <c r="D60" i="1"/>
  <c r="E60" i="1" s="1"/>
  <c r="E62" i="1"/>
  <c r="E63" i="1"/>
  <c r="E64" i="1"/>
  <c r="E65" i="1"/>
  <c r="E66" i="1"/>
  <c r="D67" i="1"/>
  <c r="E67" i="1" s="1"/>
  <c r="D68" i="1"/>
  <c r="E68" i="1" s="1"/>
  <c r="E71" i="1"/>
  <c r="D72" i="1"/>
  <c r="E72" i="1" s="1"/>
  <c r="C36" i="1"/>
  <c r="C50" i="1"/>
  <c r="D61" i="1"/>
  <c r="D84" i="1"/>
  <c r="D85" i="1" s="1"/>
  <c r="D83" i="1"/>
  <c r="C83" i="1"/>
  <c r="C75" i="1"/>
  <c r="C74" i="1"/>
  <c r="C73" i="1"/>
  <c r="C69" i="1"/>
  <c r="C61" i="1"/>
  <c r="C58" i="1"/>
  <c r="C56" i="1"/>
  <c r="C53" i="1"/>
  <c r="C47" i="1"/>
  <c r="C44" i="1"/>
  <c r="C41" i="1"/>
  <c r="C38" i="1"/>
  <c r="C20" i="1"/>
  <c r="C17" i="1"/>
  <c r="D71" i="1"/>
  <c r="A55" i="1"/>
  <c r="A54" i="1"/>
  <c r="A52" i="1"/>
  <c r="A51" i="1"/>
  <c r="A49" i="1"/>
  <c r="A48" i="1"/>
  <c r="A43" i="1"/>
  <c r="A42" i="1"/>
  <c r="A40" i="1"/>
  <c r="A39" i="1"/>
  <c r="A46" i="1"/>
  <c r="A45" i="1"/>
  <c r="C26" i="1"/>
  <c r="C84" i="1"/>
  <c r="C86" i="1" s="1"/>
  <c r="D50" i="1" l="1"/>
  <c r="D47" i="1"/>
  <c r="E73" i="1"/>
  <c r="E47" i="1"/>
  <c r="E50" i="1"/>
  <c r="D41" i="1"/>
  <c r="D44" i="1"/>
  <c r="E69" i="1"/>
  <c r="E58" i="1"/>
  <c r="E44" i="1"/>
  <c r="D58" i="1"/>
  <c r="E61" i="1"/>
  <c r="D26" i="1"/>
  <c r="D69" i="1"/>
  <c r="D73" i="1"/>
  <c r="D56" i="1"/>
  <c r="D53" i="1"/>
  <c r="E36" i="1"/>
  <c r="E41" i="1"/>
  <c r="E26" i="1"/>
  <c r="D36" i="1"/>
  <c r="D38" i="1"/>
  <c r="D75" i="1"/>
  <c r="E53" i="1"/>
  <c r="E38" i="1"/>
  <c r="E56" i="1"/>
  <c r="D74" i="1"/>
  <c r="E14" i="1"/>
  <c r="E75" i="1" s="1"/>
  <c r="D17" i="1"/>
  <c r="C85" i="1"/>
  <c r="D86" i="1"/>
  <c r="E74" i="1" l="1"/>
  <c r="C78" i="1" s="1"/>
  <c r="C80" i="1" s="1"/>
  <c r="E17" i="1"/>
  <c r="A4" i="1"/>
  <c r="A4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<sst xmlns="http://schemas.openxmlformats.org/spreadsheetml/2006/main" count="262" uniqueCount="129">
  <si>
    <t>Nr. 
crt.</t>
  </si>
  <si>
    <t>Denumirea capitolelor şi a subcapitolelor
de cheltuieli</t>
  </si>
  <si>
    <t>LEI</t>
  </si>
  <si>
    <t>1.1</t>
  </si>
  <si>
    <t>1.2</t>
  </si>
  <si>
    <t>1.3</t>
  </si>
  <si>
    <t>3.1</t>
  </si>
  <si>
    <t>3.2</t>
  </si>
  <si>
    <t>3.3</t>
  </si>
  <si>
    <t>3.4</t>
  </si>
  <si>
    <t>3.5</t>
  </si>
  <si>
    <t xml:space="preserve">Consultanţă </t>
  </si>
  <si>
    <t>3.6</t>
  </si>
  <si>
    <t>Asistenţă tehnică</t>
  </si>
  <si>
    <t>4.1</t>
  </si>
  <si>
    <t>4.2</t>
  </si>
  <si>
    <t>4.3</t>
  </si>
  <si>
    <t>4.4</t>
  </si>
  <si>
    <t>4.5</t>
  </si>
  <si>
    <t>Capitolul 5
Alte cheltuieli</t>
  </si>
  <si>
    <t>5.1</t>
  </si>
  <si>
    <t>5.2</t>
  </si>
  <si>
    <t>5.3</t>
  </si>
  <si>
    <t>6.1</t>
  </si>
  <si>
    <t>6.2</t>
  </si>
  <si>
    <t>Beneficiar:</t>
  </si>
  <si>
    <t>4.6</t>
  </si>
  <si>
    <t>Active necorporale</t>
  </si>
  <si>
    <t>Valoare ( inclusiv T.V.A. )</t>
  </si>
  <si>
    <t>buget local</t>
  </si>
  <si>
    <t>buget de stat</t>
  </si>
  <si>
    <t>Cheltuieli diverse şi neprevăzute</t>
  </si>
  <si>
    <t>TOTAL GENERAL</t>
  </si>
  <si>
    <t>Proiectant:</t>
  </si>
  <si>
    <t>5.1.1</t>
  </si>
  <si>
    <t xml:space="preserve">TOTAL CAPITOL 4      </t>
  </si>
  <si>
    <t xml:space="preserve">TOTAL CAPITOL 3     </t>
  </si>
  <si>
    <t xml:space="preserve">TOTAL CAPITOL 5      </t>
  </si>
  <si>
    <t xml:space="preserve">TOTAL CAPITOL 6      </t>
  </si>
  <si>
    <t xml:space="preserve">TOTAL CAPITOL 1     </t>
  </si>
  <si>
    <t xml:space="preserve">TOTAL CAPITOL 2     </t>
  </si>
  <si>
    <t>Capitolul 1
Cheltuieli pentru obţinerea şi amenajarea terenului</t>
  </si>
  <si>
    <t>Amenajări pentru protecţia mediului și aducerea la starea inițială</t>
  </si>
  <si>
    <t>Capitolul 2
Cheltuieli pentru asigurarea utilităţilor necesare obiectivului</t>
  </si>
  <si>
    <t>Capitolul 3
Cheltuieli pentru proiectare şi asistenţă tehnică</t>
  </si>
  <si>
    <t>Organizarea procedurilor de achiziţie</t>
  </si>
  <si>
    <t>Capitolul 4
Cheltuieli pentru investiţia de bază</t>
  </si>
  <si>
    <t>Dotări</t>
  </si>
  <si>
    <t>5.1.2</t>
  </si>
  <si>
    <t>Comisioane, taxe, cote, costul creditului</t>
  </si>
  <si>
    <t>Probe tehnologice și teste</t>
  </si>
  <si>
    <t>Defalcarea pe surse de finanțare</t>
  </si>
  <si>
    <t>1.4</t>
  </si>
  <si>
    <t>Cheltuieli pentru relocarea/protecția utilităților</t>
  </si>
  <si>
    <t>Cheltuieli pentru asigurarea utilităţilor necesare obiectivului</t>
  </si>
  <si>
    <t>Studii</t>
  </si>
  <si>
    <t>Documentații-suport și cheltuieli pentru obținerea de avize, acorduri și autorizații</t>
  </si>
  <si>
    <t xml:space="preserve">Expertizare tehnică </t>
  </si>
  <si>
    <t>Certificarea performanței energetice și auditul energetic al clădirilor</t>
  </si>
  <si>
    <t xml:space="preserve">Proiectare </t>
  </si>
  <si>
    <t>3.5.1</t>
  </si>
  <si>
    <t xml:space="preserve">Temă de proiectare </t>
  </si>
  <si>
    <t>3.5.2</t>
  </si>
  <si>
    <t>Studiu de prefezabilitate</t>
  </si>
  <si>
    <t>3.5.3</t>
  </si>
  <si>
    <t>Studiu de fezabilitate/documentație de avizare a lucrărilor de intervenții și deviz general</t>
  </si>
  <si>
    <t>3.5.4</t>
  </si>
  <si>
    <t>Documentațiile tehnice necesare în vederea obținerii avizelor/acordurilor/autorizațiilor</t>
  </si>
  <si>
    <t>3.5.5</t>
  </si>
  <si>
    <t>3.5.6</t>
  </si>
  <si>
    <t>Proiect tehnic și detalii de execuție</t>
  </si>
  <si>
    <t>3.7</t>
  </si>
  <si>
    <t>3.8</t>
  </si>
  <si>
    <t>Montaj utilaje, echipamente tehnologice și funcționale</t>
  </si>
  <si>
    <t>Utilaje, echipamente tehnologice şi funcţionale care necesită montaj</t>
  </si>
  <si>
    <t>Utilaje, echipamente tehnologice și funcționale care nu necesită montaj și echipamente de transport</t>
  </si>
  <si>
    <t>Lucrări de construcţii și instalații aferente organizării de șantier</t>
  </si>
  <si>
    <t>Cheltuieli conexe organizării șantierului</t>
  </si>
  <si>
    <t>5.2.1</t>
  </si>
  <si>
    <t>Comisioanele și dobânzile aferente creditului băncii finanțatoare</t>
  </si>
  <si>
    <t>5.2.2</t>
  </si>
  <si>
    <t>Cota aferentă ISC pentru controlul calității lucrărilor de construcții</t>
  </si>
  <si>
    <t>5.2.3</t>
  </si>
  <si>
    <t>Cota aferentă ISC pentru controlul statului în amenajarea teritoriului, urbanism și pentru autorizarea lucrărilor de construcții</t>
  </si>
  <si>
    <t>5.2.4</t>
  </si>
  <si>
    <t>Cota aferentă Casei Sociale a Constructorilor - CSC</t>
  </si>
  <si>
    <t>5.2.5</t>
  </si>
  <si>
    <t>Taxe pentru acorduri, avize conforme și autorizația de construire/desființare</t>
  </si>
  <si>
    <t>5.4</t>
  </si>
  <si>
    <t>Cheltuieli pentru informare și publicitate</t>
  </si>
  <si>
    <t xml:space="preserve">Organizare de şantier </t>
  </si>
  <si>
    <t>Capitolul 6
Cheltuieli pentru probe tehnologice și teste</t>
  </si>
  <si>
    <t>Pregătirea personalului de exploatare</t>
  </si>
  <si>
    <t>Din care C + M (1.2+1.3+1.4+2+4.1+4.2+5.1.1)</t>
  </si>
  <si>
    <t>Amenajarea terenului</t>
  </si>
  <si>
    <t>Obţinerea terenului</t>
  </si>
  <si>
    <t>Valoare 
(fără T.V.A. )</t>
  </si>
  <si>
    <t>TVA</t>
  </si>
  <si>
    <t>Valoare cu TVA</t>
  </si>
  <si>
    <t>TOTAL GENERAL (cu TVA) din care:</t>
  </si>
  <si>
    <t>Defalcarea pe standard de cost</t>
  </si>
  <si>
    <t>nu</t>
  </si>
  <si>
    <t>Construcţii şi instalaţii</t>
  </si>
  <si>
    <t>Pentru care exista standard de cost</t>
  </si>
  <si>
    <t>Pentru care nu exista standard de cost</t>
  </si>
  <si>
    <t>Verificarea tehnică de calitate a D.T.A.C., proiectului tehnic și a detaliilor de execuție</t>
  </si>
  <si>
    <t>da</t>
  </si>
  <si>
    <t>Data</t>
  </si>
  <si>
    <t>Curs Euro</t>
  </si>
  <si>
    <t>Cu standard de cost</t>
  </si>
  <si>
    <t>Fara standard de cost</t>
  </si>
  <si>
    <t>Valoare CAP. 4</t>
  </si>
  <si>
    <t>Valoare investitie</t>
  </si>
  <si>
    <t>C+M</t>
  </si>
  <si>
    <t>Cost unitar aferent investiției (EURO)</t>
  </si>
  <si>
    <t>Preturi fără TVA</t>
  </si>
  <si>
    <t xml:space="preserve">Cost unitar aferent investiției </t>
  </si>
  <si>
    <t>Anexa nr. 2.1</t>
  </si>
  <si>
    <t>Nu se imprima col. F, G, H</t>
  </si>
  <si>
    <t>ATENȚIE!</t>
  </si>
  <si>
    <t>Valoare de referință pentru determinarea încadrării în standardul de cost (locuitori beneficiari/ locuitori echivalenți beneficiari/ km)</t>
  </si>
  <si>
    <t xml:space="preserve">
</t>
  </si>
  <si>
    <t>Comuna Sotrile</t>
  </si>
  <si>
    <t>DEVIZ  GENERAL 
al obiectivului de investiţie : "EXTINDERE RETEA DISTRIBUTIE APA IN PLAIUL CORNULUI, SECIURI - COMUNA SOTRILE"</t>
  </si>
  <si>
    <t>ANEXA 2</t>
  </si>
  <si>
    <t>la Hotararea consiliului local nr 53</t>
  </si>
  <si>
    <t>din 30 octombrie 2023</t>
  </si>
  <si>
    <t>Președinte de ședință,</t>
  </si>
  <si>
    <t>Vasile Stănică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</si>
</sst>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m/yyyy"/>
    <numFmt numFmtId="165" formatCode="#,##0.0000"/>
    <numFmt numFmtId="166" formatCode="0.0000"/>
    <numFmt numFmtId="167" formatCode="#,##0.000"/>
  </numFmts>
  <fonts count="20" x14ac:knownFonts="1">
    <font>
      <sz val="10"/>
      <name val="Arial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10"/>
      <name val="Times New Roman"/>
      <family val="1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3" fontId="4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5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" fillId="2" borderId="0" xfId="0" applyFont="1" applyFill="1"/>
    <xf numFmtId="0" fontId="7" fillId="0" borderId="0" xfId="0" applyFont="1"/>
    <xf numFmtId="0" fontId="8" fillId="0" borderId="1" xfId="0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165" fontId="5" fillId="0" borderId="0" xfId="0" applyNumberFormat="1" applyFont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49" fontId="8" fillId="0" borderId="4" xfId="0" applyNumberFormat="1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49" fontId="6" fillId="0" borderId="4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49" fontId="3" fillId="0" borderId="4" xfId="0" applyNumberFormat="1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6" fillId="0" borderId="8" xfId="0" applyNumberFormat="1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vertical="center" wrapText="1"/>
      <protection hidden="1"/>
    </xf>
    <xf numFmtId="0" fontId="9" fillId="0" borderId="5" xfId="0" applyFont="1" applyBorder="1" applyAlignment="1" applyProtection="1">
      <alignment vertical="center"/>
      <protection hidden="1"/>
    </xf>
    <xf numFmtId="0" fontId="10" fillId="0" borderId="6" xfId="0" applyFont="1" applyBorder="1" applyAlignment="1" applyProtection="1">
      <alignment horizontal="right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horizontal="right" vertical="center"/>
      <protection hidden="1"/>
    </xf>
    <xf numFmtId="49" fontId="11" fillId="0" borderId="4" xfId="0" applyNumberFormat="1" applyFont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vertical="center"/>
      <protection hidden="1"/>
    </xf>
    <xf numFmtId="0" fontId="11" fillId="0" borderId="1" xfId="0" applyFont="1" applyBorder="1" applyAlignment="1" applyProtection="1">
      <alignment vertical="center" wrapText="1"/>
      <protection hidden="1"/>
    </xf>
    <xf numFmtId="0" fontId="6" fillId="0" borderId="10" xfId="0" applyFont="1" applyBorder="1" applyAlignment="1" applyProtection="1">
      <alignment vertical="center" wrapText="1"/>
      <protection hidden="1"/>
    </xf>
    <xf numFmtId="4" fontId="3" fillId="3" borderId="10" xfId="0" applyNumberFormat="1" applyFont="1" applyFill="1" applyBorder="1" applyAlignment="1" applyProtection="1">
      <alignment horizontal="right" vertical="center"/>
      <protection hidden="1"/>
    </xf>
    <xf numFmtId="4" fontId="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 applyProtection="1">
      <alignment horizontal="right" vertical="center"/>
      <protection hidden="1"/>
    </xf>
    <xf numFmtId="4" fontId="10" fillId="4" borderId="6" xfId="0" applyNumberFormat="1" applyFont="1" applyFill="1" applyBorder="1" applyAlignment="1" applyProtection="1">
      <alignment horizontal="right" vertical="center"/>
      <protection hidden="1"/>
    </xf>
    <xf numFmtId="4" fontId="1" fillId="4" borderId="10" xfId="0" applyNumberFormat="1" applyFont="1" applyFill="1" applyBorder="1" applyAlignment="1" applyProtection="1">
      <alignment vertical="center"/>
      <protection hidden="1"/>
    </xf>
    <xf numFmtId="4" fontId="1" fillId="4" borderId="11" xfId="0" applyNumberFormat="1" applyFont="1" applyFill="1" applyBorder="1" applyAlignment="1" applyProtection="1">
      <alignment vertical="center"/>
      <protection hidden="1"/>
    </xf>
    <xf numFmtId="4" fontId="1" fillId="4" borderId="1" xfId="0" applyNumberFormat="1" applyFont="1" applyFill="1" applyBorder="1" applyAlignment="1" applyProtection="1">
      <alignment vertical="center"/>
      <protection hidden="1"/>
    </xf>
    <xf numFmtId="4" fontId="1" fillId="4" borderId="3" xfId="0" applyNumberFormat="1" applyFont="1" applyFill="1" applyBorder="1" applyAlignment="1" applyProtection="1">
      <alignment vertical="center"/>
      <protection hidden="1"/>
    </xf>
    <xf numFmtId="4" fontId="10" fillId="4" borderId="7" xfId="0" applyNumberFormat="1" applyFont="1" applyFill="1" applyBorder="1" applyAlignment="1" applyProtection="1">
      <alignment horizontal="right" vertical="center"/>
      <protection hidden="1"/>
    </xf>
    <xf numFmtId="4" fontId="11" fillId="3" borderId="1" xfId="0" applyNumberFormat="1" applyFont="1" applyFill="1" applyBorder="1" applyAlignment="1" applyProtection="1">
      <alignment horizontal="right" vertical="center"/>
      <protection hidden="1"/>
    </xf>
    <xf numFmtId="4" fontId="3" fillId="3" borderId="2" xfId="0" applyNumberFormat="1" applyFont="1" applyFill="1" applyBorder="1" applyAlignment="1" applyProtection="1">
      <alignment horizontal="right" vertical="center"/>
      <protection hidden="1"/>
    </xf>
    <xf numFmtId="4" fontId="3" fillId="5" borderId="1" xfId="0" applyNumberFormat="1" applyFont="1" applyFill="1" applyBorder="1" applyAlignment="1" applyProtection="1">
      <alignment horizontal="right" vertical="center"/>
      <protection hidden="1"/>
    </xf>
    <xf numFmtId="4" fontId="3" fillId="5" borderId="3" xfId="0" applyNumberFormat="1" applyFont="1" applyFill="1" applyBorder="1" applyAlignment="1" applyProtection="1">
      <alignment horizontal="right" vertical="center"/>
      <protection hidden="1"/>
    </xf>
    <xf numFmtId="4" fontId="3" fillId="5" borderId="10" xfId="0" applyNumberFormat="1" applyFont="1" applyFill="1" applyBorder="1" applyAlignment="1" applyProtection="1">
      <alignment horizontal="right" vertical="center"/>
      <protection hidden="1"/>
    </xf>
    <xf numFmtId="4" fontId="3" fillId="5" borderId="11" xfId="0" applyNumberFormat="1" applyFont="1" applyFill="1" applyBorder="1" applyAlignment="1" applyProtection="1">
      <alignment horizontal="right" vertical="center"/>
      <protection hidden="1"/>
    </xf>
    <xf numFmtId="4" fontId="11" fillId="5" borderId="1" xfId="0" applyNumberFormat="1" applyFont="1" applyFill="1" applyBorder="1" applyAlignment="1" applyProtection="1">
      <alignment horizontal="right" vertical="center"/>
      <protection hidden="1"/>
    </xf>
    <xf numFmtId="4" fontId="11" fillId="5" borderId="3" xfId="0" applyNumberFormat="1" applyFont="1" applyFill="1" applyBorder="1" applyAlignment="1" applyProtection="1">
      <alignment horizontal="right" vertical="center"/>
      <protection hidden="1"/>
    </xf>
    <xf numFmtId="4" fontId="12" fillId="5" borderId="1" xfId="0" applyNumberFormat="1" applyFont="1" applyFill="1" applyBorder="1" applyAlignment="1" applyProtection="1">
      <alignment vertical="center"/>
      <protection hidden="1"/>
    </xf>
    <xf numFmtId="4" fontId="12" fillId="5" borderId="3" xfId="0" applyNumberFormat="1" applyFont="1" applyFill="1" applyBorder="1" applyAlignment="1" applyProtection="1">
      <alignment vertical="center"/>
      <protection hidden="1"/>
    </xf>
    <xf numFmtId="4" fontId="3" fillId="5" borderId="2" xfId="0" applyNumberFormat="1" applyFont="1" applyFill="1" applyBorder="1" applyAlignment="1" applyProtection="1">
      <alignment horizontal="right" vertical="center"/>
      <protection hidden="1"/>
    </xf>
    <xf numFmtId="4" fontId="3" fillId="5" borderId="12" xfId="0" applyNumberFormat="1" applyFont="1" applyFill="1" applyBorder="1" applyAlignment="1" applyProtection="1">
      <alignment horizontal="right" vertical="center"/>
      <protection hidden="1"/>
    </xf>
    <xf numFmtId="4" fontId="10" fillId="5" borderId="6" xfId="0" applyNumberFormat="1" applyFont="1" applyFill="1" applyBorder="1" applyAlignment="1" applyProtection="1">
      <alignment horizontal="right" vertical="center"/>
      <protection hidden="1"/>
    </xf>
    <xf numFmtId="4" fontId="10" fillId="5" borderId="7" xfId="0" applyNumberFormat="1" applyFont="1" applyFill="1" applyBorder="1" applyAlignment="1" applyProtection="1">
      <alignment horizontal="right" vertical="center"/>
      <protection hidden="1"/>
    </xf>
    <xf numFmtId="0" fontId="4" fillId="6" borderId="13" xfId="0" applyFont="1" applyFill="1" applyBorder="1" applyAlignment="1" applyProtection="1">
      <alignment vertical="center"/>
      <protection hidden="1"/>
    </xf>
    <xf numFmtId="0" fontId="13" fillId="6" borderId="14" xfId="0" applyFont="1" applyFill="1" applyBorder="1" applyAlignment="1" applyProtection="1">
      <alignment horizontal="left" vertical="center"/>
      <protection hidden="1"/>
    </xf>
    <xf numFmtId="0" fontId="10" fillId="6" borderId="15" xfId="0" applyFont="1" applyFill="1" applyBorder="1" applyAlignment="1" applyProtection="1">
      <alignment vertical="center"/>
      <protection hidden="1"/>
    </xf>
    <xf numFmtId="0" fontId="10" fillId="6" borderId="16" xfId="0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4" fontId="13" fillId="4" borderId="1" xfId="0" applyNumberFormat="1" applyFont="1" applyFill="1" applyBorder="1" applyAlignment="1" applyProtection="1">
      <alignment horizontal="right" vertical="center"/>
      <protection hidden="1"/>
    </xf>
    <xf numFmtId="0" fontId="15" fillId="0" borderId="1" xfId="0" applyFont="1" applyBorder="1" applyAlignment="1">
      <alignment horizontal="right" vertical="center" wrapText="1"/>
    </xf>
    <xf numFmtId="4" fontId="16" fillId="4" borderId="1" xfId="0" applyNumberFormat="1" applyFont="1" applyFill="1" applyBorder="1" applyAlignment="1" applyProtection="1">
      <alignment horizontal="right" vertical="center"/>
      <protection hidden="1"/>
    </xf>
    <xf numFmtId="0" fontId="15" fillId="0" borderId="0" xfId="0" applyFont="1" applyAlignment="1">
      <alignment vertical="center"/>
    </xf>
    <xf numFmtId="3" fontId="13" fillId="0" borderId="0" xfId="0" applyNumberFormat="1" applyFont="1" applyAlignment="1" applyProtection="1">
      <alignment horizontal="right" vertical="center"/>
      <protection hidden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 applyProtection="1">
      <alignment vertical="center" wrapTex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>
      <alignment horizontal="center" vertical="center"/>
    </xf>
    <xf numFmtId="4" fontId="13" fillId="4" borderId="14" xfId="0" applyNumberFormat="1" applyFont="1" applyFill="1" applyBorder="1" applyAlignment="1" applyProtection="1">
      <alignment horizontal="right" vertical="center"/>
      <protection hidden="1"/>
    </xf>
    <xf numFmtId="4" fontId="13" fillId="4" borderId="17" xfId="0" applyNumberFormat="1" applyFont="1" applyFill="1" applyBorder="1" applyAlignment="1" applyProtection="1">
      <alignment horizontal="right" vertical="center"/>
      <protection hidden="1"/>
    </xf>
    <xf numFmtId="14" fontId="15" fillId="3" borderId="1" xfId="0" applyNumberFormat="1" applyFont="1" applyFill="1" applyBorder="1" applyAlignment="1">
      <alignment vertical="center"/>
    </xf>
    <xf numFmtId="166" fontId="17" fillId="3" borderId="1" xfId="0" applyNumberFormat="1" applyFont="1" applyFill="1" applyBorder="1" applyAlignment="1" applyProtection="1">
      <alignment vertical="center" wrapText="1"/>
      <protection hidden="1"/>
    </xf>
    <xf numFmtId="0" fontId="15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7" fillId="0" borderId="5" xfId="0" applyFont="1" applyBorder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vertical="center"/>
    </xf>
    <xf numFmtId="0" fontId="18" fillId="0" borderId="0" xfId="0" applyFont="1" applyAlignment="1" applyProtection="1">
      <alignment horizontal="center" vertical="center" wrapText="1"/>
      <protection hidden="1"/>
    </xf>
    <xf numFmtId="0" fontId="19" fillId="0" borderId="0" xfId="0" applyFont="1" applyAlignment="1">
      <alignment horizontal="center"/>
    </xf>
    <xf numFmtId="0" fontId="19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/>
    </xf>
    <xf numFmtId="165" fontId="19" fillId="0" borderId="0" xfId="0" applyNumberFormat="1" applyFont="1" applyAlignment="1" applyProtection="1">
      <alignment horizontal="center" vertical="center" wrapText="1"/>
      <protection hidden="1"/>
    </xf>
    <xf numFmtId="0" fontId="19" fillId="0" borderId="0" xfId="0" applyFont="1" applyAlignment="1">
      <alignment horizontal="center" vertical="center" wrapText="1"/>
    </xf>
    <xf numFmtId="4" fontId="19" fillId="0" borderId="0" xfId="0" applyNumberFormat="1" applyFont="1"/>
    <xf numFmtId="3" fontId="19" fillId="0" borderId="0" xfId="0" applyNumberFormat="1" applyFont="1" applyAlignment="1" applyProtection="1">
      <alignment horizontal="center" vertical="center"/>
      <protection hidden="1"/>
    </xf>
    <xf numFmtId="167" fontId="11" fillId="3" borderId="1" xfId="0" applyNumberFormat="1" applyFont="1" applyFill="1" applyBorder="1" applyAlignment="1" applyProtection="1">
      <alignment horizontal="right" vertical="center"/>
      <protection hidden="1"/>
    </xf>
    <xf numFmtId="4" fontId="14" fillId="4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right" vertical="center"/>
    </xf>
    <xf numFmtId="0" fontId="10" fillId="6" borderId="18" xfId="0" applyFont="1" applyFill="1" applyBorder="1" applyAlignment="1" applyProtection="1">
      <alignment horizontal="center" vertical="center" wrapText="1"/>
      <protection hidden="1"/>
    </xf>
    <xf numFmtId="0" fontId="10" fillId="6" borderId="19" xfId="0" applyFont="1" applyFill="1" applyBorder="1" applyAlignment="1" applyProtection="1">
      <alignment horizontal="center" vertical="center" wrapText="1"/>
      <protection hidden="1"/>
    </xf>
    <xf numFmtId="0" fontId="10" fillId="6" borderId="20" xfId="0" applyFont="1" applyFill="1" applyBorder="1" applyAlignment="1" applyProtection="1">
      <alignment horizontal="center" vertical="center" wrapText="1"/>
      <protection hidden="1"/>
    </xf>
    <xf numFmtId="0" fontId="10" fillId="6" borderId="21" xfId="0" applyFont="1" applyFill="1" applyBorder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10" fillId="6" borderId="22" xfId="0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95"/>
  <sheetViews>
    <sheetView tabSelected="1" topLeftCell="A82" zoomScaleNormal="100" workbookViewId="0">
      <selection activeCell="F96" sqref="F96"/>
    </sheetView>
  </sheetViews>
  <sheetFormatPr defaultColWidth="9.1796875" defaultRowHeight="13" x14ac:dyDescent="0.3"/>
  <cols>
    <col min="1" max="1" width="6.81640625" style="4" customWidth="1"/>
    <col min="2" max="2" width="46.453125" style="4" customWidth="1"/>
    <col min="3" max="3" width="15.54296875" style="4" bestFit="1" customWidth="1"/>
    <col min="4" max="4" width="16.81640625" style="4" customWidth="1"/>
    <col min="5" max="5" width="15.54296875" style="4" customWidth="1"/>
    <col min="6" max="6" width="14.7265625" style="28" customWidth="1"/>
    <col min="7" max="7" width="14.26953125" style="27" customWidth="1"/>
    <col min="8" max="8" width="11.7265625" style="1" customWidth="1"/>
    <col min="9" max="9" width="9.1796875" style="1"/>
    <col min="10" max="10" width="9.81640625" style="1" bestFit="1" customWidth="1"/>
    <col min="11" max="16384" width="9.1796875" style="1"/>
  </cols>
  <sheetData>
    <row r="1" spans="1:36" x14ac:dyDescent="0.3">
      <c r="D1" s="4" t="s">
        <v>124</v>
      </c>
    </row>
    <row r="2" spans="1:36" x14ac:dyDescent="0.3">
      <c r="D2" s="4" t="s">
        <v>125</v>
      </c>
    </row>
    <row r="3" spans="1:36" x14ac:dyDescent="0.3">
      <c r="D3" s="4" t="s">
        <v>126</v>
      </c>
    </row>
    <row r="4" spans="1:36" x14ac:dyDescent="0.3">
      <c r="A4" s="4" cm="1">
        <f t="array" aca="1" ref="A4" ca="1">A4:E91</f>
        <v>0</v>
      </c>
      <c r="E4" s="96" t="s">
        <v>117</v>
      </c>
    </row>
    <row r="5" spans="1:36" x14ac:dyDescent="0.3">
      <c r="E5" s="96"/>
    </row>
    <row r="6" spans="1:36" ht="36" customHeight="1" x14ac:dyDescent="0.3">
      <c r="A6" s="111" t="s">
        <v>123</v>
      </c>
      <c r="B6" s="112"/>
      <c r="C6" s="112"/>
      <c r="D6" s="112"/>
      <c r="E6" s="112"/>
      <c r="F6" s="100"/>
      <c r="G6" s="101"/>
      <c r="H6" s="102"/>
      <c r="I6" s="103" t="s">
        <v>119</v>
      </c>
      <c r="J6" s="102"/>
      <c r="K6" s="102"/>
      <c r="L6" s="102"/>
      <c r="M6" s="102"/>
    </row>
    <row r="7" spans="1:36" ht="15" customHeight="1" thickBot="1" x14ac:dyDescent="0.35">
      <c r="A7" s="6"/>
      <c r="B7" s="6"/>
      <c r="C7" s="6"/>
      <c r="D7" s="5"/>
      <c r="E7" s="21"/>
      <c r="F7" s="105"/>
      <c r="G7" s="101"/>
      <c r="H7" s="102"/>
      <c r="I7" s="102" t="s">
        <v>118</v>
      </c>
      <c r="J7" s="102"/>
      <c r="K7" s="102"/>
      <c r="L7" s="102"/>
      <c r="M7" s="102"/>
    </row>
    <row r="8" spans="1:36" ht="25.5" customHeight="1" x14ac:dyDescent="0.3">
      <c r="A8" s="113" t="s">
        <v>0</v>
      </c>
      <c r="B8" s="115" t="s">
        <v>1</v>
      </c>
      <c r="C8" s="115" t="s">
        <v>28</v>
      </c>
      <c r="D8" s="115"/>
      <c r="E8" s="117"/>
      <c r="F8" s="126" t="s">
        <v>51</v>
      </c>
      <c r="G8" s="125" t="s">
        <v>100</v>
      </c>
      <c r="H8" s="125" t="s">
        <v>113</v>
      </c>
      <c r="I8" s="102"/>
      <c r="J8" s="102"/>
      <c r="K8" s="102"/>
      <c r="L8" s="102"/>
      <c r="M8" s="102"/>
    </row>
    <row r="9" spans="1:36" ht="26" x14ac:dyDescent="0.3">
      <c r="A9" s="114"/>
      <c r="B9" s="116"/>
      <c r="C9" s="20" t="s">
        <v>96</v>
      </c>
      <c r="D9" s="9" t="s">
        <v>97</v>
      </c>
      <c r="E9" s="22" t="s">
        <v>98</v>
      </c>
      <c r="F9" s="126"/>
      <c r="G9" s="125"/>
      <c r="H9" s="125"/>
      <c r="I9" s="102"/>
      <c r="J9" s="102"/>
      <c r="K9" s="102"/>
      <c r="L9" s="102"/>
      <c r="M9" s="102"/>
    </row>
    <row r="10" spans="1:36" x14ac:dyDescent="0.3">
      <c r="A10" s="114"/>
      <c r="B10" s="116"/>
      <c r="C10" s="8" t="s">
        <v>2</v>
      </c>
      <c r="D10" s="10" t="s">
        <v>2</v>
      </c>
      <c r="E10" s="23" t="s">
        <v>2</v>
      </c>
      <c r="F10" s="126"/>
      <c r="G10" s="125"/>
      <c r="H10" s="125"/>
      <c r="I10" s="102"/>
      <c r="J10" s="102"/>
      <c r="K10" s="102"/>
      <c r="L10" s="102"/>
      <c r="M10" s="102"/>
    </row>
    <row r="11" spans="1:36" ht="15" customHeight="1" thickBot="1" x14ac:dyDescent="0.35">
      <c r="A11" s="29">
        <v>1</v>
      </c>
      <c r="B11" s="30">
        <v>2</v>
      </c>
      <c r="C11" s="30">
        <v>3</v>
      </c>
      <c r="D11" s="31">
        <v>4</v>
      </c>
      <c r="E11" s="32">
        <v>5</v>
      </c>
      <c r="F11" s="104"/>
      <c r="G11" s="101"/>
      <c r="H11" s="102"/>
      <c r="I11" s="102"/>
      <c r="J11" s="102"/>
      <c r="K11" s="102"/>
      <c r="L11" s="102"/>
      <c r="M11" s="102"/>
    </row>
    <row r="12" spans="1:36" ht="28.5" customHeight="1" thickBot="1" x14ac:dyDescent="0.35">
      <c r="A12" s="119" t="s">
        <v>41</v>
      </c>
      <c r="B12" s="120"/>
      <c r="C12" s="120"/>
      <c r="D12" s="120"/>
      <c r="E12" s="121"/>
      <c r="F12" s="104"/>
      <c r="G12" s="101"/>
      <c r="H12" s="102"/>
      <c r="I12" s="102"/>
      <c r="J12" s="102"/>
      <c r="K12" s="102"/>
      <c r="L12" s="102"/>
      <c r="M12" s="102"/>
    </row>
    <row r="13" spans="1:36" x14ac:dyDescent="0.3">
      <c r="A13" s="44" t="s">
        <v>3</v>
      </c>
      <c r="B13" s="45" t="s">
        <v>95</v>
      </c>
      <c r="C13" s="51">
        <v>0</v>
      </c>
      <c r="D13" s="55">
        <f>ROUND(0.19*C13,2)</f>
        <v>0</v>
      </c>
      <c r="E13" s="56">
        <f>D13+C13</f>
        <v>0</v>
      </c>
      <c r="F13" s="106" t="s">
        <v>29</v>
      </c>
      <c r="G13" s="101" t="s">
        <v>101</v>
      </c>
      <c r="H13" s="101" t="s">
        <v>101</v>
      </c>
      <c r="I13" s="102"/>
      <c r="J13" s="102"/>
      <c r="K13" s="102"/>
      <c r="L13" s="102"/>
      <c r="M13" s="102"/>
    </row>
    <row r="14" spans="1:36" s="16" customFormat="1" x14ac:dyDescent="0.3">
      <c r="A14" s="25" t="s">
        <v>4</v>
      </c>
      <c r="B14" s="33" t="s">
        <v>94</v>
      </c>
      <c r="C14" s="52">
        <v>0</v>
      </c>
      <c r="D14" s="57">
        <f>ROUND(0.19*C14,2)</f>
        <v>0</v>
      </c>
      <c r="E14" s="58">
        <f>D14+C14</f>
        <v>0</v>
      </c>
      <c r="F14" s="106" t="s">
        <v>30</v>
      </c>
      <c r="G14" s="101" t="s">
        <v>106</v>
      </c>
      <c r="H14" s="101" t="s">
        <v>106</v>
      </c>
      <c r="I14" s="102"/>
      <c r="J14" s="102"/>
      <c r="K14" s="102"/>
      <c r="L14" s="102"/>
      <c r="M14" s="10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26" x14ac:dyDescent="0.3">
      <c r="A15" s="25" t="s">
        <v>5</v>
      </c>
      <c r="B15" s="19" t="s">
        <v>42</v>
      </c>
      <c r="C15" s="53">
        <v>0</v>
      </c>
      <c r="D15" s="57">
        <f>ROUND(0.19*C15,2)</f>
        <v>0</v>
      </c>
      <c r="E15" s="58">
        <f>D15+C15</f>
        <v>0</v>
      </c>
      <c r="F15" s="106" t="s">
        <v>29</v>
      </c>
      <c r="G15" s="101" t="s">
        <v>106</v>
      </c>
      <c r="H15" s="101" t="s">
        <v>106</v>
      </c>
      <c r="I15" s="102"/>
      <c r="J15" s="102"/>
      <c r="K15" s="102"/>
      <c r="L15" s="102"/>
      <c r="M15" s="102"/>
    </row>
    <row r="16" spans="1:36" s="16" customFormat="1" ht="19.899999999999999" customHeight="1" x14ac:dyDescent="0.3">
      <c r="A16" s="26" t="s">
        <v>52</v>
      </c>
      <c r="B16" s="19" t="s">
        <v>53</v>
      </c>
      <c r="C16" s="52">
        <v>0</v>
      </c>
      <c r="D16" s="57">
        <f>ROUND(0.19*C16,2)</f>
        <v>0</v>
      </c>
      <c r="E16" s="58">
        <f>D16+C16</f>
        <v>0</v>
      </c>
      <c r="F16" s="106" t="s">
        <v>30</v>
      </c>
      <c r="G16" s="101" t="s">
        <v>106</v>
      </c>
      <c r="H16" s="101" t="s">
        <v>106</v>
      </c>
      <c r="I16" s="102"/>
      <c r="J16" s="102"/>
      <c r="K16" s="102"/>
      <c r="L16" s="102"/>
      <c r="M16" s="10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13" ht="16.5" customHeight="1" thickBot="1" x14ac:dyDescent="0.35">
      <c r="A17" s="42"/>
      <c r="B17" s="43" t="s">
        <v>39</v>
      </c>
      <c r="C17" s="54">
        <f>SUMIFS(C13:C16,$F$13:$F$16,"&lt;&gt;")</f>
        <v>0</v>
      </c>
      <c r="D17" s="54">
        <f>SUMIFS(D13:D16,$F$13:$F$16,"&lt;&gt;0")</f>
        <v>0</v>
      </c>
      <c r="E17" s="54">
        <f>SUMIFS(E13:E16,$F$13:$F$16,"&lt;&gt;0")</f>
        <v>0</v>
      </c>
      <c r="F17" s="106"/>
      <c r="G17" s="101"/>
      <c r="H17" s="102"/>
      <c r="I17" s="102"/>
      <c r="J17" s="102"/>
      <c r="K17" s="102"/>
      <c r="L17" s="102"/>
      <c r="M17" s="102"/>
    </row>
    <row r="18" spans="1:13" ht="34.5" customHeight="1" x14ac:dyDescent="0.3">
      <c r="A18" s="119" t="s">
        <v>43</v>
      </c>
      <c r="B18" s="120"/>
      <c r="C18" s="120"/>
      <c r="D18" s="120"/>
      <c r="E18" s="121"/>
      <c r="F18" s="106"/>
      <c r="G18" s="101"/>
      <c r="H18" s="102"/>
      <c r="I18" s="102"/>
      <c r="J18" s="102"/>
      <c r="K18" s="102"/>
      <c r="L18" s="102"/>
      <c r="M18" s="102"/>
    </row>
    <row r="19" spans="1:13" ht="26" x14ac:dyDescent="0.3">
      <c r="A19" s="25">
        <v>2</v>
      </c>
      <c r="B19" s="19" t="s">
        <v>54</v>
      </c>
      <c r="C19" s="53">
        <v>0</v>
      </c>
      <c r="D19" s="57">
        <f>ROUND(0.19*C19,2)</f>
        <v>0</v>
      </c>
      <c r="E19" s="58">
        <f>D19+C19</f>
        <v>0</v>
      </c>
      <c r="F19" s="106" t="s">
        <v>30</v>
      </c>
      <c r="G19" s="104" t="s">
        <v>106</v>
      </c>
      <c r="H19" s="104" t="s">
        <v>106</v>
      </c>
      <c r="I19" s="102"/>
      <c r="J19" s="102"/>
      <c r="K19" s="102"/>
      <c r="L19" s="102"/>
      <c r="M19" s="102"/>
    </row>
    <row r="20" spans="1:13" ht="16.5" customHeight="1" thickBot="1" x14ac:dyDescent="0.35">
      <c r="A20" s="38"/>
      <c r="B20" s="46" t="s">
        <v>40</v>
      </c>
      <c r="C20" s="54">
        <f>SUMIFS(C19,$F$19,"&lt;&gt;")</f>
        <v>0</v>
      </c>
      <c r="D20" s="54">
        <f>SUMIFS(D19,$F$19,"&lt;&gt;0")</f>
        <v>0</v>
      </c>
      <c r="E20" s="59">
        <f>SUMIFS(E19,$F$19,"&lt;&gt;0")</f>
        <v>0</v>
      </c>
      <c r="F20" s="106"/>
      <c r="G20" s="101"/>
      <c r="H20" s="102"/>
      <c r="I20" s="102"/>
      <c r="J20" s="102"/>
      <c r="K20" s="102"/>
      <c r="L20" s="102"/>
      <c r="M20" s="102"/>
    </row>
    <row r="21" spans="1:13" ht="27.75" customHeight="1" thickBot="1" x14ac:dyDescent="0.35">
      <c r="A21" s="119" t="s">
        <v>44</v>
      </c>
      <c r="B21" s="120"/>
      <c r="C21" s="120"/>
      <c r="D21" s="120"/>
      <c r="E21" s="121"/>
      <c r="F21" s="106"/>
      <c r="G21" s="101"/>
      <c r="H21" s="102"/>
      <c r="I21" s="102"/>
      <c r="J21" s="102"/>
      <c r="K21" s="102"/>
      <c r="L21" s="102"/>
      <c r="M21" s="102"/>
    </row>
    <row r="22" spans="1:13" ht="13.5" thickBot="1" x14ac:dyDescent="0.35">
      <c r="A22" s="44" t="s">
        <v>6</v>
      </c>
      <c r="B22" s="50" t="s">
        <v>55</v>
      </c>
      <c r="C22" s="51">
        <v>7160.34</v>
      </c>
      <c r="D22" s="64">
        <f t="shared" ref="D22:D35" si="0">ROUND(0.19*C22,2)</f>
        <v>1360.46</v>
      </c>
      <c r="E22" s="65">
        <f t="shared" ref="E22:E35" si="1">D22+C22</f>
        <v>8520.7999999999993</v>
      </c>
      <c r="F22" s="106" t="s">
        <v>29</v>
      </c>
      <c r="G22" s="101" t="s">
        <v>106</v>
      </c>
      <c r="H22" s="101" t="s">
        <v>101</v>
      </c>
      <c r="I22" s="102"/>
      <c r="J22" s="102"/>
      <c r="K22" s="102"/>
      <c r="L22" s="102"/>
      <c r="M22" s="102"/>
    </row>
    <row r="23" spans="1:13" ht="26" x14ac:dyDescent="0.3">
      <c r="A23" s="25" t="s">
        <v>7</v>
      </c>
      <c r="B23" s="19" t="s">
        <v>56</v>
      </c>
      <c r="C23" s="53">
        <v>1790.08</v>
      </c>
      <c r="D23" s="64">
        <f t="shared" si="0"/>
        <v>340.12</v>
      </c>
      <c r="E23" s="63">
        <f t="shared" si="1"/>
        <v>2130.1999999999998</v>
      </c>
      <c r="F23" s="106" t="s">
        <v>29</v>
      </c>
      <c r="G23" s="101" t="s">
        <v>106</v>
      </c>
      <c r="H23" s="101" t="s">
        <v>101</v>
      </c>
      <c r="I23" s="102"/>
      <c r="J23" s="102"/>
      <c r="K23" s="102"/>
      <c r="L23" s="102"/>
      <c r="M23" s="102"/>
    </row>
    <row r="24" spans="1:13" x14ac:dyDescent="0.3">
      <c r="A24" s="26" t="s">
        <v>8</v>
      </c>
      <c r="B24" s="19" t="s">
        <v>57</v>
      </c>
      <c r="C24" s="53">
        <v>0</v>
      </c>
      <c r="D24" s="62">
        <f t="shared" si="0"/>
        <v>0</v>
      </c>
      <c r="E24" s="63">
        <f t="shared" si="1"/>
        <v>0</v>
      </c>
      <c r="F24" s="106" t="s">
        <v>29</v>
      </c>
      <c r="G24" s="101" t="s">
        <v>106</v>
      </c>
      <c r="H24" s="101" t="s">
        <v>101</v>
      </c>
      <c r="I24" s="102"/>
      <c r="J24" s="102"/>
      <c r="K24" s="102"/>
      <c r="L24" s="102"/>
      <c r="M24" s="102"/>
    </row>
    <row r="25" spans="1:13" ht="26" x14ac:dyDescent="0.3">
      <c r="A25" s="26" t="s">
        <v>9</v>
      </c>
      <c r="B25" s="19" t="s">
        <v>58</v>
      </c>
      <c r="C25" s="53">
        <v>0</v>
      </c>
      <c r="D25" s="62">
        <f t="shared" si="0"/>
        <v>0</v>
      </c>
      <c r="E25" s="63">
        <f t="shared" si="1"/>
        <v>0</v>
      </c>
      <c r="F25" s="106" t="s">
        <v>29</v>
      </c>
      <c r="G25" s="101" t="s">
        <v>106</v>
      </c>
      <c r="H25" s="101" t="s">
        <v>101</v>
      </c>
      <c r="I25" s="102"/>
      <c r="J25" s="107"/>
      <c r="K25" s="102"/>
      <c r="L25" s="102"/>
      <c r="M25" s="102"/>
    </row>
    <row r="26" spans="1:13" x14ac:dyDescent="0.3">
      <c r="A26" s="26" t="s">
        <v>10</v>
      </c>
      <c r="B26" s="34" t="s">
        <v>59</v>
      </c>
      <c r="C26" s="62">
        <f>SUM(C27:C32)</f>
        <v>355413.51199999999</v>
      </c>
      <c r="D26" s="62">
        <f>SUM(D27:D32)</f>
        <v>67528.56</v>
      </c>
      <c r="E26" s="63">
        <f>SUM(E27:E32)</f>
        <v>422942.07199999999</v>
      </c>
      <c r="F26" s="106"/>
      <c r="G26" s="101"/>
      <c r="H26" s="101"/>
      <c r="I26" s="102"/>
      <c r="J26" s="107"/>
      <c r="K26" s="102"/>
      <c r="L26" s="102"/>
      <c r="M26" s="102"/>
    </row>
    <row r="27" spans="1:13" x14ac:dyDescent="0.3">
      <c r="A27" s="47" t="s">
        <v>60</v>
      </c>
      <c r="B27" s="48" t="s">
        <v>61</v>
      </c>
      <c r="C27" s="60">
        <v>0</v>
      </c>
      <c r="D27" s="66">
        <f t="shared" si="0"/>
        <v>0</v>
      </c>
      <c r="E27" s="67">
        <f t="shared" si="1"/>
        <v>0</v>
      </c>
      <c r="F27" s="106" t="s">
        <v>29</v>
      </c>
      <c r="G27" s="101" t="s">
        <v>106</v>
      </c>
      <c r="H27" s="101" t="s">
        <v>101</v>
      </c>
      <c r="I27" s="102"/>
      <c r="J27" s="102"/>
      <c r="K27" s="102"/>
      <c r="L27" s="102"/>
      <c r="M27" s="102"/>
    </row>
    <row r="28" spans="1:13" x14ac:dyDescent="0.3">
      <c r="A28" s="47" t="s">
        <v>62</v>
      </c>
      <c r="B28" s="48" t="s">
        <v>63</v>
      </c>
      <c r="C28" s="60">
        <v>0</v>
      </c>
      <c r="D28" s="66">
        <f t="shared" si="0"/>
        <v>0</v>
      </c>
      <c r="E28" s="67">
        <f t="shared" si="1"/>
        <v>0</v>
      </c>
      <c r="F28" s="106" t="s">
        <v>29</v>
      </c>
      <c r="G28" s="101" t="s">
        <v>106</v>
      </c>
      <c r="H28" s="101" t="s">
        <v>101</v>
      </c>
      <c r="I28" s="102"/>
      <c r="J28" s="102"/>
      <c r="K28" s="102"/>
      <c r="L28" s="102"/>
      <c r="M28" s="102"/>
    </row>
    <row r="29" spans="1:13" ht="23" x14ac:dyDescent="0.3">
      <c r="A29" s="47" t="s">
        <v>64</v>
      </c>
      <c r="B29" s="49" t="s">
        <v>65</v>
      </c>
      <c r="C29" s="60">
        <v>69000</v>
      </c>
      <c r="D29" s="66">
        <f t="shared" si="0"/>
        <v>13110</v>
      </c>
      <c r="E29" s="67">
        <f t="shared" si="1"/>
        <v>82110</v>
      </c>
      <c r="F29" s="106" t="s">
        <v>29</v>
      </c>
      <c r="G29" s="101" t="s">
        <v>106</v>
      </c>
      <c r="H29" s="101" t="s">
        <v>101</v>
      </c>
      <c r="I29" s="102"/>
      <c r="J29" s="102"/>
      <c r="K29" s="102"/>
      <c r="L29" s="102"/>
      <c r="M29" s="102"/>
    </row>
    <row r="30" spans="1:13" ht="23" x14ac:dyDescent="0.3">
      <c r="A30" s="47" t="s">
        <v>66</v>
      </c>
      <c r="B30" s="49" t="s">
        <v>67</v>
      </c>
      <c r="C30" s="60">
        <v>107405.067</v>
      </c>
      <c r="D30" s="68">
        <f t="shared" si="0"/>
        <v>20406.96</v>
      </c>
      <c r="E30" s="69">
        <f t="shared" si="1"/>
        <v>127812.027</v>
      </c>
      <c r="F30" s="106" t="s">
        <v>30</v>
      </c>
      <c r="G30" s="101" t="s">
        <v>106</v>
      </c>
      <c r="H30" s="101" t="s">
        <v>101</v>
      </c>
      <c r="I30" s="102"/>
      <c r="J30" s="107"/>
      <c r="K30" s="102"/>
      <c r="L30" s="102"/>
      <c r="M30" s="102"/>
    </row>
    <row r="31" spans="1:13" ht="23" x14ac:dyDescent="0.3">
      <c r="A31" s="47" t="s">
        <v>68</v>
      </c>
      <c r="B31" s="49" t="s">
        <v>105</v>
      </c>
      <c r="C31" s="60">
        <v>35801.688999999998</v>
      </c>
      <c r="D31" s="68">
        <f t="shared" si="0"/>
        <v>6802.32</v>
      </c>
      <c r="E31" s="69">
        <f t="shared" si="1"/>
        <v>42604.008999999998</v>
      </c>
      <c r="F31" s="106" t="s">
        <v>30</v>
      </c>
      <c r="G31" s="101" t="s">
        <v>106</v>
      </c>
      <c r="H31" s="101" t="s">
        <v>101</v>
      </c>
      <c r="I31" s="102"/>
      <c r="J31" s="102"/>
      <c r="K31" s="102"/>
      <c r="L31" s="102"/>
      <c r="M31" s="102"/>
    </row>
    <row r="32" spans="1:13" x14ac:dyDescent="0.3">
      <c r="A32" s="47" t="s">
        <v>69</v>
      </c>
      <c r="B32" s="49" t="s">
        <v>70</v>
      </c>
      <c r="C32" s="60">
        <v>143206.75599999999</v>
      </c>
      <c r="D32" s="68">
        <f t="shared" si="0"/>
        <v>27209.279999999999</v>
      </c>
      <c r="E32" s="69">
        <f t="shared" si="1"/>
        <v>170416.03599999999</v>
      </c>
      <c r="F32" s="106" t="s">
        <v>30</v>
      </c>
      <c r="G32" s="101" t="s">
        <v>106</v>
      </c>
      <c r="H32" s="101" t="s">
        <v>101</v>
      </c>
      <c r="I32" s="102"/>
      <c r="J32" s="102"/>
      <c r="K32" s="102"/>
      <c r="L32" s="102"/>
      <c r="M32" s="102"/>
    </row>
    <row r="33" spans="1:13" s="17" customFormat="1" x14ac:dyDescent="0.3">
      <c r="A33" s="26" t="s">
        <v>12</v>
      </c>
      <c r="B33" s="19" t="s">
        <v>45</v>
      </c>
      <c r="C33" s="53">
        <v>30000</v>
      </c>
      <c r="D33" s="62">
        <f t="shared" si="0"/>
        <v>5700</v>
      </c>
      <c r="E33" s="63">
        <f t="shared" si="1"/>
        <v>35700</v>
      </c>
      <c r="F33" s="108" t="s">
        <v>29</v>
      </c>
      <c r="G33" s="101" t="s">
        <v>106</v>
      </c>
      <c r="H33" s="101" t="s">
        <v>101</v>
      </c>
      <c r="I33" s="103"/>
      <c r="J33" s="103"/>
      <c r="K33" s="103"/>
      <c r="L33" s="103"/>
      <c r="M33" s="103"/>
    </row>
    <row r="34" spans="1:13" s="17" customFormat="1" x14ac:dyDescent="0.3">
      <c r="A34" s="26" t="s">
        <v>71</v>
      </c>
      <c r="B34" s="19" t="s">
        <v>11</v>
      </c>
      <c r="C34" s="53">
        <v>80000</v>
      </c>
      <c r="D34" s="62">
        <f t="shared" si="0"/>
        <v>15200</v>
      </c>
      <c r="E34" s="63">
        <f t="shared" si="1"/>
        <v>95200</v>
      </c>
      <c r="F34" s="108" t="s">
        <v>29</v>
      </c>
      <c r="G34" s="101" t="s">
        <v>106</v>
      </c>
      <c r="H34" s="101" t="s">
        <v>101</v>
      </c>
      <c r="I34" s="103"/>
      <c r="J34" s="103"/>
      <c r="K34" s="103"/>
      <c r="L34" s="103"/>
      <c r="M34" s="103"/>
    </row>
    <row r="35" spans="1:13" x14ac:dyDescent="0.3">
      <c r="A35" s="40" t="s">
        <v>72</v>
      </c>
      <c r="B35" s="41" t="s">
        <v>13</v>
      </c>
      <c r="C35" s="61">
        <v>68023.210000000006</v>
      </c>
      <c r="D35" s="70">
        <f t="shared" si="0"/>
        <v>12924.41</v>
      </c>
      <c r="E35" s="71">
        <f t="shared" si="1"/>
        <v>80947.62000000001</v>
      </c>
      <c r="F35" s="108" t="s">
        <v>29</v>
      </c>
      <c r="G35" s="101" t="s">
        <v>106</v>
      </c>
      <c r="H35" s="101" t="s">
        <v>101</v>
      </c>
      <c r="I35" s="102"/>
      <c r="J35" s="102"/>
      <c r="K35" s="102"/>
      <c r="L35" s="102"/>
      <c r="M35" s="102"/>
    </row>
    <row r="36" spans="1:13" ht="16.5" customHeight="1" thickBot="1" x14ac:dyDescent="0.35">
      <c r="A36" s="42"/>
      <c r="B36" s="43" t="s">
        <v>36</v>
      </c>
      <c r="C36" s="72">
        <f>SUMIFS(C22:C35,$F$22:$F$35,"&lt;&gt;")</f>
        <v>542387.14199999999</v>
      </c>
      <c r="D36" s="72">
        <f>SUMIFS(D22:D35,$F$22:$F$35,"&lt;&gt;")</f>
        <v>103053.55</v>
      </c>
      <c r="E36" s="73">
        <f>SUMIFS(E22:E35,$F$22:$F$35,"&lt;&gt;")</f>
        <v>645440.69200000004</v>
      </c>
      <c r="F36" s="106"/>
      <c r="G36" s="101"/>
      <c r="H36" s="102"/>
      <c r="I36" s="102"/>
      <c r="J36" s="102"/>
      <c r="K36" s="102"/>
      <c r="L36" s="102"/>
      <c r="M36" s="102"/>
    </row>
    <row r="37" spans="1:13" ht="26.25" customHeight="1" x14ac:dyDescent="0.3">
      <c r="A37" s="122" t="s">
        <v>46</v>
      </c>
      <c r="B37" s="123"/>
      <c r="C37" s="123"/>
      <c r="D37" s="123"/>
      <c r="E37" s="124"/>
      <c r="F37" s="106"/>
      <c r="G37" s="101"/>
      <c r="H37" s="102"/>
      <c r="I37" s="102"/>
      <c r="J37" s="102"/>
      <c r="K37" s="102"/>
      <c r="L37" s="102"/>
      <c r="M37" s="102"/>
    </row>
    <row r="38" spans="1:13" x14ac:dyDescent="0.3">
      <c r="A38" s="25" t="s">
        <v>14</v>
      </c>
      <c r="B38" s="19" t="s">
        <v>102</v>
      </c>
      <c r="C38" s="62">
        <f>C39+C40</f>
        <v>3518688.9</v>
      </c>
      <c r="D38" s="62">
        <f>D39+D40</f>
        <v>668550.89</v>
      </c>
      <c r="E38" s="63">
        <f>E39+E40</f>
        <v>4187239.79</v>
      </c>
      <c r="F38" s="106"/>
      <c r="G38" s="101"/>
      <c r="H38" s="102"/>
      <c r="I38" s="102"/>
      <c r="J38" s="102"/>
      <c r="K38" s="102"/>
      <c r="L38" s="102"/>
      <c r="M38" s="102"/>
    </row>
    <row r="39" spans="1:13" x14ac:dyDescent="0.3">
      <c r="A39" s="37" t="str">
        <f>A38&amp;".1"</f>
        <v>4.1.1</v>
      </c>
      <c r="B39" s="36" t="s">
        <v>103</v>
      </c>
      <c r="C39" s="60">
        <v>3518688.9</v>
      </c>
      <c r="D39" s="66">
        <f>ROUND(0.19*C39,2)</f>
        <v>668550.89</v>
      </c>
      <c r="E39" s="67">
        <f>D39+C39</f>
        <v>4187239.79</v>
      </c>
      <c r="F39" s="106" t="s">
        <v>30</v>
      </c>
      <c r="G39" s="101" t="s">
        <v>106</v>
      </c>
      <c r="H39" s="101" t="s">
        <v>106</v>
      </c>
      <c r="I39" s="102"/>
      <c r="J39" s="102"/>
      <c r="K39" s="102"/>
      <c r="L39" s="102"/>
      <c r="M39" s="102"/>
    </row>
    <row r="40" spans="1:13" x14ac:dyDescent="0.3">
      <c r="A40" s="37" t="str">
        <f>A38&amp;".2"</f>
        <v>4.1.2</v>
      </c>
      <c r="B40" s="11" t="s">
        <v>104</v>
      </c>
      <c r="C40" s="60">
        <v>0</v>
      </c>
      <c r="D40" s="66">
        <f>ROUND(0.19*C40,2)</f>
        <v>0</v>
      </c>
      <c r="E40" s="67">
        <f>D40+C40</f>
        <v>0</v>
      </c>
      <c r="F40" s="106" t="s">
        <v>30</v>
      </c>
      <c r="G40" s="101" t="s">
        <v>101</v>
      </c>
      <c r="H40" s="101" t="s">
        <v>106</v>
      </c>
      <c r="I40" s="102"/>
      <c r="J40" s="102"/>
      <c r="K40" s="102"/>
      <c r="L40" s="102"/>
      <c r="M40" s="102"/>
    </row>
    <row r="41" spans="1:13" x14ac:dyDescent="0.3">
      <c r="A41" s="25" t="s">
        <v>15</v>
      </c>
      <c r="B41" s="19" t="s">
        <v>73</v>
      </c>
      <c r="C41" s="62">
        <f>C42+C43</f>
        <v>15000</v>
      </c>
      <c r="D41" s="62">
        <f>D42+D43</f>
        <v>2850</v>
      </c>
      <c r="E41" s="63">
        <f>E42+E43</f>
        <v>17850</v>
      </c>
      <c r="F41" s="106"/>
      <c r="G41" s="101"/>
      <c r="H41" s="101"/>
      <c r="I41" s="102"/>
      <c r="J41" s="102"/>
      <c r="K41" s="102"/>
      <c r="L41" s="102"/>
      <c r="M41" s="102"/>
    </row>
    <row r="42" spans="1:13" x14ac:dyDescent="0.3">
      <c r="A42" s="37" t="str">
        <f>A41&amp;".1"</f>
        <v>4.2.1</v>
      </c>
      <c r="B42" s="36" t="s">
        <v>103</v>
      </c>
      <c r="C42" s="60">
        <v>15000</v>
      </c>
      <c r="D42" s="66">
        <f>ROUND(0.19*C42,2)</f>
        <v>2850</v>
      </c>
      <c r="E42" s="67">
        <f>D42+C42</f>
        <v>17850</v>
      </c>
      <c r="F42" s="106" t="s">
        <v>30</v>
      </c>
      <c r="G42" s="101" t="s">
        <v>106</v>
      </c>
      <c r="H42" s="101" t="s">
        <v>106</v>
      </c>
      <c r="I42" s="102"/>
      <c r="J42" s="102"/>
      <c r="K42" s="102"/>
      <c r="L42" s="102"/>
      <c r="M42" s="102"/>
    </row>
    <row r="43" spans="1:13" x14ac:dyDescent="0.3">
      <c r="A43" s="37" t="str">
        <f>A41&amp;".2"</f>
        <v>4.2.2</v>
      </c>
      <c r="B43" s="11" t="s">
        <v>104</v>
      </c>
      <c r="C43" s="60">
        <v>0</v>
      </c>
      <c r="D43" s="66">
        <f>ROUND(0.19*C43,2)</f>
        <v>0</v>
      </c>
      <c r="E43" s="67">
        <f>D43+C43</f>
        <v>0</v>
      </c>
      <c r="F43" s="106" t="s">
        <v>30</v>
      </c>
      <c r="G43" s="101" t="s">
        <v>101</v>
      </c>
      <c r="H43" s="101" t="s">
        <v>106</v>
      </c>
      <c r="I43" s="102"/>
      <c r="J43" s="102"/>
      <c r="K43" s="102"/>
      <c r="L43" s="102"/>
      <c r="M43" s="102"/>
    </row>
    <row r="44" spans="1:13" ht="26" x14ac:dyDescent="0.3">
      <c r="A44" s="25" t="s">
        <v>16</v>
      </c>
      <c r="B44" s="19" t="s">
        <v>74</v>
      </c>
      <c r="C44" s="62">
        <f>C45+C46</f>
        <v>180000</v>
      </c>
      <c r="D44" s="62">
        <f>D45+D46</f>
        <v>34200</v>
      </c>
      <c r="E44" s="63">
        <f>E45+E46</f>
        <v>214200</v>
      </c>
      <c r="F44" s="106"/>
      <c r="G44" s="101"/>
      <c r="H44" s="101"/>
      <c r="I44" s="102"/>
      <c r="J44" s="102"/>
      <c r="K44" s="102"/>
      <c r="L44" s="102"/>
      <c r="M44" s="102"/>
    </row>
    <row r="45" spans="1:13" x14ac:dyDescent="0.3">
      <c r="A45" s="37" t="str">
        <f>A44&amp;".1"</f>
        <v>4.3.1</v>
      </c>
      <c r="B45" s="36" t="s">
        <v>103</v>
      </c>
      <c r="C45" s="60">
        <v>180000</v>
      </c>
      <c r="D45" s="66">
        <f>ROUND(0.19*C45,2)</f>
        <v>34200</v>
      </c>
      <c r="E45" s="67">
        <f>D45+C45</f>
        <v>214200</v>
      </c>
      <c r="F45" s="106" t="s">
        <v>30</v>
      </c>
      <c r="G45" s="101" t="s">
        <v>106</v>
      </c>
      <c r="H45" s="101" t="s">
        <v>101</v>
      </c>
      <c r="I45" s="102"/>
      <c r="J45" s="102"/>
      <c r="K45" s="102"/>
      <c r="L45" s="102"/>
      <c r="M45" s="102"/>
    </row>
    <row r="46" spans="1:13" x14ac:dyDescent="0.3">
      <c r="A46" s="37" t="str">
        <f>A44&amp;".2"</f>
        <v>4.3.2</v>
      </c>
      <c r="B46" s="11" t="s">
        <v>104</v>
      </c>
      <c r="C46" s="60">
        <v>0</v>
      </c>
      <c r="D46" s="66">
        <f>ROUND(0.19*C46,2)</f>
        <v>0</v>
      </c>
      <c r="E46" s="67">
        <f>D46+C46</f>
        <v>0</v>
      </c>
      <c r="F46" s="106" t="s">
        <v>30</v>
      </c>
      <c r="G46" s="101" t="s">
        <v>101</v>
      </c>
      <c r="H46" s="101" t="s">
        <v>101</v>
      </c>
      <c r="I46" s="102"/>
      <c r="J46" s="102"/>
      <c r="K46" s="102"/>
      <c r="L46" s="102"/>
      <c r="M46" s="102"/>
    </row>
    <row r="47" spans="1:13" ht="26" x14ac:dyDescent="0.3">
      <c r="A47" s="25" t="s">
        <v>17</v>
      </c>
      <c r="B47" s="19" t="s">
        <v>75</v>
      </c>
      <c r="C47" s="62">
        <f>C48+C49</f>
        <v>0</v>
      </c>
      <c r="D47" s="62">
        <f>D48+D49</f>
        <v>0</v>
      </c>
      <c r="E47" s="63">
        <f>E48+E49</f>
        <v>0</v>
      </c>
      <c r="F47" s="104"/>
      <c r="G47" s="101"/>
      <c r="H47" s="101"/>
      <c r="I47" s="102"/>
      <c r="J47" s="102"/>
      <c r="K47" s="102"/>
      <c r="L47" s="102"/>
      <c r="M47" s="102"/>
    </row>
    <row r="48" spans="1:13" x14ac:dyDescent="0.3">
      <c r="A48" s="37" t="str">
        <f>A47&amp;".1"</f>
        <v>4.4.1</v>
      </c>
      <c r="B48" s="36" t="s">
        <v>103</v>
      </c>
      <c r="C48" s="60">
        <v>0</v>
      </c>
      <c r="D48" s="66">
        <f>ROUND(0.19*C48,2)</f>
        <v>0</v>
      </c>
      <c r="E48" s="67">
        <f>D48+C48</f>
        <v>0</v>
      </c>
      <c r="F48" s="106" t="s">
        <v>30</v>
      </c>
      <c r="G48" s="101" t="s">
        <v>106</v>
      </c>
      <c r="H48" s="101" t="s">
        <v>101</v>
      </c>
      <c r="I48" s="102"/>
      <c r="J48" s="102"/>
      <c r="K48" s="102"/>
      <c r="L48" s="102"/>
      <c r="M48" s="102"/>
    </row>
    <row r="49" spans="1:13" x14ac:dyDescent="0.3">
      <c r="A49" s="37" t="str">
        <f>A47&amp;".2"</f>
        <v>4.4.2</v>
      </c>
      <c r="B49" s="11" t="s">
        <v>104</v>
      </c>
      <c r="C49" s="60">
        <v>0</v>
      </c>
      <c r="D49" s="66">
        <f>ROUND(0.19*C49,2)</f>
        <v>0</v>
      </c>
      <c r="E49" s="67">
        <f>D49+C49</f>
        <v>0</v>
      </c>
      <c r="F49" s="106" t="s">
        <v>30</v>
      </c>
      <c r="G49" s="101" t="s">
        <v>101</v>
      </c>
      <c r="H49" s="101" t="s">
        <v>101</v>
      </c>
      <c r="I49" s="102"/>
      <c r="J49" s="102"/>
      <c r="K49" s="102"/>
      <c r="L49" s="102"/>
      <c r="M49" s="102"/>
    </row>
    <row r="50" spans="1:13" x14ac:dyDescent="0.3">
      <c r="A50" s="25" t="s">
        <v>18</v>
      </c>
      <c r="B50" s="19" t="s">
        <v>47</v>
      </c>
      <c r="C50" s="62">
        <f>C51+C52</f>
        <v>0</v>
      </c>
      <c r="D50" s="62">
        <f>D51+D52</f>
        <v>0</v>
      </c>
      <c r="E50" s="63">
        <f>E51+E52</f>
        <v>0</v>
      </c>
      <c r="F50" s="106"/>
      <c r="G50" s="101"/>
      <c r="H50" s="101"/>
      <c r="I50" s="102"/>
      <c r="J50" s="102"/>
      <c r="K50" s="102"/>
      <c r="L50" s="102"/>
      <c r="M50" s="102"/>
    </row>
    <row r="51" spans="1:13" x14ac:dyDescent="0.3">
      <c r="A51" s="37" t="str">
        <f>A50&amp;".1"</f>
        <v>4.5.1</v>
      </c>
      <c r="B51" s="36" t="s">
        <v>103</v>
      </c>
      <c r="C51" s="60">
        <v>0</v>
      </c>
      <c r="D51" s="66">
        <f>ROUND(0.19*C51,2)</f>
        <v>0</v>
      </c>
      <c r="E51" s="67">
        <f>D51+C51</f>
        <v>0</v>
      </c>
      <c r="F51" s="106" t="s">
        <v>30</v>
      </c>
      <c r="G51" s="101" t="s">
        <v>106</v>
      </c>
      <c r="H51" s="101" t="s">
        <v>101</v>
      </c>
      <c r="I51" s="102"/>
      <c r="J51" s="102"/>
      <c r="K51" s="102"/>
      <c r="L51" s="102"/>
      <c r="M51" s="102"/>
    </row>
    <row r="52" spans="1:13" x14ac:dyDescent="0.3">
      <c r="A52" s="37" t="str">
        <f>A50&amp;".2"</f>
        <v>4.5.2</v>
      </c>
      <c r="B52" s="11" t="s">
        <v>104</v>
      </c>
      <c r="C52" s="60">
        <v>0</v>
      </c>
      <c r="D52" s="66">
        <f>ROUND(0.19*C52,2)</f>
        <v>0</v>
      </c>
      <c r="E52" s="67">
        <f>D52+C52</f>
        <v>0</v>
      </c>
      <c r="F52" s="106" t="s">
        <v>30</v>
      </c>
      <c r="G52" s="101" t="s">
        <v>101</v>
      </c>
      <c r="H52" s="101" t="s">
        <v>101</v>
      </c>
      <c r="I52" s="102"/>
      <c r="J52" s="102"/>
      <c r="K52" s="102"/>
      <c r="L52" s="102"/>
      <c r="M52" s="102"/>
    </row>
    <row r="53" spans="1:13" x14ac:dyDescent="0.3">
      <c r="A53" s="25" t="s">
        <v>26</v>
      </c>
      <c r="B53" s="19" t="s">
        <v>27</v>
      </c>
      <c r="C53" s="62">
        <f>C54+C55</f>
        <v>0</v>
      </c>
      <c r="D53" s="62">
        <f>D54+D55</f>
        <v>0</v>
      </c>
      <c r="E53" s="63">
        <f>E54+E55</f>
        <v>0</v>
      </c>
      <c r="F53" s="106"/>
      <c r="G53" s="101"/>
      <c r="H53" s="101"/>
      <c r="I53" s="102"/>
      <c r="J53" s="102"/>
      <c r="K53" s="102"/>
      <c r="L53" s="102"/>
      <c r="M53" s="102"/>
    </row>
    <row r="54" spans="1:13" x14ac:dyDescent="0.3">
      <c r="A54" s="37" t="str">
        <f>A53&amp;".1"</f>
        <v>4.6.1</v>
      </c>
      <c r="B54" s="36" t="s">
        <v>103</v>
      </c>
      <c r="C54" s="60">
        <v>0</v>
      </c>
      <c r="D54" s="66">
        <f>ROUND(0.19*C54,2)</f>
        <v>0</v>
      </c>
      <c r="E54" s="67">
        <f>D54+C54</f>
        <v>0</v>
      </c>
      <c r="F54" s="106" t="s">
        <v>30</v>
      </c>
      <c r="G54" s="101" t="s">
        <v>106</v>
      </c>
      <c r="H54" s="101" t="s">
        <v>101</v>
      </c>
      <c r="I54" s="102"/>
      <c r="J54" s="102"/>
      <c r="K54" s="102"/>
      <c r="L54" s="102"/>
      <c r="M54" s="102"/>
    </row>
    <row r="55" spans="1:13" x14ac:dyDescent="0.3">
      <c r="A55" s="37" t="str">
        <f>A53&amp;".2"</f>
        <v>4.6.2</v>
      </c>
      <c r="B55" s="11" t="s">
        <v>104</v>
      </c>
      <c r="C55" s="60">
        <v>0</v>
      </c>
      <c r="D55" s="66">
        <f>ROUND(0.19*C55,2)</f>
        <v>0</v>
      </c>
      <c r="E55" s="67">
        <f>D55+C55</f>
        <v>0</v>
      </c>
      <c r="F55" s="106" t="s">
        <v>30</v>
      </c>
      <c r="G55" s="101" t="s">
        <v>101</v>
      </c>
      <c r="H55" s="101" t="s">
        <v>101</v>
      </c>
      <c r="I55" s="102"/>
      <c r="J55" s="102"/>
      <c r="K55" s="102"/>
      <c r="L55" s="102"/>
      <c r="M55" s="102"/>
    </row>
    <row r="56" spans="1:13" ht="14.5" thickBot="1" x14ac:dyDescent="0.35">
      <c r="A56" s="38"/>
      <c r="B56" s="43" t="s">
        <v>35</v>
      </c>
      <c r="C56" s="72">
        <f>SUMIFS(C38:C55,$F$38:$F$55,"&lt;&gt;")</f>
        <v>3713688.9</v>
      </c>
      <c r="D56" s="72">
        <f>SUMIFS(D38:D55,$F$38:$F$55,"&lt;&gt;")</f>
        <v>705600.89</v>
      </c>
      <c r="E56" s="73">
        <f>SUMIFS(E38:E55,$F$38:$F$55,"&lt;&gt;")</f>
        <v>4419289.79</v>
      </c>
      <c r="F56" s="106"/>
      <c r="G56" s="101"/>
      <c r="H56" s="101"/>
      <c r="I56" s="102"/>
      <c r="J56" s="102"/>
      <c r="K56" s="102"/>
      <c r="L56" s="102"/>
      <c r="M56" s="102"/>
    </row>
    <row r="57" spans="1:13" ht="25.5" customHeight="1" x14ac:dyDescent="0.3">
      <c r="A57" s="119" t="s">
        <v>19</v>
      </c>
      <c r="B57" s="120"/>
      <c r="C57" s="120"/>
      <c r="D57" s="120"/>
      <c r="E57" s="121"/>
      <c r="F57" s="106"/>
      <c r="G57" s="101"/>
      <c r="H57" s="101"/>
      <c r="I57" s="102"/>
      <c r="J57" s="102"/>
      <c r="K57" s="102"/>
      <c r="L57" s="102"/>
      <c r="M57" s="102"/>
    </row>
    <row r="58" spans="1:13" ht="15" customHeight="1" x14ac:dyDescent="0.3">
      <c r="A58" s="25" t="s">
        <v>20</v>
      </c>
      <c r="B58" s="33" t="s">
        <v>90</v>
      </c>
      <c r="C58" s="62">
        <f>C59+C60</f>
        <v>94379.222999999998</v>
      </c>
      <c r="D58" s="62">
        <f>D59+D60</f>
        <v>17932.05</v>
      </c>
      <c r="E58" s="63">
        <f>E59+E60</f>
        <v>112311.273</v>
      </c>
      <c r="F58" s="106"/>
      <c r="G58" s="101"/>
      <c r="H58" s="101"/>
      <c r="I58" s="102"/>
      <c r="J58" s="102"/>
      <c r="K58" s="102"/>
      <c r="L58" s="102"/>
      <c r="M58" s="102"/>
    </row>
    <row r="59" spans="1:13" ht="26" x14ac:dyDescent="0.3">
      <c r="A59" s="35" t="s">
        <v>34</v>
      </c>
      <c r="B59" s="36" t="s">
        <v>76</v>
      </c>
      <c r="C59" s="109">
        <v>94379.222999999998</v>
      </c>
      <c r="D59" s="62">
        <f>ROUND(0.19*C59,2)</f>
        <v>17932.05</v>
      </c>
      <c r="E59" s="63">
        <f>D59+C59</f>
        <v>112311.273</v>
      </c>
      <c r="F59" s="106" t="s">
        <v>30</v>
      </c>
      <c r="G59" s="101" t="s">
        <v>106</v>
      </c>
      <c r="H59" s="101" t="s">
        <v>106</v>
      </c>
      <c r="I59" s="102"/>
      <c r="J59" s="102"/>
      <c r="K59" s="102"/>
      <c r="L59" s="102"/>
      <c r="M59" s="102"/>
    </row>
    <row r="60" spans="1:13" ht="15.75" customHeight="1" x14ac:dyDescent="0.3">
      <c r="A60" s="35" t="s">
        <v>48</v>
      </c>
      <c r="B60" s="11" t="s">
        <v>77</v>
      </c>
      <c r="C60" s="109">
        <v>0</v>
      </c>
      <c r="D60" s="62">
        <f>ROUND(0.19*C60,2)</f>
        <v>0</v>
      </c>
      <c r="E60" s="63">
        <f>D60+C60</f>
        <v>0</v>
      </c>
      <c r="F60" s="106" t="s">
        <v>29</v>
      </c>
      <c r="G60" s="101" t="s">
        <v>106</v>
      </c>
      <c r="H60" s="101" t="s">
        <v>101</v>
      </c>
      <c r="I60" s="102"/>
      <c r="J60" s="102"/>
      <c r="K60" s="102"/>
      <c r="L60" s="102"/>
      <c r="M60" s="102"/>
    </row>
    <row r="61" spans="1:13" ht="26.25" customHeight="1" x14ac:dyDescent="0.3">
      <c r="A61" s="25" t="s">
        <v>21</v>
      </c>
      <c r="B61" s="19" t="s">
        <v>49</v>
      </c>
      <c r="C61" s="62">
        <f>SUM(C62:C66)</f>
        <v>77480.510000000009</v>
      </c>
      <c r="D61" s="63">
        <f>SUM(D62:D66)</f>
        <v>0</v>
      </c>
      <c r="E61" s="63">
        <f>SUM(E62:E66)</f>
        <v>77480.510000000009</v>
      </c>
      <c r="F61" s="106"/>
      <c r="G61" s="101"/>
      <c r="H61" s="101"/>
      <c r="I61" s="102"/>
      <c r="J61" s="102"/>
      <c r="K61" s="102"/>
      <c r="L61" s="102"/>
      <c r="M61" s="102"/>
    </row>
    <row r="62" spans="1:13" ht="26" x14ac:dyDescent="0.3">
      <c r="A62" s="24" t="s">
        <v>78</v>
      </c>
      <c r="B62" s="18" t="s">
        <v>79</v>
      </c>
      <c r="C62" s="109">
        <v>0</v>
      </c>
      <c r="D62" s="62">
        <v>0</v>
      </c>
      <c r="E62" s="63">
        <f t="shared" ref="E62:E68" si="2">D62+C62</f>
        <v>0</v>
      </c>
      <c r="F62" s="106" t="s">
        <v>29</v>
      </c>
      <c r="G62" s="101" t="s">
        <v>106</v>
      </c>
      <c r="H62" s="101" t="s">
        <v>101</v>
      </c>
      <c r="I62" s="102"/>
      <c r="J62" s="102"/>
      <c r="K62" s="102"/>
      <c r="L62" s="102"/>
      <c r="M62" s="102"/>
    </row>
    <row r="63" spans="1:13" ht="26" x14ac:dyDescent="0.3">
      <c r="A63" s="24" t="s">
        <v>80</v>
      </c>
      <c r="B63" s="18" t="s">
        <v>81</v>
      </c>
      <c r="C63" s="109">
        <v>12913.418</v>
      </c>
      <c r="D63" s="62">
        <v>0</v>
      </c>
      <c r="E63" s="63">
        <f t="shared" si="2"/>
        <v>12913.418</v>
      </c>
      <c r="F63" s="106" t="s">
        <v>30</v>
      </c>
      <c r="G63" s="101" t="s">
        <v>106</v>
      </c>
      <c r="H63" s="101" t="s">
        <v>101</v>
      </c>
      <c r="I63" s="107"/>
      <c r="J63" s="102"/>
      <c r="K63" s="102"/>
      <c r="L63" s="102"/>
      <c r="M63" s="102"/>
    </row>
    <row r="64" spans="1:13" ht="39" x14ac:dyDescent="0.3">
      <c r="A64" s="24" t="s">
        <v>82</v>
      </c>
      <c r="B64" s="18" t="s">
        <v>83</v>
      </c>
      <c r="C64" s="109">
        <v>9223.8700000000008</v>
      </c>
      <c r="D64" s="62">
        <v>0</v>
      </c>
      <c r="E64" s="63">
        <f t="shared" si="2"/>
        <v>9223.8700000000008</v>
      </c>
      <c r="F64" s="106" t="s">
        <v>30</v>
      </c>
      <c r="G64" s="101" t="s">
        <v>106</v>
      </c>
      <c r="H64" s="101" t="s">
        <v>101</v>
      </c>
      <c r="I64" s="102"/>
      <c r="J64" s="102"/>
      <c r="K64" s="102"/>
      <c r="L64" s="102"/>
      <c r="M64" s="102"/>
    </row>
    <row r="65" spans="1:13" x14ac:dyDescent="0.3">
      <c r="A65" s="24" t="s">
        <v>84</v>
      </c>
      <c r="B65" s="18" t="s">
        <v>85</v>
      </c>
      <c r="C65" s="109">
        <v>18447.741000000002</v>
      </c>
      <c r="D65" s="62">
        <v>0</v>
      </c>
      <c r="E65" s="63">
        <f t="shared" si="2"/>
        <v>18447.741000000002</v>
      </c>
      <c r="F65" s="106" t="s">
        <v>30</v>
      </c>
      <c r="G65" s="101" t="s">
        <v>106</v>
      </c>
      <c r="H65" s="101" t="s">
        <v>101</v>
      </c>
      <c r="I65" s="102"/>
      <c r="J65" s="102"/>
      <c r="K65" s="102"/>
      <c r="L65" s="102"/>
      <c r="M65" s="102"/>
    </row>
    <row r="66" spans="1:13" ht="26" x14ac:dyDescent="0.3">
      <c r="A66" s="24" t="s">
        <v>86</v>
      </c>
      <c r="B66" s="18" t="s">
        <v>87</v>
      </c>
      <c r="C66" s="109">
        <v>36895.481</v>
      </c>
      <c r="D66" s="62">
        <v>0</v>
      </c>
      <c r="E66" s="63">
        <f t="shared" si="2"/>
        <v>36895.481</v>
      </c>
      <c r="F66" s="106" t="s">
        <v>29</v>
      </c>
      <c r="G66" s="101" t="s">
        <v>106</v>
      </c>
      <c r="H66" s="101" t="s">
        <v>101</v>
      </c>
      <c r="I66" s="102"/>
      <c r="J66" s="102"/>
      <c r="K66" s="102"/>
      <c r="L66" s="102"/>
      <c r="M66" s="102"/>
    </row>
    <row r="67" spans="1:13" x14ac:dyDescent="0.3">
      <c r="A67" s="25" t="s">
        <v>22</v>
      </c>
      <c r="B67" s="19" t="s">
        <v>31</v>
      </c>
      <c r="C67" s="109">
        <v>333000</v>
      </c>
      <c r="D67" s="62">
        <f>ROUND(0.19*C67,2)</f>
        <v>63270</v>
      </c>
      <c r="E67" s="63">
        <f t="shared" si="2"/>
        <v>396270</v>
      </c>
      <c r="F67" s="106" t="s">
        <v>30</v>
      </c>
      <c r="G67" s="101" t="s">
        <v>106</v>
      </c>
      <c r="H67" s="101" t="s">
        <v>101</v>
      </c>
      <c r="I67" s="102"/>
      <c r="J67" s="102"/>
      <c r="K67" s="102"/>
      <c r="L67" s="102"/>
      <c r="M67" s="102"/>
    </row>
    <row r="68" spans="1:13" x14ac:dyDescent="0.3">
      <c r="A68" s="26" t="s">
        <v>88</v>
      </c>
      <c r="B68" s="19" t="s">
        <v>89</v>
      </c>
      <c r="C68" s="109">
        <v>459.93</v>
      </c>
      <c r="D68" s="62">
        <f>ROUND(0.19*C68,2)</f>
        <v>87.39</v>
      </c>
      <c r="E68" s="63">
        <f t="shared" si="2"/>
        <v>547.32000000000005</v>
      </c>
      <c r="F68" s="106" t="s">
        <v>29</v>
      </c>
      <c r="G68" s="101" t="s">
        <v>106</v>
      </c>
      <c r="H68" s="101" t="s">
        <v>101</v>
      </c>
      <c r="I68" s="102"/>
      <c r="J68" s="102"/>
      <c r="K68" s="102"/>
      <c r="L68" s="102"/>
      <c r="M68" s="102"/>
    </row>
    <row r="69" spans="1:13" ht="14.5" thickBot="1" x14ac:dyDescent="0.35">
      <c r="A69" s="38"/>
      <c r="B69" s="46" t="s">
        <v>37</v>
      </c>
      <c r="C69" s="72">
        <f>SUMIFS(C58:C68,$F$58:$F$68,"&lt;&gt;")</f>
        <v>505319.663</v>
      </c>
      <c r="D69" s="72">
        <f>SUMIFS(D58:D68,$F$58:$F$68,"&lt;&gt;")</f>
        <v>81289.440000000002</v>
      </c>
      <c r="E69" s="73">
        <f>SUMIFS(E58:E68,$F$58:$F$68,"&lt;&gt;")</f>
        <v>586609.103</v>
      </c>
      <c r="F69" s="106"/>
      <c r="G69" s="101"/>
      <c r="H69" s="101"/>
      <c r="I69" s="102"/>
      <c r="J69" s="102"/>
      <c r="K69" s="102"/>
      <c r="L69" s="102"/>
      <c r="M69" s="102"/>
    </row>
    <row r="70" spans="1:13" ht="27" customHeight="1" x14ac:dyDescent="0.3">
      <c r="A70" s="119" t="s">
        <v>91</v>
      </c>
      <c r="B70" s="120"/>
      <c r="C70" s="120"/>
      <c r="D70" s="120"/>
      <c r="E70" s="121"/>
      <c r="F70" s="106"/>
      <c r="G70" s="101"/>
      <c r="H70" s="101"/>
      <c r="I70" s="102"/>
      <c r="J70" s="102"/>
      <c r="K70" s="102"/>
      <c r="L70" s="102"/>
      <c r="M70" s="102"/>
    </row>
    <row r="71" spans="1:13" x14ac:dyDescent="0.3">
      <c r="A71" s="25" t="s">
        <v>23</v>
      </c>
      <c r="B71" s="19" t="s">
        <v>92</v>
      </c>
      <c r="C71" s="60">
        <v>0</v>
      </c>
      <c r="D71" s="62">
        <f>0.19*C71</f>
        <v>0</v>
      </c>
      <c r="E71" s="63">
        <f>C71*1.19</f>
        <v>0</v>
      </c>
      <c r="F71" s="106" t="s">
        <v>29</v>
      </c>
      <c r="G71" s="101" t="s">
        <v>106</v>
      </c>
      <c r="H71" s="101" t="s">
        <v>101</v>
      </c>
      <c r="I71" s="102"/>
      <c r="J71" s="102"/>
      <c r="K71" s="102"/>
      <c r="L71" s="102"/>
      <c r="M71" s="102"/>
    </row>
    <row r="72" spans="1:13" x14ac:dyDescent="0.3">
      <c r="A72" s="25" t="s">
        <v>24</v>
      </c>
      <c r="B72" s="19" t="s">
        <v>50</v>
      </c>
      <c r="C72" s="60">
        <v>0</v>
      </c>
      <c r="D72" s="62">
        <f>ROUND(0.19*C72,2)</f>
        <v>0</v>
      </c>
      <c r="E72" s="63">
        <f>D72+C72</f>
        <v>0</v>
      </c>
      <c r="F72" s="106" t="s">
        <v>30</v>
      </c>
      <c r="G72" s="101" t="s">
        <v>106</v>
      </c>
      <c r="H72" s="101" t="s">
        <v>101</v>
      </c>
      <c r="I72" s="102"/>
      <c r="J72" s="102"/>
      <c r="K72" s="102"/>
      <c r="L72" s="102"/>
      <c r="M72" s="102"/>
    </row>
    <row r="73" spans="1:13" ht="13.15" customHeight="1" thickBot="1" x14ac:dyDescent="0.35">
      <c r="A73" s="38"/>
      <c r="B73" s="43" t="s">
        <v>38</v>
      </c>
      <c r="C73" s="72">
        <f>SUMIFS(C71:C72,$F$71:$F$72,"&lt;&gt;")</f>
        <v>0</v>
      </c>
      <c r="D73" s="72">
        <f>SUMIFS(D71:D72,$F$71:$F$72,"&lt;&gt;")</f>
        <v>0</v>
      </c>
      <c r="E73" s="73">
        <f>SUMIFS(E71:E72,$F$71:$F$72,"&lt;&gt;")</f>
        <v>0</v>
      </c>
      <c r="F73" s="3"/>
    </row>
    <row r="74" spans="1:13" ht="21" customHeight="1" thickBot="1" x14ac:dyDescent="0.35">
      <c r="A74" s="74"/>
      <c r="B74" s="75" t="s">
        <v>32</v>
      </c>
      <c r="C74" s="89">
        <f>SUMIFS(C13:C73,$F$13:$F$73,"&lt;&gt;")</f>
        <v>4761395.7049999991</v>
      </c>
      <c r="D74" s="89">
        <f>SUMIFS(D13:D73,$F$13:$F$73,"&lt;&gt;")</f>
        <v>889943.88000000012</v>
      </c>
      <c r="E74" s="90">
        <f>SUMIFS(E13:E73,$F$13:$F$73,"&lt;&gt;")</f>
        <v>5651339.585</v>
      </c>
      <c r="F74" s="3"/>
    </row>
    <row r="75" spans="1:13" ht="23.5" customHeight="1" thickBot="1" x14ac:dyDescent="0.35">
      <c r="A75" s="76"/>
      <c r="B75" s="77" t="s">
        <v>93</v>
      </c>
      <c r="C75" s="89">
        <f>SUMIFS(C13:C73,$H$13:$H$73,"da")</f>
        <v>3628068.1229999997</v>
      </c>
      <c r="D75" s="89">
        <f>SUMIFS(D13:D73,$H$13:$H$73,"da")</f>
        <v>689332.94000000006</v>
      </c>
      <c r="E75" s="90">
        <f>SUMIFS(E13:E73,$H$13:$H$73,"da")</f>
        <v>4317401.0630000001</v>
      </c>
      <c r="F75" s="3"/>
    </row>
    <row r="76" spans="1:13" x14ac:dyDescent="0.3">
      <c r="A76" s="6"/>
      <c r="B76" s="39"/>
      <c r="C76" s="2"/>
      <c r="D76" s="2"/>
      <c r="E76" s="2"/>
      <c r="F76" s="3"/>
    </row>
    <row r="77" spans="1:13" x14ac:dyDescent="0.3">
      <c r="A77" s="6"/>
      <c r="B77" s="39"/>
      <c r="C77" s="2"/>
      <c r="D77" s="2"/>
      <c r="E77" s="2"/>
      <c r="F77" s="3"/>
    </row>
    <row r="78" spans="1:13" ht="15" x14ac:dyDescent="0.3">
      <c r="A78" s="6"/>
      <c r="B78" s="78" t="s">
        <v>99</v>
      </c>
      <c r="C78" s="79">
        <f>E74</f>
        <v>5651339.585</v>
      </c>
      <c r="D78" s="2"/>
      <c r="E78" s="2"/>
      <c r="F78" s="3"/>
      <c r="H78" s="28"/>
    </row>
    <row r="79" spans="1:13" ht="21" customHeight="1" x14ac:dyDescent="0.3">
      <c r="A79" s="6"/>
      <c r="B79" s="80" t="s">
        <v>30</v>
      </c>
      <c r="C79" s="81">
        <v>5435424.46</v>
      </c>
      <c r="D79" s="2"/>
      <c r="E79" s="2"/>
      <c r="F79" s="3"/>
    </row>
    <row r="80" spans="1:13" ht="21" customHeight="1" x14ac:dyDescent="0.3">
      <c r="A80" s="6"/>
      <c r="B80" s="80" t="s">
        <v>29</v>
      </c>
      <c r="C80" s="110">
        <f>C78-C79</f>
        <v>215915.125</v>
      </c>
      <c r="D80" s="2"/>
      <c r="E80" s="2"/>
      <c r="F80" s="3"/>
    </row>
    <row r="81" spans="1:7" x14ac:dyDescent="0.3">
      <c r="A81" s="6"/>
      <c r="B81" s="12"/>
      <c r="C81" s="12"/>
      <c r="D81" s="2"/>
      <c r="E81" s="2"/>
      <c r="F81" s="3"/>
    </row>
    <row r="82" spans="1:7" ht="31" x14ac:dyDescent="0.3">
      <c r="A82" s="6"/>
      <c r="B82" s="94" t="s">
        <v>115</v>
      </c>
      <c r="C82" s="95" t="s">
        <v>109</v>
      </c>
      <c r="D82" s="95" t="s">
        <v>110</v>
      </c>
      <c r="E82" s="83"/>
      <c r="F82" s="84"/>
    </row>
    <row r="83" spans="1:7" ht="15.5" x14ac:dyDescent="0.3">
      <c r="A83" s="6"/>
      <c r="B83" s="80" t="s">
        <v>111</v>
      </c>
      <c r="C83" s="81">
        <f>SUMIFS(C38:C55,G38:G55,"=da")</f>
        <v>3713688.9</v>
      </c>
      <c r="D83" s="81">
        <f>SUMIFS(C38:C55,G38:G55,"=nu")</f>
        <v>0</v>
      </c>
      <c r="E83" s="83"/>
      <c r="F83" s="84"/>
    </row>
    <row r="84" spans="1:7" ht="15.5" x14ac:dyDescent="0.3">
      <c r="A84" s="6"/>
      <c r="B84" s="80" t="s">
        <v>112</v>
      </c>
      <c r="C84" s="81">
        <f>(SUMIFS(C38:C55,G38:G55,"=da")/((SUMIFS(C38:C55,G38:G55,"=da")+(SUMIFS(C38:C55,G38:G55,"=nu")))))*((SUMIFS(C13:C72,G13:G72,"=da")+(SUMIFS(C13:C72,G13:G72,"=nu"))))</f>
        <v>4761395.7049999991</v>
      </c>
      <c r="D84" s="81">
        <f>(SUMIFS(C38:C55,G38:G55,"=nu")/((SUMIFS(C38:C55,G38:G55,"=da")+(SUMIFS(C38:C55,G38:G55,"=nu")))))*((SUMIFS(C13:C72,G13:G72,"=da")+(SUMIFS(C13:C72,G13:G72,"=nu"))))</f>
        <v>0</v>
      </c>
      <c r="E84" s="83"/>
      <c r="F84" s="84"/>
    </row>
    <row r="85" spans="1:7" ht="15.5" x14ac:dyDescent="0.3">
      <c r="A85" s="6"/>
      <c r="B85" s="80" t="s">
        <v>116</v>
      </c>
      <c r="C85" s="81">
        <f>C84/C90</f>
        <v>6183.6307857142847</v>
      </c>
      <c r="D85" s="81">
        <f>D84/C90</f>
        <v>0</v>
      </c>
      <c r="E85" s="83"/>
      <c r="F85" s="84"/>
    </row>
    <row r="86" spans="1:7" ht="15.5" x14ac:dyDescent="0.3">
      <c r="A86" s="6"/>
      <c r="B86" s="80" t="s">
        <v>114</v>
      </c>
      <c r="C86" s="81">
        <f>C84/C90/C89</f>
        <v>1249.8243159742672</v>
      </c>
      <c r="D86" s="81">
        <f>D84/C90/C89</f>
        <v>0</v>
      </c>
      <c r="E86" s="83"/>
      <c r="F86" s="84"/>
    </row>
    <row r="87" spans="1:7" ht="15.5" x14ac:dyDescent="0.3">
      <c r="A87" s="6"/>
      <c r="D87" s="82"/>
      <c r="E87" s="82"/>
      <c r="F87" s="85"/>
    </row>
    <row r="88" spans="1:7" ht="15.5" x14ac:dyDescent="0.3">
      <c r="A88" s="7"/>
      <c r="B88" s="80" t="s">
        <v>107</v>
      </c>
      <c r="C88" s="91">
        <v>44495</v>
      </c>
      <c r="D88" s="86"/>
      <c r="E88" s="86"/>
      <c r="F88" s="85"/>
    </row>
    <row r="89" spans="1:7" ht="15.5" x14ac:dyDescent="0.3">
      <c r="A89" s="6"/>
      <c r="B89" s="80" t="s">
        <v>108</v>
      </c>
      <c r="C89" s="92">
        <v>4.9476000000000004</v>
      </c>
      <c r="D89" s="82"/>
      <c r="E89" s="82"/>
      <c r="F89" s="85"/>
    </row>
    <row r="90" spans="1:7" ht="65.5" thickBot="1" x14ac:dyDescent="0.35">
      <c r="A90" s="6"/>
      <c r="B90" s="97" t="s">
        <v>120</v>
      </c>
      <c r="C90" s="93">
        <v>770</v>
      </c>
      <c r="D90" s="86"/>
      <c r="E90" s="86"/>
      <c r="F90" s="85"/>
      <c r="G90" s="98" t="s">
        <v>121</v>
      </c>
    </row>
    <row r="91" spans="1:7" ht="15" x14ac:dyDescent="0.3">
      <c r="A91" s="6"/>
      <c r="C91" s="83"/>
      <c r="D91" s="83"/>
      <c r="E91" s="83"/>
    </row>
    <row r="92" spans="1:7" ht="15" x14ac:dyDescent="0.3">
      <c r="A92" s="15"/>
      <c r="B92" s="87" t="s">
        <v>25</v>
      </c>
      <c r="C92" s="13"/>
      <c r="D92" s="14"/>
      <c r="E92" s="88" t="s">
        <v>33</v>
      </c>
    </row>
    <row r="93" spans="1:7" ht="15" x14ac:dyDescent="0.3">
      <c r="B93" s="99" t="s">
        <v>122</v>
      </c>
      <c r="C93" s="4" t="s">
        <v>127</v>
      </c>
      <c r="D93" s="118"/>
      <c r="E93" s="118"/>
    </row>
    <row r="94" spans="1:7" x14ac:dyDescent="0.3">
      <c r="C94" s="96" t="s">
        <v>128</v>
      </c>
    </row>
    <row r="95" spans="1:7" x14ac:dyDescent="0.3">
      <c r="C95" s="96"/>
    </row>
  </sheetData>
  <mergeCells count="14">
    <mergeCell ref="H8:H10"/>
    <mergeCell ref="G8:G10"/>
    <mergeCell ref="F8:F10"/>
    <mergeCell ref="A21:E21"/>
    <mergeCell ref="A12:E12"/>
    <mergeCell ref="A6:E6"/>
    <mergeCell ref="A8:A10"/>
    <mergeCell ref="B8:B10"/>
    <mergeCell ref="C8:E8"/>
    <mergeCell ref="D93:E93"/>
    <mergeCell ref="A70:E70"/>
    <mergeCell ref="A37:E37"/>
    <mergeCell ref="A57:E57"/>
    <mergeCell ref="A18:E18"/>
  </mergeCells>
  <phoneticPr fontId="0" type="noConversion"/>
  <dataValidations count="2">
    <dataValidation type="list" allowBlank="1" showInputMessage="1" showErrorMessage="1" sqref="G54:H55 G51:H52 G19:H19 G22:H25 G27:H35 G39:H40 G42:H43 G45:H46 G48:H49 G59:H68 G13:H16 G71:H72" xr:uid="{00000000-0002-0000-0000-000000000000}">
      <formula1>"da,nu"</formula1>
    </dataValidation>
    <dataValidation type="date" operator="greaterThanOrEqual" allowBlank="1" showInputMessage="1" showErrorMessage="1" sqref="C88" xr:uid="{00000000-0002-0000-0000-000001000000}">
      <formula1>44197</formula1>
    </dataValidation>
  </dataValidations>
  <printOptions horizontalCentered="1"/>
  <pageMargins left="0.74803149606299213" right="0.34" top="0.47" bottom="0.5" header="0.34" footer="0.2"/>
  <pageSetup paperSize="9" scale="92" fitToHeight="0" orientation="portrait" r:id="rId1"/>
  <headerFooter alignWithMargins="0"/>
  <ignoredErrors>
    <ignoredError sqref="A27:A32 A59:A60 A62:A64 A65:A66" twoDigitTextYear="1"/>
    <ignoredError sqref="D26:E26 D41" formula="1"/>
    <ignoredError sqref="C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DG </vt:lpstr>
      <vt:lpstr>'DG 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PC</cp:lastModifiedBy>
  <cp:lastPrinted>2023-10-30T12:07:59Z</cp:lastPrinted>
  <dcterms:created xsi:type="dcterms:W3CDTF">2010-01-11T12:40:54Z</dcterms:created>
  <dcterms:modified xsi:type="dcterms:W3CDTF">2023-10-30T12:10:07Z</dcterms:modified>
</cp:coreProperties>
</file>